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docProps/app.xml" ContentType="application/vnd.openxmlformats-officedocument.extended-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Y:\Afgeschermd\kennisbasis\energie\SDE\SDE++ in 2021\ot_model conceptadvies\"/>
    </mc:Choice>
  </mc:AlternateContent>
  <xr:revisionPtr revIDLastSave="0" documentId="13_ncr:1_{12CB49DE-FF34-4D11-8CD2-D74182C8B714}" xr6:coauthVersionLast="45" xr6:coauthVersionMax="45" xr10:uidLastSave="{00000000-0000-0000-0000-000000000000}"/>
  <bookViews>
    <workbookView xWindow="-120" yWindow="-120" windowWidth="29040" windowHeight="17640" tabRatio="833" xr2:uid="{1201415B-9CE0-4180-9814-A1E6E089401B}"/>
  </bookViews>
  <sheets>
    <sheet name="Colofon" sheetId="6" r:id="rId1"/>
    <sheet name="Overzicht" sheetId="65" r:id="rId2"/>
    <sheet name="Rangschikking" sheetId="66" r:id="rId3"/>
    <sheet name="Correctiebedragen" sheetId="149" r:id="rId4"/>
    <sheet name="1" sheetId="151" r:id="rId5"/>
    <sheet name="2" sheetId="152" r:id="rId6"/>
    <sheet name="3" sheetId="153" r:id="rId7"/>
    <sheet name="4" sheetId="154" r:id="rId8"/>
    <sheet name="5" sheetId="155" r:id="rId9"/>
    <sheet name="6" sheetId="156" r:id="rId10"/>
    <sheet name="7" sheetId="157" r:id="rId11"/>
    <sheet name="8" sheetId="158" r:id="rId12"/>
    <sheet name="9" sheetId="159" r:id="rId13"/>
    <sheet name="10" sheetId="160" r:id="rId1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9" i="160" l="1"/>
  <c r="D134" i="160"/>
  <c r="D133" i="160"/>
  <c r="C129" i="160"/>
  <c r="AR125" i="160"/>
  <c r="AQ125" i="160"/>
  <c r="AP125" i="160"/>
  <c r="AO125" i="160"/>
  <c r="AN125" i="160"/>
  <c r="AM125" i="160"/>
  <c r="AL125" i="160"/>
  <c r="AK125" i="160"/>
  <c r="AJ125" i="160"/>
  <c r="AI125" i="160"/>
  <c r="AH125" i="160"/>
  <c r="AG125" i="160"/>
  <c r="AF125" i="160"/>
  <c r="AE125" i="160"/>
  <c r="AD125" i="160"/>
  <c r="AC125" i="160"/>
  <c r="AB125" i="160"/>
  <c r="AA125" i="160"/>
  <c r="Z125" i="160"/>
  <c r="Y125" i="160"/>
  <c r="X125" i="160"/>
  <c r="W125" i="160"/>
  <c r="V125" i="160"/>
  <c r="U125" i="160"/>
  <c r="T125" i="160"/>
  <c r="AR123" i="160"/>
  <c r="AQ123" i="160"/>
  <c r="AP123" i="160"/>
  <c r="AO123" i="160"/>
  <c r="AN123" i="160"/>
  <c r="AM123" i="160"/>
  <c r="AL123" i="160"/>
  <c r="AK123" i="160"/>
  <c r="AJ123" i="160"/>
  <c r="AI123" i="160"/>
  <c r="AH123" i="160"/>
  <c r="AG123" i="160"/>
  <c r="AF123" i="160"/>
  <c r="AE123" i="160"/>
  <c r="AD123" i="160"/>
  <c r="AC123" i="160"/>
  <c r="AB123" i="160"/>
  <c r="AA123" i="160"/>
  <c r="Z123" i="160"/>
  <c r="Y123" i="160"/>
  <c r="X123" i="160"/>
  <c r="W123" i="160"/>
  <c r="V123" i="160"/>
  <c r="U123" i="160"/>
  <c r="T123" i="160"/>
  <c r="C123" i="160"/>
  <c r="AR114" i="160"/>
  <c r="AQ114" i="160"/>
  <c r="AP114" i="160"/>
  <c r="AO114" i="160"/>
  <c r="AN114" i="160"/>
  <c r="AM114" i="160"/>
  <c r="AL114" i="160"/>
  <c r="AK114" i="160"/>
  <c r="AJ114" i="160"/>
  <c r="AI114" i="160"/>
  <c r="AH114" i="160"/>
  <c r="AG114" i="160"/>
  <c r="AF114" i="160"/>
  <c r="AE114" i="160"/>
  <c r="AD114" i="160"/>
  <c r="AC114" i="160"/>
  <c r="AB114" i="160"/>
  <c r="AA114" i="160"/>
  <c r="Z114" i="160"/>
  <c r="Y114" i="160"/>
  <c r="X114" i="160"/>
  <c r="W114" i="160"/>
  <c r="V114" i="160"/>
  <c r="U114" i="160"/>
  <c r="T114" i="160"/>
  <c r="AR113" i="160"/>
  <c r="AR115" i="160" s="1"/>
  <c r="AQ113" i="160"/>
  <c r="AQ115" i="160" s="1"/>
  <c r="AP113" i="160"/>
  <c r="AP115" i="160" s="1"/>
  <c r="AO113" i="160"/>
  <c r="AO115" i="160" s="1"/>
  <c r="AN113" i="160"/>
  <c r="AN115" i="160" s="1"/>
  <c r="AM113" i="160"/>
  <c r="AM115" i="160" s="1"/>
  <c r="AL113" i="160"/>
  <c r="AL115" i="160" s="1"/>
  <c r="AK113" i="160"/>
  <c r="AK115" i="160" s="1"/>
  <c r="AJ113" i="160"/>
  <c r="AJ115" i="160" s="1"/>
  <c r="AI113" i="160"/>
  <c r="AI115" i="160" s="1"/>
  <c r="AH113" i="160"/>
  <c r="AH115" i="160" s="1"/>
  <c r="AG113" i="160"/>
  <c r="AG115" i="160" s="1"/>
  <c r="AF113" i="160"/>
  <c r="AF115" i="160" s="1"/>
  <c r="AE113" i="160"/>
  <c r="AE115" i="160" s="1"/>
  <c r="AD113" i="160"/>
  <c r="AD115" i="160" s="1"/>
  <c r="AC113" i="160"/>
  <c r="AC115" i="160" s="1"/>
  <c r="AB113" i="160"/>
  <c r="AB115" i="160" s="1"/>
  <c r="AA113" i="160"/>
  <c r="AA115" i="160" s="1"/>
  <c r="Z113" i="160"/>
  <c r="Z115" i="160" s="1"/>
  <c r="Y113" i="160"/>
  <c r="Y115" i="160" s="1"/>
  <c r="X113" i="160"/>
  <c r="X115" i="160" s="1"/>
  <c r="W113" i="160"/>
  <c r="W115" i="160" s="1"/>
  <c r="V113" i="160"/>
  <c r="V115" i="160" s="1"/>
  <c r="U113" i="160"/>
  <c r="U115" i="160" s="1"/>
  <c r="T113" i="160"/>
  <c r="T115" i="160" s="1"/>
  <c r="AR112" i="160"/>
  <c r="AQ112" i="160"/>
  <c r="AP112" i="160"/>
  <c r="AO112" i="160"/>
  <c r="AN112" i="160"/>
  <c r="AM112" i="160"/>
  <c r="AL112" i="160"/>
  <c r="AK112" i="160"/>
  <c r="AJ112" i="160"/>
  <c r="AI112" i="160"/>
  <c r="AH112" i="160"/>
  <c r="AG112" i="160"/>
  <c r="AF112" i="160"/>
  <c r="AE112" i="160"/>
  <c r="AD112" i="160"/>
  <c r="AC112" i="160"/>
  <c r="AB112" i="160"/>
  <c r="AA112" i="160"/>
  <c r="Z112" i="160"/>
  <c r="Y112" i="160"/>
  <c r="X112" i="160"/>
  <c r="W112" i="160"/>
  <c r="V112" i="160"/>
  <c r="U112" i="160"/>
  <c r="T112" i="160"/>
  <c r="R112" i="160"/>
  <c r="AN109" i="160"/>
  <c r="AK109" i="160"/>
  <c r="AH109" i="160"/>
  <c r="AF109" i="160"/>
  <c r="AC109" i="160"/>
  <c r="X109" i="160"/>
  <c r="U109" i="160"/>
  <c r="AR104" i="160"/>
  <c r="AQ104" i="160"/>
  <c r="AP104" i="160"/>
  <c r="AO104" i="160"/>
  <c r="AN104" i="160"/>
  <c r="AM104" i="160"/>
  <c r="AL104" i="160"/>
  <c r="AK104" i="160"/>
  <c r="AJ104" i="160"/>
  <c r="AI104" i="160"/>
  <c r="AH104" i="160"/>
  <c r="AG104" i="160"/>
  <c r="AF104" i="160"/>
  <c r="AE104" i="160"/>
  <c r="AD104" i="160"/>
  <c r="AC104" i="160"/>
  <c r="AB104" i="160"/>
  <c r="AA104" i="160"/>
  <c r="Z104" i="160"/>
  <c r="Y104" i="160"/>
  <c r="X104" i="160"/>
  <c r="W104" i="160"/>
  <c r="V104" i="160"/>
  <c r="U104" i="160"/>
  <c r="T104" i="160"/>
  <c r="S104" i="160"/>
  <c r="R104" i="160"/>
  <c r="Q104" i="160"/>
  <c r="P104" i="160"/>
  <c r="O104" i="160"/>
  <c r="N104" i="160"/>
  <c r="M104" i="160"/>
  <c r="L104" i="160"/>
  <c r="K104" i="160"/>
  <c r="J104" i="160"/>
  <c r="I104" i="160"/>
  <c r="H104" i="160"/>
  <c r="G104" i="160"/>
  <c r="F104" i="160"/>
  <c r="E104" i="160"/>
  <c r="C104" i="160"/>
  <c r="AQ103" i="160"/>
  <c r="AO103" i="160"/>
  <c r="AK103" i="160"/>
  <c r="AI103" i="160"/>
  <c r="AG103" i="160"/>
  <c r="AD103" i="160"/>
  <c r="AC103" i="160"/>
  <c r="AA103" i="160"/>
  <c r="Y103" i="160"/>
  <c r="U103" i="160"/>
  <c r="S103" i="160"/>
  <c r="Q103" i="160"/>
  <c r="N103" i="160"/>
  <c r="M103" i="160"/>
  <c r="K103" i="160"/>
  <c r="I103" i="160"/>
  <c r="E103" i="160"/>
  <c r="C103" i="160"/>
  <c r="AR102" i="160"/>
  <c r="AQ102" i="160"/>
  <c r="AP102" i="160"/>
  <c r="AO102" i="160"/>
  <c r="AN102" i="160"/>
  <c r="AM102" i="160"/>
  <c r="AL102" i="160"/>
  <c r="AK102" i="160"/>
  <c r="AJ102" i="160"/>
  <c r="AI102" i="160"/>
  <c r="AH102" i="160"/>
  <c r="AG102" i="160"/>
  <c r="AF102" i="160"/>
  <c r="AE102" i="160"/>
  <c r="AD102" i="160"/>
  <c r="AC102" i="160"/>
  <c r="AB102" i="160"/>
  <c r="AA102" i="160"/>
  <c r="Z102" i="160"/>
  <c r="Y102" i="160"/>
  <c r="X102" i="160"/>
  <c r="W102" i="160"/>
  <c r="V102" i="160"/>
  <c r="U102" i="160"/>
  <c r="T102" i="160"/>
  <c r="S102" i="160"/>
  <c r="R102" i="160"/>
  <c r="Q102" i="160"/>
  <c r="P102" i="160"/>
  <c r="O102" i="160"/>
  <c r="N102" i="160"/>
  <c r="M102" i="160"/>
  <c r="L102" i="160"/>
  <c r="K102" i="160"/>
  <c r="J102" i="160"/>
  <c r="I102" i="160"/>
  <c r="H102" i="160"/>
  <c r="G102" i="160"/>
  <c r="F102" i="160"/>
  <c r="E102" i="160"/>
  <c r="AR101" i="160"/>
  <c r="AQ101" i="160"/>
  <c r="AP101" i="160"/>
  <c r="AP103" i="160" s="1"/>
  <c r="AO101" i="160"/>
  <c r="AN101" i="160"/>
  <c r="AN103" i="160" s="1"/>
  <c r="AM101" i="160"/>
  <c r="AL101" i="160"/>
  <c r="AK101" i="160"/>
  <c r="AJ101" i="160"/>
  <c r="AI101" i="160"/>
  <c r="AH101" i="160"/>
  <c r="AH103" i="160" s="1"/>
  <c r="AG101" i="160"/>
  <c r="AF101" i="160"/>
  <c r="AF103" i="160" s="1"/>
  <c r="AE101" i="160"/>
  <c r="AD101" i="160"/>
  <c r="AC101" i="160"/>
  <c r="AB101" i="160"/>
  <c r="AA101" i="160"/>
  <c r="Z101" i="160"/>
  <c r="Z103" i="160" s="1"/>
  <c r="Y101" i="160"/>
  <c r="X101" i="160"/>
  <c r="X103" i="160" s="1"/>
  <c r="W101" i="160"/>
  <c r="V101" i="160"/>
  <c r="U101" i="160"/>
  <c r="T101" i="160"/>
  <c r="S101" i="160"/>
  <c r="R101" i="160"/>
  <c r="R103" i="160" s="1"/>
  <c r="Q101" i="160"/>
  <c r="P101" i="160"/>
  <c r="P103" i="160" s="1"/>
  <c r="O101" i="160"/>
  <c r="N101" i="160"/>
  <c r="M101" i="160"/>
  <c r="L101" i="160"/>
  <c r="K101" i="160"/>
  <c r="J101" i="160"/>
  <c r="J103" i="160" s="1"/>
  <c r="I101" i="160"/>
  <c r="H101" i="160"/>
  <c r="H103" i="160" s="1"/>
  <c r="G101" i="160"/>
  <c r="F101" i="160"/>
  <c r="E101" i="160"/>
  <c r="AR100" i="160"/>
  <c r="AQ100" i="160"/>
  <c r="AP100" i="160"/>
  <c r="AO100" i="160"/>
  <c r="AN100" i="160"/>
  <c r="AM100" i="160"/>
  <c r="AL100" i="160"/>
  <c r="AK100" i="160"/>
  <c r="AJ100" i="160"/>
  <c r="AI100" i="160"/>
  <c r="AH100" i="160"/>
  <c r="AG100" i="160"/>
  <c r="AF100" i="160"/>
  <c r="AE100" i="160"/>
  <c r="AD100" i="160"/>
  <c r="AC100" i="160"/>
  <c r="AB100" i="160"/>
  <c r="AA100" i="160"/>
  <c r="Z100" i="160"/>
  <c r="Y100" i="160"/>
  <c r="X100" i="160"/>
  <c r="W100" i="160"/>
  <c r="V100" i="160"/>
  <c r="U100" i="160"/>
  <c r="T100" i="160"/>
  <c r="S100" i="160"/>
  <c r="R100" i="160"/>
  <c r="Q100" i="160"/>
  <c r="P100" i="160"/>
  <c r="O100" i="160"/>
  <c r="N100" i="160"/>
  <c r="M100" i="160"/>
  <c r="L100" i="160"/>
  <c r="K100" i="160"/>
  <c r="J100" i="160"/>
  <c r="I100" i="160"/>
  <c r="H100" i="160"/>
  <c r="G100" i="160"/>
  <c r="F100" i="160"/>
  <c r="E100" i="160"/>
  <c r="AR99" i="160"/>
  <c r="AR109" i="160" s="1"/>
  <c r="AQ99" i="160"/>
  <c r="AQ109" i="160" s="1"/>
  <c r="AP99" i="160"/>
  <c r="AP109" i="160" s="1"/>
  <c r="AO99" i="160"/>
  <c r="AO109" i="160" s="1"/>
  <c r="AN99" i="160"/>
  <c r="AM99" i="160"/>
  <c r="AM109" i="160" s="1"/>
  <c r="AL99" i="160"/>
  <c r="AL109" i="160" s="1"/>
  <c r="AK99" i="160"/>
  <c r="AJ99" i="160"/>
  <c r="AJ109" i="160" s="1"/>
  <c r="AI99" i="160"/>
  <c r="AI109" i="160" s="1"/>
  <c r="AH99" i="160"/>
  <c r="AG99" i="160"/>
  <c r="AG109" i="160" s="1"/>
  <c r="AF99" i="160"/>
  <c r="AE99" i="160"/>
  <c r="AE109" i="160" s="1"/>
  <c r="AD99" i="160"/>
  <c r="AD109" i="160" s="1"/>
  <c r="AC99" i="160"/>
  <c r="AB99" i="160"/>
  <c r="AB109" i="160" s="1"/>
  <c r="AA99" i="160"/>
  <c r="AA109" i="160" s="1"/>
  <c r="Z99" i="160"/>
  <c r="Z109" i="160" s="1"/>
  <c r="Y99" i="160"/>
  <c r="Y109" i="160" s="1"/>
  <c r="X99" i="160"/>
  <c r="W99" i="160"/>
  <c r="W109" i="160" s="1"/>
  <c r="V99" i="160"/>
  <c r="V109" i="160" s="1"/>
  <c r="U99" i="160"/>
  <c r="T99" i="160"/>
  <c r="T109" i="160" s="1"/>
  <c r="C97" i="160"/>
  <c r="AR96" i="160"/>
  <c r="AQ96" i="160"/>
  <c r="AP96" i="160"/>
  <c r="AO96" i="160"/>
  <c r="AN96" i="160"/>
  <c r="AM96" i="160"/>
  <c r="AL96" i="160"/>
  <c r="AK96" i="160"/>
  <c r="AJ96" i="160"/>
  <c r="AI96" i="160"/>
  <c r="AH96" i="160"/>
  <c r="AG96" i="160"/>
  <c r="AF96" i="160"/>
  <c r="AE96" i="160"/>
  <c r="AD96" i="160"/>
  <c r="AC96" i="160"/>
  <c r="AB96" i="160"/>
  <c r="AA96" i="160"/>
  <c r="Z96" i="160"/>
  <c r="Y96" i="160"/>
  <c r="X96" i="160"/>
  <c r="W96" i="160"/>
  <c r="V96" i="160"/>
  <c r="U96" i="160"/>
  <c r="T96" i="160"/>
  <c r="S96" i="160"/>
  <c r="R96" i="160"/>
  <c r="Q96" i="160"/>
  <c r="P96" i="160"/>
  <c r="O96" i="160"/>
  <c r="N96" i="160"/>
  <c r="M96" i="160"/>
  <c r="L96" i="160"/>
  <c r="K96" i="160"/>
  <c r="J96" i="160"/>
  <c r="I96" i="160"/>
  <c r="H96" i="160"/>
  <c r="G96" i="160"/>
  <c r="F96" i="160"/>
  <c r="E96" i="160"/>
  <c r="AR95" i="160"/>
  <c r="AQ95" i="160"/>
  <c r="AP95" i="160"/>
  <c r="AO95" i="160"/>
  <c r="AN95" i="160"/>
  <c r="AM95" i="160"/>
  <c r="AL95" i="160"/>
  <c r="AK95" i="160"/>
  <c r="AJ95" i="160"/>
  <c r="AI95" i="160"/>
  <c r="AH95" i="160"/>
  <c r="AG95" i="160"/>
  <c r="AF95" i="160"/>
  <c r="AE95" i="160"/>
  <c r="AD95" i="160"/>
  <c r="AC95" i="160"/>
  <c r="AB95" i="160"/>
  <c r="AA95" i="160"/>
  <c r="Z95" i="160"/>
  <c r="Y95" i="160"/>
  <c r="X95" i="160"/>
  <c r="W95" i="160"/>
  <c r="V95" i="160"/>
  <c r="U95" i="160"/>
  <c r="T95" i="160"/>
  <c r="S95" i="160"/>
  <c r="R95" i="160"/>
  <c r="Q95" i="160"/>
  <c r="P95" i="160"/>
  <c r="O95" i="160"/>
  <c r="N95" i="160"/>
  <c r="M95" i="160"/>
  <c r="L95" i="160"/>
  <c r="K95" i="160"/>
  <c r="J95" i="160"/>
  <c r="I95" i="160"/>
  <c r="H95" i="160"/>
  <c r="G95" i="160"/>
  <c r="F95" i="160"/>
  <c r="E95" i="160"/>
  <c r="C95" i="160"/>
  <c r="C94" i="160"/>
  <c r="D92" i="160"/>
  <c r="D124" i="160" s="1"/>
  <c r="AR87" i="160"/>
  <c r="AQ87" i="160"/>
  <c r="AP87" i="160"/>
  <c r="AO87" i="160"/>
  <c r="AN87" i="160"/>
  <c r="AM87" i="160"/>
  <c r="AL87" i="160"/>
  <c r="AK87" i="160"/>
  <c r="AJ87" i="160"/>
  <c r="AI87" i="160"/>
  <c r="AH87" i="160"/>
  <c r="AG87" i="160"/>
  <c r="AF87" i="160"/>
  <c r="AE87" i="160"/>
  <c r="AD87" i="160"/>
  <c r="AC87" i="160"/>
  <c r="AB87" i="160"/>
  <c r="AA87" i="160"/>
  <c r="Z87" i="160"/>
  <c r="Y87" i="160"/>
  <c r="X87" i="160"/>
  <c r="W87" i="160"/>
  <c r="V87" i="160"/>
  <c r="U87" i="160"/>
  <c r="T87" i="160"/>
  <c r="S87" i="160"/>
  <c r="R87" i="160"/>
  <c r="Q87" i="160"/>
  <c r="P87" i="160"/>
  <c r="O87" i="160"/>
  <c r="N87" i="160"/>
  <c r="M87" i="160"/>
  <c r="L87" i="160"/>
  <c r="K87" i="160"/>
  <c r="J87" i="160"/>
  <c r="I87" i="160"/>
  <c r="H87" i="160"/>
  <c r="G87" i="160"/>
  <c r="F87" i="160"/>
  <c r="E87" i="160"/>
  <c r="C72" i="160"/>
  <c r="D132" i="160" s="1"/>
  <c r="D54" i="160"/>
  <c r="D53" i="160"/>
  <c r="D52" i="160"/>
  <c r="D49" i="160"/>
  <c r="C48" i="160"/>
  <c r="D47" i="160"/>
  <c r="C46" i="160"/>
  <c r="D45" i="160"/>
  <c r="C43" i="160"/>
  <c r="C8" i="160" s="1"/>
  <c r="D40" i="160"/>
  <c r="C39" i="160"/>
  <c r="D38" i="160"/>
  <c r="D37" i="160"/>
  <c r="C36" i="160"/>
  <c r="D130" i="160" s="1"/>
  <c r="D35" i="160"/>
  <c r="D34" i="160"/>
  <c r="C31" i="160"/>
  <c r="C29" i="160"/>
  <c r="D25" i="160"/>
  <c r="C24" i="160"/>
  <c r="D23" i="160"/>
  <c r="C22" i="160"/>
  <c r="D19" i="160"/>
  <c r="D8" i="160"/>
  <c r="D7" i="160"/>
  <c r="D5" i="160"/>
  <c r="F139" i="159"/>
  <c r="D134" i="159"/>
  <c r="D133" i="159"/>
  <c r="C129" i="159"/>
  <c r="AR125" i="159"/>
  <c r="AQ125" i="159"/>
  <c r="AP125" i="159"/>
  <c r="AO125" i="159"/>
  <c r="AN125" i="159"/>
  <c r="AM125" i="159"/>
  <c r="AL125" i="159"/>
  <c r="AK125" i="159"/>
  <c r="AJ125" i="159"/>
  <c r="AI125" i="159"/>
  <c r="AH125" i="159"/>
  <c r="AG125" i="159"/>
  <c r="AF125" i="159"/>
  <c r="AE125" i="159"/>
  <c r="AD125" i="159"/>
  <c r="AC125" i="159"/>
  <c r="AB125" i="159"/>
  <c r="AA125" i="159"/>
  <c r="Z125" i="159"/>
  <c r="Y125" i="159"/>
  <c r="X125" i="159"/>
  <c r="W125" i="159"/>
  <c r="V125" i="159"/>
  <c r="U125" i="159"/>
  <c r="T125" i="159"/>
  <c r="AR123" i="159"/>
  <c r="AQ123" i="159"/>
  <c r="AP123" i="159"/>
  <c r="AO123" i="159"/>
  <c r="AN123" i="159"/>
  <c r="AM123" i="159"/>
  <c r="AL123" i="159"/>
  <c r="AK123" i="159"/>
  <c r="AJ123" i="159"/>
  <c r="AI123" i="159"/>
  <c r="AH123" i="159"/>
  <c r="AG123" i="159"/>
  <c r="AF123" i="159"/>
  <c r="AE123" i="159"/>
  <c r="AD123" i="159"/>
  <c r="AC123" i="159"/>
  <c r="AB123" i="159"/>
  <c r="AA123" i="159"/>
  <c r="Z123" i="159"/>
  <c r="Y123" i="159"/>
  <c r="X123" i="159"/>
  <c r="W123" i="159"/>
  <c r="V123" i="159"/>
  <c r="U123" i="159"/>
  <c r="T123" i="159"/>
  <c r="C123" i="159"/>
  <c r="AR115" i="159"/>
  <c r="AO115" i="159"/>
  <c r="AJ115" i="159"/>
  <c r="AI115" i="159"/>
  <c r="AE115" i="159"/>
  <c r="Y115" i="159"/>
  <c r="T115" i="159"/>
  <c r="AR114" i="159"/>
  <c r="AQ114" i="159"/>
  <c r="AP114" i="159"/>
  <c r="AP115" i="159" s="1"/>
  <c r="AO114" i="159"/>
  <c r="AN114" i="159"/>
  <c r="AM114" i="159"/>
  <c r="AL114" i="159"/>
  <c r="AK114" i="159"/>
  <c r="AJ114" i="159"/>
  <c r="AI114" i="159"/>
  <c r="AH114" i="159"/>
  <c r="AH115" i="159" s="1"/>
  <c r="AG114" i="159"/>
  <c r="AG115" i="159" s="1"/>
  <c r="AF114" i="159"/>
  <c r="AE114" i="159"/>
  <c r="AD114" i="159"/>
  <c r="AC114" i="159"/>
  <c r="AB114" i="159"/>
  <c r="AA114" i="159"/>
  <c r="Z114" i="159"/>
  <c r="Z115" i="159" s="1"/>
  <c r="Y114" i="159"/>
  <c r="X114" i="159"/>
  <c r="W114" i="159"/>
  <c r="V114" i="159"/>
  <c r="U114" i="159"/>
  <c r="T114" i="159"/>
  <c r="AR113" i="159"/>
  <c r="AQ113" i="159"/>
  <c r="AQ115" i="159" s="1"/>
  <c r="AP113" i="159"/>
  <c r="AO113" i="159"/>
  <c r="AN113" i="159"/>
  <c r="AN115" i="159" s="1"/>
  <c r="AM113" i="159"/>
  <c r="AM115" i="159" s="1"/>
  <c r="AL113" i="159"/>
  <c r="AL115" i="159" s="1"/>
  <c r="AK113" i="159"/>
  <c r="AK115" i="159" s="1"/>
  <c r="AJ113" i="159"/>
  <c r="AI113" i="159"/>
  <c r="AH113" i="159"/>
  <c r="AG113" i="159"/>
  <c r="AF113" i="159"/>
  <c r="AF115" i="159" s="1"/>
  <c r="AE113" i="159"/>
  <c r="AD113" i="159"/>
  <c r="AD115" i="159" s="1"/>
  <c r="AC113" i="159"/>
  <c r="AC115" i="159" s="1"/>
  <c r="AB113" i="159"/>
  <c r="AB115" i="159" s="1"/>
  <c r="AA113" i="159"/>
  <c r="AA115" i="159" s="1"/>
  <c r="Z113" i="159"/>
  <c r="Y113" i="159"/>
  <c r="X113" i="159"/>
  <c r="X115" i="159" s="1"/>
  <c r="W113" i="159"/>
  <c r="W115" i="159" s="1"/>
  <c r="V113" i="159"/>
  <c r="V115" i="159" s="1"/>
  <c r="U113" i="159"/>
  <c r="U115" i="159" s="1"/>
  <c r="T113" i="159"/>
  <c r="AR112" i="159"/>
  <c r="AQ112" i="159"/>
  <c r="AP112" i="159"/>
  <c r="AO112" i="159"/>
  <c r="AN112" i="159"/>
  <c r="AM112" i="159"/>
  <c r="AL112" i="159"/>
  <c r="AK112" i="159"/>
  <c r="AJ112" i="159"/>
  <c r="AI112" i="159"/>
  <c r="AH112" i="159"/>
  <c r="AG112" i="159"/>
  <c r="AF112" i="159"/>
  <c r="AE112" i="159"/>
  <c r="AD112" i="159"/>
  <c r="AC112" i="159"/>
  <c r="AB112" i="159"/>
  <c r="AA112" i="159"/>
  <c r="Z112" i="159"/>
  <c r="Y112" i="159"/>
  <c r="X112" i="159"/>
  <c r="W112" i="159"/>
  <c r="V112" i="159"/>
  <c r="U112" i="159"/>
  <c r="T112" i="159"/>
  <c r="AQ109" i="159"/>
  <c r="AP109" i="159"/>
  <c r="AL109" i="159"/>
  <c r="AI109" i="159"/>
  <c r="AH109" i="159"/>
  <c r="AE109" i="159"/>
  <c r="AD109" i="159"/>
  <c r="AA109" i="159"/>
  <c r="Z109" i="159"/>
  <c r="AR104" i="159"/>
  <c r="AQ104" i="159"/>
  <c r="AP104" i="159"/>
  <c r="AO104" i="159"/>
  <c r="AN104" i="159"/>
  <c r="AM104" i="159"/>
  <c r="AL104" i="159"/>
  <c r="AK104" i="159"/>
  <c r="AJ104" i="159"/>
  <c r="AI104" i="159"/>
  <c r="AH104" i="159"/>
  <c r="AG104" i="159"/>
  <c r="AF104" i="159"/>
  <c r="AE104" i="159"/>
  <c r="AD104" i="159"/>
  <c r="AC104" i="159"/>
  <c r="AB104" i="159"/>
  <c r="AA104" i="159"/>
  <c r="Z104" i="159"/>
  <c r="Y104" i="159"/>
  <c r="X104" i="159"/>
  <c r="W104" i="159"/>
  <c r="V104" i="159"/>
  <c r="U104" i="159"/>
  <c r="T104" i="159"/>
  <c r="S104" i="159"/>
  <c r="R104" i="159"/>
  <c r="Q104" i="159"/>
  <c r="P104" i="159"/>
  <c r="O104" i="159"/>
  <c r="N104" i="159"/>
  <c r="M104" i="159"/>
  <c r="L104" i="159"/>
  <c r="K104" i="159"/>
  <c r="J104" i="159"/>
  <c r="I104" i="159"/>
  <c r="H104" i="159"/>
  <c r="G104" i="159"/>
  <c r="F104" i="159"/>
  <c r="E104" i="159"/>
  <c r="C104" i="159"/>
  <c r="AQ103" i="159"/>
  <c r="AM103" i="159"/>
  <c r="AL103" i="159"/>
  <c r="AI103" i="159"/>
  <c r="AD103" i="159"/>
  <c r="AA103" i="159"/>
  <c r="X103" i="159"/>
  <c r="W103" i="159"/>
  <c r="V103" i="159"/>
  <c r="S103" i="159"/>
  <c r="O103" i="159"/>
  <c r="N103" i="159"/>
  <c r="K103" i="159"/>
  <c r="F103" i="159"/>
  <c r="C103" i="159"/>
  <c r="AR102" i="159"/>
  <c r="AQ102" i="159"/>
  <c r="AP102" i="159"/>
  <c r="AO102" i="159"/>
  <c r="AN102" i="159"/>
  <c r="AM102" i="159"/>
  <c r="AL102" i="159"/>
  <c r="AK102" i="159"/>
  <c r="AJ102" i="159"/>
  <c r="AI102" i="159"/>
  <c r="AH102" i="159"/>
  <c r="AG102" i="159"/>
  <c r="AF102" i="159"/>
  <c r="AE102" i="159"/>
  <c r="AD102" i="159"/>
  <c r="AC102" i="159"/>
  <c r="AB102" i="159"/>
  <c r="AA102" i="159"/>
  <c r="Z102" i="159"/>
  <c r="Y102" i="159"/>
  <c r="X102" i="159"/>
  <c r="W102" i="159"/>
  <c r="V102" i="159"/>
  <c r="U102" i="159"/>
  <c r="T102" i="159"/>
  <c r="S102" i="159"/>
  <c r="R102" i="159"/>
  <c r="Q102" i="159"/>
  <c r="P102" i="159"/>
  <c r="O102" i="159"/>
  <c r="N102" i="159"/>
  <c r="M102" i="159"/>
  <c r="L102" i="159"/>
  <c r="K102" i="159"/>
  <c r="J102" i="159"/>
  <c r="I102" i="159"/>
  <c r="H102" i="159"/>
  <c r="G102" i="159"/>
  <c r="F102" i="159"/>
  <c r="E102" i="159"/>
  <c r="AR101" i="159"/>
  <c r="AQ101" i="159"/>
  <c r="AP101" i="159"/>
  <c r="AP103" i="159" s="1"/>
  <c r="AO101" i="159"/>
  <c r="AN101" i="159"/>
  <c r="AM101" i="159"/>
  <c r="AL101" i="159"/>
  <c r="AK101" i="159"/>
  <c r="AJ101" i="159"/>
  <c r="AI101" i="159"/>
  <c r="AH101" i="159"/>
  <c r="AH103" i="159" s="1"/>
  <c r="AG101" i="159"/>
  <c r="AF101" i="159"/>
  <c r="AE101" i="159"/>
  <c r="AE103" i="159" s="1"/>
  <c r="AD101" i="159"/>
  <c r="AC101" i="159"/>
  <c r="AC103" i="159" s="1"/>
  <c r="AB101" i="159"/>
  <c r="AB103" i="159" s="1"/>
  <c r="AA101" i="159"/>
  <c r="Z101" i="159"/>
  <c r="Z103" i="159" s="1"/>
  <c r="Y101" i="159"/>
  <c r="X101" i="159"/>
  <c r="W101" i="159"/>
  <c r="V101" i="159"/>
  <c r="U101" i="159"/>
  <c r="T101" i="159"/>
  <c r="S101" i="159"/>
  <c r="R101" i="159"/>
  <c r="R103" i="159" s="1"/>
  <c r="Q101" i="159"/>
  <c r="P101" i="159"/>
  <c r="O101" i="159"/>
  <c r="N101" i="159"/>
  <c r="M101" i="159"/>
  <c r="L101" i="159"/>
  <c r="L103" i="159" s="1"/>
  <c r="K101" i="159"/>
  <c r="J101" i="159"/>
  <c r="J103" i="159" s="1"/>
  <c r="I101" i="159"/>
  <c r="H101" i="159"/>
  <c r="G101" i="159"/>
  <c r="G103" i="159" s="1"/>
  <c r="F101" i="159"/>
  <c r="E101" i="159"/>
  <c r="AR100" i="159"/>
  <c r="AQ100" i="159"/>
  <c r="AP100" i="159"/>
  <c r="AO100" i="159"/>
  <c r="AN100" i="159"/>
  <c r="AM100" i="159"/>
  <c r="AL100" i="159"/>
  <c r="AK100" i="159"/>
  <c r="AJ100" i="159"/>
  <c r="AI100" i="159"/>
  <c r="AH100" i="159"/>
  <c r="AG100" i="159"/>
  <c r="AF100" i="159"/>
  <c r="AE100" i="159"/>
  <c r="AD100" i="159"/>
  <c r="AC100" i="159"/>
  <c r="AB100" i="159"/>
  <c r="AA100" i="159"/>
  <c r="Z100" i="159"/>
  <c r="Y100" i="159"/>
  <c r="X100" i="159"/>
  <c r="W100" i="159"/>
  <c r="V100" i="159"/>
  <c r="U100" i="159"/>
  <c r="T100" i="159"/>
  <c r="S100" i="159"/>
  <c r="R100" i="159"/>
  <c r="Q100" i="159"/>
  <c r="P100" i="159"/>
  <c r="O100" i="159"/>
  <c r="N100" i="159"/>
  <c r="M100" i="159"/>
  <c r="L100" i="159"/>
  <c r="K100" i="159"/>
  <c r="J100" i="159"/>
  <c r="I100" i="159"/>
  <c r="H100" i="159"/>
  <c r="G100" i="159"/>
  <c r="F100" i="159"/>
  <c r="E100" i="159"/>
  <c r="AR99" i="159"/>
  <c r="AR109" i="159" s="1"/>
  <c r="AQ99" i="159"/>
  <c r="AP99" i="159"/>
  <c r="AO99" i="159"/>
  <c r="AO109" i="159" s="1"/>
  <c r="AN99" i="159"/>
  <c r="AN109" i="159" s="1"/>
  <c r="AM99" i="159"/>
  <c r="AM109" i="159" s="1"/>
  <c r="AL99" i="159"/>
  <c r="AK99" i="159"/>
  <c r="AK109" i="159" s="1"/>
  <c r="AJ99" i="159"/>
  <c r="AJ109" i="159" s="1"/>
  <c r="AI99" i="159"/>
  <c r="AH99" i="159"/>
  <c r="AG99" i="159"/>
  <c r="AG109" i="159" s="1"/>
  <c r="AF99" i="159"/>
  <c r="AF109" i="159" s="1"/>
  <c r="AE99" i="159"/>
  <c r="AD99" i="159"/>
  <c r="AC99" i="159"/>
  <c r="AC109" i="159" s="1"/>
  <c r="AB99" i="159"/>
  <c r="AB109" i="159" s="1"/>
  <c r="AA99" i="159"/>
  <c r="Z99" i="159"/>
  <c r="Y99" i="159"/>
  <c r="Y109" i="159" s="1"/>
  <c r="C97" i="159"/>
  <c r="AR96" i="159"/>
  <c r="AQ96" i="159"/>
  <c r="AP96" i="159"/>
  <c r="AO96" i="159"/>
  <c r="AN96" i="159"/>
  <c r="AM96" i="159"/>
  <c r="AL96" i="159"/>
  <c r="AK96" i="159"/>
  <c r="AJ96" i="159"/>
  <c r="AI96" i="159"/>
  <c r="AH96" i="159"/>
  <c r="AG96" i="159"/>
  <c r="AF96" i="159"/>
  <c r="AE96" i="159"/>
  <c r="AD96" i="159"/>
  <c r="AC96" i="159"/>
  <c r="AB96" i="159"/>
  <c r="AA96" i="159"/>
  <c r="Z96" i="159"/>
  <c r="Y96" i="159"/>
  <c r="X96" i="159"/>
  <c r="W96" i="159"/>
  <c r="V96" i="159"/>
  <c r="U96" i="159"/>
  <c r="T96" i="159"/>
  <c r="S96" i="159"/>
  <c r="R96" i="159"/>
  <c r="Q96" i="159"/>
  <c r="P96" i="159"/>
  <c r="O96" i="159"/>
  <c r="N96" i="159"/>
  <c r="M96" i="159"/>
  <c r="L96" i="159"/>
  <c r="K96" i="159"/>
  <c r="J96" i="159"/>
  <c r="I96" i="159"/>
  <c r="H96" i="159"/>
  <c r="G96" i="159"/>
  <c r="F96" i="159"/>
  <c r="E96" i="159"/>
  <c r="AR95" i="159"/>
  <c r="AQ95" i="159"/>
  <c r="AP95" i="159"/>
  <c r="AO95" i="159"/>
  <c r="AN95" i="159"/>
  <c r="AM95" i="159"/>
  <c r="AL95" i="159"/>
  <c r="AK95" i="159"/>
  <c r="AJ95" i="159"/>
  <c r="AI95" i="159"/>
  <c r="AH95" i="159"/>
  <c r="AG95" i="159"/>
  <c r="AF95" i="159"/>
  <c r="AE95" i="159"/>
  <c r="AD95" i="159"/>
  <c r="AC95" i="159"/>
  <c r="AB95" i="159"/>
  <c r="AA95" i="159"/>
  <c r="Z95" i="159"/>
  <c r="Y95" i="159"/>
  <c r="X95" i="159"/>
  <c r="W95" i="159"/>
  <c r="V95" i="159"/>
  <c r="U95" i="159"/>
  <c r="T95" i="159"/>
  <c r="S95" i="159"/>
  <c r="R95" i="159"/>
  <c r="Q95" i="159"/>
  <c r="P95" i="159"/>
  <c r="O95" i="159"/>
  <c r="N95" i="159"/>
  <c r="M95" i="159"/>
  <c r="L95" i="159"/>
  <c r="K95" i="159"/>
  <c r="J95" i="159"/>
  <c r="I95" i="159"/>
  <c r="H95" i="159"/>
  <c r="G95" i="159"/>
  <c r="F95" i="159"/>
  <c r="E95" i="159"/>
  <c r="C95" i="159"/>
  <c r="J94" i="159"/>
  <c r="C94" i="159"/>
  <c r="AR87" i="159"/>
  <c r="AQ87" i="159"/>
  <c r="AP87" i="159"/>
  <c r="AO87" i="159"/>
  <c r="AN87" i="159"/>
  <c r="AM87" i="159"/>
  <c r="AL87" i="159"/>
  <c r="AK87" i="159"/>
  <c r="AJ87" i="159"/>
  <c r="AI87" i="159"/>
  <c r="AH87" i="159"/>
  <c r="AG87" i="159"/>
  <c r="AF87" i="159"/>
  <c r="AE87" i="159"/>
  <c r="AD87" i="159"/>
  <c r="AC87" i="159"/>
  <c r="AB87" i="159"/>
  <c r="AA87" i="159"/>
  <c r="Z87" i="159"/>
  <c r="Y87" i="159"/>
  <c r="X87" i="159"/>
  <c r="W87" i="159"/>
  <c r="V87" i="159"/>
  <c r="U87" i="159"/>
  <c r="T87" i="159"/>
  <c r="S87" i="159"/>
  <c r="R87" i="159"/>
  <c r="Q87" i="159"/>
  <c r="P87" i="159"/>
  <c r="O87" i="159"/>
  <c r="N87" i="159"/>
  <c r="M87" i="159"/>
  <c r="L87" i="159"/>
  <c r="K87" i="159"/>
  <c r="J87" i="159"/>
  <c r="I87" i="159"/>
  <c r="H87" i="159"/>
  <c r="G87" i="159"/>
  <c r="F87" i="159"/>
  <c r="E87" i="159"/>
  <c r="C72" i="159"/>
  <c r="D132" i="159" s="1"/>
  <c r="D54" i="159"/>
  <c r="D53" i="159"/>
  <c r="D52" i="159"/>
  <c r="D49" i="159"/>
  <c r="C48" i="159"/>
  <c r="D47" i="159"/>
  <c r="C46" i="159"/>
  <c r="D45" i="159"/>
  <c r="C43" i="159"/>
  <c r="D40" i="159"/>
  <c r="C39" i="159"/>
  <c r="D38" i="159"/>
  <c r="D37" i="159"/>
  <c r="C36" i="159"/>
  <c r="D130" i="159" s="1"/>
  <c r="D35" i="159"/>
  <c r="D34" i="159"/>
  <c r="C31" i="159"/>
  <c r="C30" i="159"/>
  <c r="AP94" i="159" s="1"/>
  <c r="C29" i="159"/>
  <c r="D25" i="159"/>
  <c r="C24" i="159"/>
  <c r="D23" i="159"/>
  <c r="C22" i="159"/>
  <c r="D19" i="159"/>
  <c r="D8" i="159"/>
  <c r="C8" i="159"/>
  <c r="D7" i="159"/>
  <c r="D5" i="159"/>
  <c r="F139" i="158"/>
  <c r="D134" i="158"/>
  <c r="D133" i="158"/>
  <c r="C129" i="158"/>
  <c r="AR125" i="158"/>
  <c r="AQ125" i="158"/>
  <c r="AP125" i="158"/>
  <c r="AO125" i="158"/>
  <c r="AN125" i="158"/>
  <c r="AM125" i="158"/>
  <c r="AL125" i="158"/>
  <c r="AK125" i="158"/>
  <c r="AJ125" i="158"/>
  <c r="AI125" i="158"/>
  <c r="AH125" i="158"/>
  <c r="AG125" i="158"/>
  <c r="AF125" i="158"/>
  <c r="AE125" i="158"/>
  <c r="AD125" i="158"/>
  <c r="AC125" i="158"/>
  <c r="AB125" i="158"/>
  <c r="AA125" i="158"/>
  <c r="Z125" i="158"/>
  <c r="Y125" i="158"/>
  <c r="X125" i="158"/>
  <c r="W125" i="158"/>
  <c r="V125" i="158"/>
  <c r="U125" i="158"/>
  <c r="T125" i="158"/>
  <c r="AR123" i="158"/>
  <c r="AQ123" i="158"/>
  <c r="AP123" i="158"/>
  <c r="AO123" i="158"/>
  <c r="AN123" i="158"/>
  <c r="AM123" i="158"/>
  <c r="AL123" i="158"/>
  <c r="AK123" i="158"/>
  <c r="AJ123" i="158"/>
  <c r="AI123" i="158"/>
  <c r="AH123" i="158"/>
  <c r="AG123" i="158"/>
  <c r="AF123" i="158"/>
  <c r="AE123" i="158"/>
  <c r="AD123" i="158"/>
  <c r="AC123" i="158"/>
  <c r="AB123" i="158"/>
  <c r="AA123" i="158"/>
  <c r="Z123" i="158"/>
  <c r="Y123" i="158"/>
  <c r="X123" i="158"/>
  <c r="W123" i="158"/>
  <c r="V123" i="158"/>
  <c r="U123" i="158"/>
  <c r="T123" i="158"/>
  <c r="C123" i="158"/>
  <c r="AP115" i="158"/>
  <c r="AN115" i="158"/>
  <c r="AK115" i="158"/>
  <c r="AH115" i="158"/>
  <c r="AC115" i="158"/>
  <c r="Z115" i="158"/>
  <c r="X115" i="158"/>
  <c r="AR114" i="158"/>
  <c r="AQ114" i="158"/>
  <c r="AP114" i="158"/>
  <c r="AO114" i="158"/>
  <c r="AN114" i="158"/>
  <c r="AM114" i="158"/>
  <c r="AL114" i="158"/>
  <c r="AK114" i="158"/>
  <c r="AJ114" i="158"/>
  <c r="AI114" i="158"/>
  <c r="AH114" i="158"/>
  <c r="AG114" i="158"/>
  <c r="AF114" i="158"/>
  <c r="AE114" i="158"/>
  <c r="AD114" i="158"/>
  <c r="AC114" i="158"/>
  <c r="AB114" i="158"/>
  <c r="AA114" i="158"/>
  <c r="Z114" i="158"/>
  <c r="Y114" i="158"/>
  <c r="X114" i="158"/>
  <c r="W114" i="158"/>
  <c r="V114" i="158"/>
  <c r="U114" i="158"/>
  <c r="T114" i="158"/>
  <c r="AR113" i="158"/>
  <c r="AR115" i="158" s="1"/>
  <c r="AQ113" i="158"/>
  <c r="AQ115" i="158" s="1"/>
  <c r="AP113" i="158"/>
  <c r="AO113" i="158"/>
  <c r="AO115" i="158" s="1"/>
  <c r="AN113" i="158"/>
  <c r="AM113" i="158"/>
  <c r="AM115" i="158" s="1"/>
  <c r="AL113" i="158"/>
  <c r="AL115" i="158" s="1"/>
  <c r="AK113" i="158"/>
  <c r="AJ113" i="158"/>
  <c r="AJ115" i="158" s="1"/>
  <c r="AI113" i="158"/>
  <c r="AI115" i="158" s="1"/>
  <c r="AH113" i="158"/>
  <c r="AG113" i="158"/>
  <c r="AG115" i="158" s="1"/>
  <c r="AF113" i="158"/>
  <c r="AF115" i="158" s="1"/>
  <c r="AE113" i="158"/>
  <c r="AE115" i="158" s="1"/>
  <c r="AD113" i="158"/>
  <c r="AD115" i="158" s="1"/>
  <c r="AC113" i="158"/>
  <c r="AB113" i="158"/>
  <c r="AB115" i="158" s="1"/>
  <c r="AA113" i="158"/>
  <c r="AA115" i="158" s="1"/>
  <c r="Z113" i="158"/>
  <c r="Y113" i="158"/>
  <c r="Y115" i="158" s="1"/>
  <c r="X113" i="158"/>
  <c r="W113" i="158"/>
  <c r="W115" i="158" s="1"/>
  <c r="V113" i="158"/>
  <c r="V115" i="158" s="1"/>
  <c r="U113" i="158"/>
  <c r="U115" i="158" s="1"/>
  <c r="T113" i="158"/>
  <c r="T115" i="158" s="1"/>
  <c r="AR112" i="158"/>
  <c r="AQ112" i="158"/>
  <c r="AP112" i="158"/>
  <c r="AO112" i="158"/>
  <c r="AN112" i="158"/>
  <c r="AM112" i="158"/>
  <c r="AL112" i="158"/>
  <c r="AK112" i="158"/>
  <c r="AJ112" i="158"/>
  <c r="AI112" i="158"/>
  <c r="AH112" i="158"/>
  <c r="AG112" i="158"/>
  <c r="AF112" i="158"/>
  <c r="AE112" i="158"/>
  <c r="AD112" i="158"/>
  <c r="AC112" i="158"/>
  <c r="AB112" i="158"/>
  <c r="AA112" i="158"/>
  <c r="Z112" i="158"/>
  <c r="Y112" i="158"/>
  <c r="X112" i="158"/>
  <c r="W112" i="158"/>
  <c r="V112" i="158"/>
  <c r="U112" i="158"/>
  <c r="T112" i="158"/>
  <c r="AO109" i="158"/>
  <c r="AM109" i="158"/>
  <c r="AI109" i="158"/>
  <c r="AE109" i="158"/>
  <c r="Y109" i="158"/>
  <c r="AR104" i="158"/>
  <c r="AQ104" i="158"/>
  <c r="AP104" i="158"/>
  <c r="AO104" i="158"/>
  <c r="AN104" i="158"/>
  <c r="AM104" i="158"/>
  <c r="AL104" i="158"/>
  <c r="AK104" i="158"/>
  <c r="AJ104" i="158"/>
  <c r="AI104" i="158"/>
  <c r="AH104" i="158"/>
  <c r="AG104" i="158"/>
  <c r="AF104" i="158"/>
  <c r="AE104" i="158"/>
  <c r="AD104" i="158"/>
  <c r="AC104" i="158"/>
  <c r="AB104" i="158"/>
  <c r="AA104" i="158"/>
  <c r="Z104" i="158"/>
  <c r="Y104" i="158"/>
  <c r="X104" i="158"/>
  <c r="W104" i="158"/>
  <c r="V104" i="158"/>
  <c r="U104" i="158"/>
  <c r="T104" i="158"/>
  <c r="S104" i="158"/>
  <c r="R104" i="158"/>
  <c r="Q104" i="158"/>
  <c r="P104" i="158"/>
  <c r="O104" i="158"/>
  <c r="N104" i="158"/>
  <c r="M104" i="158"/>
  <c r="L104" i="158"/>
  <c r="K104" i="158"/>
  <c r="J104" i="158"/>
  <c r="I104" i="158"/>
  <c r="H104" i="158"/>
  <c r="G104" i="158"/>
  <c r="F104" i="158"/>
  <c r="E104" i="158"/>
  <c r="C104" i="158"/>
  <c r="AQ103" i="158"/>
  <c r="AP103" i="158"/>
  <c r="AN103" i="158"/>
  <c r="AI103" i="158"/>
  <c r="AH103" i="158"/>
  <c r="AF103" i="158"/>
  <c r="Z103" i="158"/>
  <c r="X103" i="158"/>
  <c r="U103" i="158"/>
  <c r="R103" i="158"/>
  <c r="P103" i="158"/>
  <c r="J103" i="158"/>
  <c r="H103" i="158"/>
  <c r="C103" i="158"/>
  <c r="AR102" i="158"/>
  <c r="AQ102" i="158"/>
  <c r="AP102" i="158"/>
  <c r="AO102" i="158"/>
  <c r="AN102" i="158"/>
  <c r="AM102" i="158"/>
  <c r="AL102" i="158"/>
  <c r="AK102" i="158"/>
  <c r="AJ102" i="158"/>
  <c r="AI102" i="158"/>
  <c r="AH102" i="158"/>
  <c r="AG102" i="158"/>
  <c r="AF102" i="158"/>
  <c r="AE102" i="158"/>
  <c r="AD102" i="158"/>
  <c r="AC102" i="158"/>
  <c r="AB102" i="158"/>
  <c r="AA102" i="158"/>
  <c r="Z102" i="158"/>
  <c r="Y102" i="158"/>
  <c r="X102" i="158"/>
  <c r="W102" i="158"/>
  <c r="V102" i="158"/>
  <c r="U102" i="158"/>
  <c r="T102" i="158"/>
  <c r="S102" i="158"/>
  <c r="R102" i="158"/>
  <c r="Q102" i="158"/>
  <c r="P102" i="158"/>
  <c r="O102" i="158"/>
  <c r="N102" i="158"/>
  <c r="M102" i="158"/>
  <c r="L102" i="158"/>
  <c r="K102" i="158"/>
  <c r="J102" i="158"/>
  <c r="I102" i="158"/>
  <c r="H102" i="158"/>
  <c r="G102" i="158"/>
  <c r="F102" i="158"/>
  <c r="E102" i="158"/>
  <c r="AR101" i="158"/>
  <c r="AQ101" i="158"/>
  <c r="AP101" i="158"/>
  <c r="AO101" i="158"/>
  <c r="AO103" i="158" s="1"/>
  <c r="AN101" i="158"/>
  <c r="AM101" i="158"/>
  <c r="AM103" i="158" s="1"/>
  <c r="AL101" i="158"/>
  <c r="AK101" i="158"/>
  <c r="AK103" i="158" s="1"/>
  <c r="AJ101" i="158"/>
  <c r="AI101" i="158"/>
  <c r="AH101" i="158"/>
  <c r="AG101" i="158"/>
  <c r="AG103" i="158" s="1"/>
  <c r="AF101" i="158"/>
  <c r="AE101" i="158"/>
  <c r="AE103" i="158" s="1"/>
  <c r="AD101" i="158"/>
  <c r="AC101" i="158"/>
  <c r="AB101" i="158"/>
  <c r="AA101" i="158"/>
  <c r="Z101" i="158"/>
  <c r="Y101" i="158"/>
  <c r="Y103" i="158" s="1"/>
  <c r="X101" i="158"/>
  <c r="W101" i="158"/>
  <c r="W103" i="158" s="1"/>
  <c r="V101" i="158"/>
  <c r="U101" i="158"/>
  <c r="T101" i="158"/>
  <c r="T103" i="158" s="1"/>
  <c r="S101" i="158"/>
  <c r="S103" i="158" s="1"/>
  <c r="R101" i="158"/>
  <c r="Q101" i="158"/>
  <c r="Q103" i="158" s="1"/>
  <c r="P101" i="158"/>
  <c r="O101" i="158"/>
  <c r="O103" i="158" s="1"/>
  <c r="N101" i="158"/>
  <c r="M101" i="158"/>
  <c r="M103" i="158" s="1"/>
  <c r="L101" i="158"/>
  <c r="K101" i="158"/>
  <c r="J101" i="158"/>
  <c r="I101" i="158"/>
  <c r="I103" i="158" s="1"/>
  <c r="H101" i="158"/>
  <c r="G101" i="158"/>
  <c r="G103" i="158" s="1"/>
  <c r="F101" i="158"/>
  <c r="E101" i="158"/>
  <c r="AR100" i="158"/>
  <c r="AQ100" i="158"/>
  <c r="AP100" i="158"/>
  <c r="AO100" i="158"/>
  <c r="AN100" i="158"/>
  <c r="AM100" i="158"/>
  <c r="AL100" i="158"/>
  <c r="AK100" i="158"/>
  <c r="AJ100" i="158"/>
  <c r="AI100" i="158"/>
  <c r="AH100" i="158"/>
  <c r="AG100" i="158"/>
  <c r="AF100" i="158"/>
  <c r="AE100" i="158"/>
  <c r="AD100" i="158"/>
  <c r="AC100" i="158"/>
  <c r="AB100" i="158"/>
  <c r="AA100" i="158"/>
  <c r="Z100" i="158"/>
  <c r="Y100" i="158"/>
  <c r="X100" i="158"/>
  <c r="W100" i="158"/>
  <c r="V100" i="158"/>
  <c r="U100" i="158"/>
  <c r="T100" i="158"/>
  <c r="S100" i="158"/>
  <c r="R100" i="158"/>
  <c r="Q100" i="158"/>
  <c r="P100" i="158"/>
  <c r="O100" i="158"/>
  <c r="N100" i="158"/>
  <c r="M100" i="158"/>
  <c r="L100" i="158"/>
  <c r="K100" i="158"/>
  <c r="J100" i="158"/>
  <c r="I100" i="158"/>
  <c r="H100" i="158"/>
  <c r="G100" i="158"/>
  <c r="F100" i="158"/>
  <c r="E100" i="158"/>
  <c r="AR99" i="158"/>
  <c r="AR109" i="158" s="1"/>
  <c r="AQ99" i="158"/>
  <c r="AQ109" i="158" s="1"/>
  <c r="AP99" i="158"/>
  <c r="AP109" i="158" s="1"/>
  <c r="AO99" i="158"/>
  <c r="AN99" i="158"/>
  <c r="AN109" i="158" s="1"/>
  <c r="AM99" i="158"/>
  <c r="AL99" i="158"/>
  <c r="AL109" i="158" s="1"/>
  <c r="AK99" i="158"/>
  <c r="AK109" i="158" s="1"/>
  <c r="AJ99" i="158"/>
  <c r="AJ109" i="158" s="1"/>
  <c r="AI99" i="158"/>
  <c r="AH99" i="158"/>
  <c r="AH109" i="158" s="1"/>
  <c r="AG99" i="158"/>
  <c r="AG109" i="158" s="1"/>
  <c r="AF99" i="158"/>
  <c r="AF109" i="158" s="1"/>
  <c r="AE99" i="158"/>
  <c r="AD99" i="158"/>
  <c r="AD109" i="158" s="1"/>
  <c r="AC99" i="158"/>
  <c r="AC109" i="158" s="1"/>
  <c r="AB99" i="158"/>
  <c r="AB109" i="158" s="1"/>
  <c r="AA99" i="158"/>
  <c r="AA109" i="158" s="1"/>
  <c r="Z99" i="158"/>
  <c r="Z109" i="158" s="1"/>
  <c r="Y99" i="158"/>
  <c r="C97" i="158"/>
  <c r="AR96" i="158"/>
  <c r="AQ96" i="158"/>
  <c r="AP96" i="158"/>
  <c r="AO96" i="158"/>
  <c r="AN96" i="158"/>
  <c r="AM96" i="158"/>
  <c r="AL96" i="158"/>
  <c r="AK96" i="158"/>
  <c r="AJ96" i="158"/>
  <c r="AI96" i="158"/>
  <c r="AH96" i="158"/>
  <c r="AG96" i="158"/>
  <c r="AF96" i="158"/>
  <c r="AE96" i="158"/>
  <c r="AD96" i="158"/>
  <c r="AC96" i="158"/>
  <c r="AB96" i="158"/>
  <c r="AA96" i="158"/>
  <c r="Z96" i="158"/>
  <c r="Y96" i="158"/>
  <c r="X96" i="158"/>
  <c r="W96" i="158"/>
  <c r="V96" i="158"/>
  <c r="U96" i="158"/>
  <c r="T96" i="158"/>
  <c r="S96" i="158"/>
  <c r="R96" i="158"/>
  <c r="Q96" i="158"/>
  <c r="P96" i="158"/>
  <c r="O96" i="158"/>
  <c r="N96" i="158"/>
  <c r="M96" i="158"/>
  <c r="L96" i="158"/>
  <c r="K96" i="158"/>
  <c r="J96" i="158"/>
  <c r="I96" i="158"/>
  <c r="H96" i="158"/>
  <c r="G96" i="158"/>
  <c r="F96" i="158"/>
  <c r="E96" i="158"/>
  <c r="AR95" i="158"/>
  <c r="AQ95" i="158"/>
  <c r="AP95" i="158"/>
  <c r="AO95" i="158"/>
  <c r="AN95" i="158"/>
  <c r="AM95" i="158"/>
  <c r="AL95" i="158"/>
  <c r="AK95" i="158"/>
  <c r="AJ95" i="158"/>
  <c r="AI95" i="158"/>
  <c r="AH95" i="158"/>
  <c r="AG95" i="158"/>
  <c r="AF95" i="158"/>
  <c r="AE95" i="158"/>
  <c r="AD95" i="158"/>
  <c r="AC95" i="158"/>
  <c r="AB95" i="158"/>
  <c r="AA95" i="158"/>
  <c r="Z95" i="158"/>
  <c r="Y95" i="158"/>
  <c r="X95" i="158"/>
  <c r="W95" i="158"/>
  <c r="V95" i="158"/>
  <c r="U95" i="158"/>
  <c r="T95" i="158"/>
  <c r="S95" i="158"/>
  <c r="R95" i="158"/>
  <c r="Q95" i="158"/>
  <c r="P95" i="158"/>
  <c r="O95" i="158"/>
  <c r="N95" i="158"/>
  <c r="M95" i="158"/>
  <c r="L95" i="158"/>
  <c r="K95" i="158"/>
  <c r="J95" i="158"/>
  <c r="I95" i="158"/>
  <c r="H95" i="158"/>
  <c r="G95" i="158"/>
  <c r="F95" i="158"/>
  <c r="E95" i="158"/>
  <c r="C95" i="158"/>
  <c r="C94" i="158"/>
  <c r="AR87" i="158"/>
  <c r="AQ87" i="158"/>
  <c r="AP87" i="158"/>
  <c r="AO87" i="158"/>
  <c r="AN87" i="158"/>
  <c r="AM87" i="158"/>
  <c r="AL87" i="158"/>
  <c r="AK87" i="158"/>
  <c r="AJ87" i="158"/>
  <c r="AI87" i="158"/>
  <c r="AH87" i="158"/>
  <c r="AG87" i="158"/>
  <c r="AF87" i="158"/>
  <c r="AE87" i="158"/>
  <c r="AD87" i="158"/>
  <c r="AC87" i="158"/>
  <c r="AB87" i="158"/>
  <c r="AA87" i="158"/>
  <c r="Z87" i="158"/>
  <c r="Y87" i="158"/>
  <c r="X87" i="158"/>
  <c r="W87" i="158"/>
  <c r="V87" i="158"/>
  <c r="U87" i="158"/>
  <c r="T87" i="158"/>
  <c r="S87" i="158"/>
  <c r="R87" i="158"/>
  <c r="Q87" i="158"/>
  <c r="P87" i="158"/>
  <c r="O87" i="158"/>
  <c r="N87" i="158"/>
  <c r="M87" i="158"/>
  <c r="L87" i="158"/>
  <c r="K87" i="158"/>
  <c r="J87" i="158"/>
  <c r="I87" i="158"/>
  <c r="H87" i="158"/>
  <c r="G87" i="158"/>
  <c r="F87" i="158"/>
  <c r="E87" i="158"/>
  <c r="C72" i="158"/>
  <c r="D132" i="158" s="1"/>
  <c r="D54" i="158"/>
  <c r="D53" i="158"/>
  <c r="D52" i="158"/>
  <c r="D49" i="158"/>
  <c r="C48" i="158"/>
  <c r="D47" i="158"/>
  <c r="C46" i="158"/>
  <c r="D45" i="158"/>
  <c r="C43" i="158"/>
  <c r="C8" i="158" s="1"/>
  <c r="D40" i="158"/>
  <c r="C39" i="158"/>
  <c r="D38" i="158"/>
  <c r="D37" i="158"/>
  <c r="C36" i="158"/>
  <c r="D130" i="158" s="1"/>
  <c r="D92" i="158" s="1"/>
  <c r="D124" i="158" s="1"/>
  <c r="D35" i="158"/>
  <c r="D34" i="158"/>
  <c r="C31" i="158"/>
  <c r="C29" i="158"/>
  <c r="D25" i="158"/>
  <c r="C24" i="158"/>
  <c r="D23" i="158"/>
  <c r="C22" i="158"/>
  <c r="D19" i="158"/>
  <c r="D8" i="158"/>
  <c r="D7" i="158"/>
  <c r="D5" i="158"/>
  <c r="F139" i="157"/>
  <c r="D134" i="157"/>
  <c r="D133" i="157"/>
  <c r="C129" i="157"/>
  <c r="AR125" i="157"/>
  <c r="AQ125" i="157"/>
  <c r="AP125" i="157"/>
  <c r="AO125" i="157"/>
  <c r="AN125" i="157"/>
  <c r="AM125" i="157"/>
  <c r="AL125" i="157"/>
  <c r="AK125" i="157"/>
  <c r="AJ125" i="157"/>
  <c r="AI125" i="157"/>
  <c r="AH125" i="157"/>
  <c r="AG125" i="157"/>
  <c r="AF125" i="157"/>
  <c r="AE125" i="157"/>
  <c r="AD125" i="157"/>
  <c r="AC125" i="157"/>
  <c r="AB125" i="157"/>
  <c r="AA125" i="157"/>
  <c r="Z125" i="157"/>
  <c r="Y125" i="157"/>
  <c r="X125" i="157"/>
  <c r="W125" i="157"/>
  <c r="V125" i="157"/>
  <c r="U125" i="157"/>
  <c r="T125" i="157"/>
  <c r="AR123" i="157"/>
  <c r="AQ123" i="157"/>
  <c r="AP123" i="157"/>
  <c r="AO123" i="157"/>
  <c r="AN123" i="157"/>
  <c r="AM123" i="157"/>
  <c r="AL123" i="157"/>
  <c r="AK123" i="157"/>
  <c r="AJ123" i="157"/>
  <c r="AI123" i="157"/>
  <c r="AH123" i="157"/>
  <c r="AG123" i="157"/>
  <c r="AF123" i="157"/>
  <c r="AE123" i="157"/>
  <c r="AD123" i="157"/>
  <c r="AC123" i="157"/>
  <c r="AB123" i="157"/>
  <c r="AA123" i="157"/>
  <c r="Z123" i="157"/>
  <c r="Y123" i="157"/>
  <c r="X123" i="157"/>
  <c r="W123" i="157"/>
  <c r="V123" i="157"/>
  <c r="U123" i="157"/>
  <c r="T123" i="157"/>
  <c r="C123" i="157"/>
  <c r="AR115" i="157"/>
  <c r="AQ115" i="157"/>
  <c r="AM115" i="157"/>
  <c r="AE115" i="157"/>
  <c r="AB115" i="157"/>
  <c r="AA115" i="157"/>
  <c r="W115" i="157"/>
  <c r="AR114" i="157"/>
  <c r="AQ114" i="157"/>
  <c r="AP114" i="157"/>
  <c r="AO114" i="157"/>
  <c r="AN114" i="157"/>
  <c r="AM114" i="157"/>
  <c r="AL114" i="157"/>
  <c r="AK114" i="157"/>
  <c r="AJ114" i="157"/>
  <c r="AI114" i="157"/>
  <c r="AH114" i="157"/>
  <c r="AG114" i="157"/>
  <c r="AF114" i="157"/>
  <c r="AE114" i="157"/>
  <c r="AD114" i="157"/>
  <c r="AC114" i="157"/>
  <c r="AB114" i="157"/>
  <c r="AA114" i="157"/>
  <c r="Z114" i="157"/>
  <c r="Y114" i="157"/>
  <c r="X114" i="157"/>
  <c r="W114" i="157"/>
  <c r="V114" i="157"/>
  <c r="U114" i="157"/>
  <c r="T114" i="157"/>
  <c r="AR113" i="157"/>
  <c r="AQ113" i="157"/>
  <c r="AP113" i="157"/>
  <c r="AP115" i="157" s="1"/>
  <c r="AO113" i="157"/>
  <c r="AO115" i="157" s="1"/>
  <c r="AN113" i="157"/>
  <c r="AN115" i="157" s="1"/>
  <c r="AM113" i="157"/>
  <c r="AL113" i="157"/>
  <c r="AL115" i="157" s="1"/>
  <c r="AK113" i="157"/>
  <c r="AK115" i="157" s="1"/>
  <c r="AJ113" i="157"/>
  <c r="AJ115" i="157" s="1"/>
  <c r="AI113" i="157"/>
  <c r="AI115" i="157" s="1"/>
  <c r="AH113" i="157"/>
  <c r="AH115" i="157" s="1"/>
  <c r="AG113" i="157"/>
  <c r="AG115" i="157" s="1"/>
  <c r="AF113" i="157"/>
  <c r="AF115" i="157" s="1"/>
  <c r="AE113" i="157"/>
  <c r="AD113" i="157"/>
  <c r="AD115" i="157" s="1"/>
  <c r="AC113" i="157"/>
  <c r="AC115" i="157" s="1"/>
  <c r="AB113" i="157"/>
  <c r="AA113" i="157"/>
  <c r="Z113" i="157"/>
  <c r="Z115" i="157" s="1"/>
  <c r="Y113" i="157"/>
  <c r="Y115" i="157" s="1"/>
  <c r="X113" i="157"/>
  <c r="X115" i="157" s="1"/>
  <c r="W113" i="157"/>
  <c r="V113" i="157"/>
  <c r="V115" i="157" s="1"/>
  <c r="U113" i="157"/>
  <c r="U115" i="157" s="1"/>
  <c r="T113" i="157"/>
  <c r="T115" i="157" s="1"/>
  <c r="AR112" i="157"/>
  <c r="AQ112" i="157"/>
  <c r="AP112" i="157"/>
  <c r="AO112" i="157"/>
  <c r="AN112" i="157"/>
  <c r="AM112" i="157"/>
  <c r="AL112" i="157"/>
  <c r="AK112" i="157"/>
  <c r="AJ112" i="157"/>
  <c r="AI112" i="157"/>
  <c r="AH112" i="157"/>
  <c r="AG112" i="157"/>
  <c r="AF112" i="157"/>
  <c r="AE112" i="157"/>
  <c r="AD112" i="157"/>
  <c r="AC112" i="157"/>
  <c r="AB112" i="157"/>
  <c r="AA112" i="157"/>
  <c r="Z112" i="157"/>
  <c r="Y112" i="157"/>
  <c r="X112" i="157"/>
  <c r="W112" i="157"/>
  <c r="V112" i="157"/>
  <c r="U112" i="157"/>
  <c r="T112" i="157"/>
  <c r="AQ109" i="157"/>
  <c r="AJ109" i="157"/>
  <c r="AI109" i="157"/>
  <c r="AB109" i="157"/>
  <c r="AA109" i="157"/>
  <c r="AR104" i="157"/>
  <c r="AQ104" i="157"/>
  <c r="AP104" i="157"/>
  <c r="AO104" i="157"/>
  <c r="AN104" i="157"/>
  <c r="AM104" i="157"/>
  <c r="AL104" i="157"/>
  <c r="AK104" i="157"/>
  <c r="AJ104" i="157"/>
  <c r="AI104" i="157"/>
  <c r="AH104" i="157"/>
  <c r="AG104" i="157"/>
  <c r="AF104" i="157"/>
  <c r="AE104" i="157"/>
  <c r="AD104" i="157"/>
  <c r="AC104" i="157"/>
  <c r="AB104" i="157"/>
  <c r="AA104" i="157"/>
  <c r="Z104" i="157"/>
  <c r="Y104" i="157"/>
  <c r="X104" i="157"/>
  <c r="W104" i="157"/>
  <c r="V104" i="157"/>
  <c r="U104" i="157"/>
  <c r="T104" i="157"/>
  <c r="S104" i="157"/>
  <c r="R104" i="157"/>
  <c r="Q104" i="157"/>
  <c r="P104" i="157"/>
  <c r="O104" i="157"/>
  <c r="N104" i="157"/>
  <c r="M104" i="157"/>
  <c r="L104" i="157"/>
  <c r="K104" i="157"/>
  <c r="J104" i="157"/>
  <c r="I104" i="157"/>
  <c r="H104" i="157"/>
  <c r="G104" i="157"/>
  <c r="F104" i="157"/>
  <c r="E104" i="157"/>
  <c r="C104" i="157"/>
  <c r="AR103" i="157"/>
  <c r="AQ103" i="157"/>
  <c r="AP103" i="157"/>
  <c r="AN103" i="157"/>
  <c r="AJ103" i="157"/>
  <c r="AI103" i="157"/>
  <c r="AH103" i="157"/>
  <c r="AF103" i="157"/>
  <c r="Z103" i="157"/>
  <c r="X103" i="157"/>
  <c r="T103" i="157"/>
  <c r="S103" i="157"/>
  <c r="R103" i="157"/>
  <c r="P103" i="157"/>
  <c r="L103" i="157"/>
  <c r="K103" i="157"/>
  <c r="J103" i="157"/>
  <c r="H103" i="157"/>
  <c r="C103" i="157"/>
  <c r="AR102" i="157"/>
  <c r="AQ102" i="157"/>
  <c r="AP102" i="157"/>
  <c r="AO102" i="157"/>
  <c r="AN102" i="157"/>
  <c r="AM102" i="157"/>
  <c r="AL102" i="157"/>
  <c r="AK102" i="157"/>
  <c r="AJ102" i="157"/>
  <c r="AI102" i="157"/>
  <c r="AH102" i="157"/>
  <c r="AG102" i="157"/>
  <c r="AF102" i="157"/>
  <c r="AE102" i="157"/>
  <c r="AD102" i="157"/>
  <c r="AC102" i="157"/>
  <c r="AB102" i="157"/>
  <c r="AA102" i="157"/>
  <c r="Z102" i="157"/>
  <c r="Y102" i="157"/>
  <c r="X102" i="157"/>
  <c r="W102" i="157"/>
  <c r="V102" i="157"/>
  <c r="U102" i="157"/>
  <c r="T102" i="157"/>
  <c r="S102" i="157"/>
  <c r="R102" i="157"/>
  <c r="Q102" i="157"/>
  <c r="P102" i="157"/>
  <c r="O102" i="157"/>
  <c r="N102" i="157"/>
  <c r="M102" i="157"/>
  <c r="L102" i="157"/>
  <c r="K102" i="157"/>
  <c r="J102" i="157"/>
  <c r="I102" i="157"/>
  <c r="H102" i="157"/>
  <c r="G102" i="157"/>
  <c r="F102" i="157"/>
  <c r="E102" i="157"/>
  <c r="AR101" i="157"/>
  <c r="AQ101" i="157"/>
  <c r="AP101" i="157"/>
  <c r="AO101" i="157"/>
  <c r="AO103" i="157" s="1"/>
  <c r="AN101" i="157"/>
  <c r="AM101" i="157"/>
  <c r="AM103" i="157" s="1"/>
  <c r="AL101" i="157"/>
  <c r="AK101" i="157"/>
  <c r="AJ101" i="157"/>
  <c r="AI101" i="157"/>
  <c r="AH101" i="157"/>
  <c r="AG101" i="157"/>
  <c r="AG103" i="157" s="1"/>
  <c r="AF101" i="157"/>
  <c r="AE101" i="157"/>
  <c r="AE103" i="157" s="1"/>
  <c r="AD101" i="157"/>
  <c r="AC101" i="157"/>
  <c r="AB101" i="157"/>
  <c r="AB103" i="157" s="1"/>
  <c r="AA101" i="157"/>
  <c r="AA103" i="157" s="1"/>
  <c r="Z101" i="157"/>
  <c r="Y101" i="157"/>
  <c r="Y103" i="157" s="1"/>
  <c r="X101" i="157"/>
  <c r="W101" i="157"/>
  <c r="W103" i="157" s="1"/>
  <c r="V101" i="157"/>
  <c r="U101" i="157"/>
  <c r="T101" i="157"/>
  <c r="S101" i="157"/>
  <c r="R101" i="157"/>
  <c r="Q101" i="157"/>
  <c r="Q103" i="157" s="1"/>
  <c r="P101" i="157"/>
  <c r="O101" i="157"/>
  <c r="O103" i="157" s="1"/>
  <c r="N101" i="157"/>
  <c r="M101" i="157"/>
  <c r="L101" i="157"/>
  <c r="K101" i="157"/>
  <c r="J101" i="157"/>
  <c r="I101" i="157"/>
  <c r="I103" i="157" s="1"/>
  <c r="H101" i="157"/>
  <c r="G101" i="157"/>
  <c r="G103" i="157" s="1"/>
  <c r="F101" i="157"/>
  <c r="E101" i="157"/>
  <c r="AR100" i="157"/>
  <c r="AQ100" i="157"/>
  <c r="AP100" i="157"/>
  <c r="AO100" i="157"/>
  <c r="AN100" i="157"/>
  <c r="AM100" i="157"/>
  <c r="AL100" i="157"/>
  <c r="AK100" i="157"/>
  <c r="AJ100" i="157"/>
  <c r="AI100" i="157"/>
  <c r="AH100" i="157"/>
  <c r="AG100" i="157"/>
  <c r="AF100" i="157"/>
  <c r="AE100" i="157"/>
  <c r="AD100" i="157"/>
  <c r="AC100" i="157"/>
  <c r="AB100" i="157"/>
  <c r="AA100" i="157"/>
  <c r="Z100" i="157"/>
  <c r="Y100" i="157"/>
  <c r="X100" i="157"/>
  <c r="W100" i="157"/>
  <c r="V100" i="157"/>
  <c r="U100" i="157"/>
  <c r="T100" i="157"/>
  <c r="S100" i="157"/>
  <c r="R100" i="157"/>
  <c r="Q100" i="157"/>
  <c r="P100" i="157"/>
  <c r="O100" i="157"/>
  <c r="N100" i="157"/>
  <c r="M100" i="157"/>
  <c r="L100" i="157"/>
  <c r="K100" i="157"/>
  <c r="J100" i="157"/>
  <c r="I100" i="157"/>
  <c r="H100" i="157"/>
  <c r="G100" i="157"/>
  <c r="F100" i="157"/>
  <c r="E100" i="157"/>
  <c r="AR99" i="157"/>
  <c r="AR109" i="157" s="1"/>
  <c r="AQ99" i="157"/>
  <c r="AP99" i="157"/>
  <c r="AP109" i="157" s="1"/>
  <c r="AO99" i="157"/>
  <c r="AO109" i="157" s="1"/>
  <c r="AN99" i="157"/>
  <c r="AN109" i="157" s="1"/>
  <c r="AM99" i="157"/>
  <c r="AM109" i="157" s="1"/>
  <c r="AL99" i="157"/>
  <c r="AL109" i="157" s="1"/>
  <c r="AK99" i="157"/>
  <c r="AK109" i="157" s="1"/>
  <c r="AJ99" i="157"/>
  <c r="AI99" i="157"/>
  <c r="AH99" i="157"/>
  <c r="AH109" i="157" s="1"/>
  <c r="AG99" i="157"/>
  <c r="AG109" i="157" s="1"/>
  <c r="AF99" i="157"/>
  <c r="AF109" i="157" s="1"/>
  <c r="AE99" i="157"/>
  <c r="AE109" i="157" s="1"/>
  <c r="AD99" i="157"/>
  <c r="AD109" i="157" s="1"/>
  <c r="AC99" i="157"/>
  <c r="AC109" i="157" s="1"/>
  <c r="AB99" i="157"/>
  <c r="AA99" i="157"/>
  <c r="Z99" i="157"/>
  <c r="Z109" i="157" s="1"/>
  <c r="Y99" i="157"/>
  <c r="Y109" i="157" s="1"/>
  <c r="C97" i="157"/>
  <c r="AR96" i="157"/>
  <c r="AQ96" i="157"/>
  <c r="AP96" i="157"/>
  <c r="AO96" i="157"/>
  <c r="AN96" i="157"/>
  <c r="AM96" i="157"/>
  <c r="AL96" i="157"/>
  <c r="AK96" i="157"/>
  <c r="AJ96" i="157"/>
  <c r="AI96" i="157"/>
  <c r="AH96" i="157"/>
  <c r="AG96" i="157"/>
  <c r="AF96" i="157"/>
  <c r="AE96" i="157"/>
  <c r="AD96" i="157"/>
  <c r="AC96" i="157"/>
  <c r="AB96" i="157"/>
  <c r="AA96" i="157"/>
  <c r="Z96" i="157"/>
  <c r="Y96" i="157"/>
  <c r="X96" i="157"/>
  <c r="W96" i="157"/>
  <c r="V96" i="157"/>
  <c r="U96" i="157"/>
  <c r="T96" i="157"/>
  <c r="S96" i="157"/>
  <c r="R96" i="157"/>
  <c r="Q96" i="157"/>
  <c r="P96" i="157"/>
  <c r="O96" i="157"/>
  <c r="N96" i="157"/>
  <c r="M96" i="157"/>
  <c r="L96" i="157"/>
  <c r="K96" i="157"/>
  <c r="J96" i="157"/>
  <c r="I96" i="157"/>
  <c r="H96" i="157"/>
  <c r="G96" i="157"/>
  <c r="F96" i="157"/>
  <c r="E96" i="157"/>
  <c r="AR95" i="157"/>
  <c r="AQ95" i="157"/>
  <c r="AP95" i="157"/>
  <c r="AO95" i="157"/>
  <c r="AN95" i="157"/>
  <c r="AM95" i="157"/>
  <c r="AL95" i="157"/>
  <c r="AK95" i="157"/>
  <c r="AJ95" i="157"/>
  <c r="AI95" i="157"/>
  <c r="AH95" i="157"/>
  <c r="AG95" i="157"/>
  <c r="AF95" i="157"/>
  <c r="AE95" i="157"/>
  <c r="AD95" i="157"/>
  <c r="AC95" i="157"/>
  <c r="AB95" i="157"/>
  <c r="AA95" i="157"/>
  <c r="Z95" i="157"/>
  <c r="Y95" i="157"/>
  <c r="X95" i="157"/>
  <c r="W95" i="157"/>
  <c r="V95" i="157"/>
  <c r="U95" i="157"/>
  <c r="T95" i="157"/>
  <c r="S95" i="157"/>
  <c r="R95" i="157"/>
  <c r="Q95" i="157"/>
  <c r="P95" i="157"/>
  <c r="O95" i="157"/>
  <c r="N95" i="157"/>
  <c r="M95" i="157"/>
  <c r="L95" i="157"/>
  <c r="K95" i="157"/>
  <c r="J95" i="157"/>
  <c r="I95" i="157"/>
  <c r="H95" i="157"/>
  <c r="G95" i="157"/>
  <c r="F95" i="157"/>
  <c r="E95" i="157"/>
  <c r="C95" i="157"/>
  <c r="C94" i="157"/>
  <c r="AR87" i="157"/>
  <c r="AQ87" i="157"/>
  <c r="AP87" i="157"/>
  <c r="AO87" i="157"/>
  <c r="AN87" i="157"/>
  <c r="AM87" i="157"/>
  <c r="AL87" i="157"/>
  <c r="AK87" i="157"/>
  <c r="AJ87" i="157"/>
  <c r="AI87" i="157"/>
  <c r="AH87" i="157"/>
  <c r="AG87" i="157"/>
  <c r="AF87" i="157"/>
  <c r="AE87" i="157"/>
  <c r="AD87" i="157"/>
  <c r="AC87" i="157"/>
  <c r="AB87" i="157"/>
  <c r="AA87" i="157"/>
  <c r="Z87" i="157"/>
  <c r="Y87" i="157"/>
  <c r="X87" i="157"/>
  <c r="W87" i="157"/>
  <c r="V87" i="157"/>
  <c r="U87" i="157"/>
  <c r="T87" i="157"/>
  <c r="S87" i="157"/>
  <c r="R87" i="157"/>
  <c r="Q87" i="157"/>
  <c r="P87" i="157"/>
  <c r="O87" i="157"/>
  <c r="N87" i="157"/>
  <c r="M87" i="157"/>
  <c r="L87" i="157"/>
  <c r="K87" i="157"/>
  <c r="J87" i="157"/>
  <c r="I87" i="157"/>
  <c r="H87" i="157"/>
  <c r="G87" i="157"/>
  <c r="F87" i="157"/>
  <c r="E87" i="157"/>
  <c r="C72" i="157"/>
  <c r="D132" i="157" s="1"/>
  <c r="D54" i="157"/>
  <c r="D53" i="157"/>
  <c r="D52" i="157"/>
  <c r="D49" i="157"/>
  <c r="C48" i="157"/>
  <c r="D47" i="157"/>
  <c r="C46" i="157"/>
  <c r="D45" i="157"/>
  <c r="C43" i="157"/>
  <c r="C8" i="157" s="1"/>
  <c r="D40" i="157"/>
  <c r="C39" i="157"/>
  <c r="D38" i="157"/>
  <c r="D37" i="157"/>
  <c r="C36" i="157"/>
  <c r="D130" i="157" s="1"/>
  <c r="D35" i="157"/>
  <c r="D34" i="157"/>
  <c r="C31" i="157"/>
  <c r="C29" i="157"/>
  <c r="D25" i="157"/>
  <c r="C24" i="157"/>
  <c r="D23" i="157"/>
  <c r="C22" i="157"/>
  <c r="D19" i="157"/>
  <c r="D8" i="157"/>
  <c r="D7" i="157"/>
  <c r="D5" i="157"/>
  <c r="F139" i="156"/>
  <c r="D134" i="156"/>
  <c r="D133" i="156"/>
  <c r="C129" i="156"/>
  <c r="AR125" i="156"/>
  <c r="AQ125" i="156"/>
  <c r="AP125" i="156"/>
  <c r="AO125" i="156"/>
  <c r="AN125" i="156"/>
  <c r="AM125" i="156"/>
  <c r="AL125" i="156"/>
  <c r="AK125" i="156"/>
  <c r="AJ125" i="156"/>
  <c r="AI125" i="156"/>
  <c r="AH125" i="156"/>
  <c r="AG125" i="156"/>
  <c r="AF125" i="156"/>
  <c r="AE125" i="156"/>
  <c r="AD125" i="156"/>
  <c r="AC125" i="156"/>
  <c r="AB125" i="156"/>
  <c r="AA125" i="156"/>
  <c r="Z125" i="156"/>
  <c r="Y125" i="156"/>
  <c r="X125" i="156"/>
  <c r="W125" i="156"/>
  <c r="V125" i="156"/>
  <c r="U125" i="156"/>
  <c r="T125" i="156"/>
  <c r="AR123" i="156"/>
  <c r="AQ123" i="156"/>
  <c r="AP123" i="156"/>
  <c r="AO123" i="156"/>
  <c r="AN123" i="156"/>
  <c r="AM123" i="156"/>
  <c r="AL123" i="156"/>
  <c r="AK123" i="156"/>
  <c r="AJ123" i="156"/>
  <c r="AI123" i="156"/>
  <c r="AH123" i="156"/>
  <c r="AG123" i="156"/>
  <c r="AF123" i="156"/>
  <c r="AE123" i="156"/>
  <c r="AD123" i="156"/>
  <c r="AC123" i="156"/>
  <c r="AB123" i="156"/>
  <c r="AA123" i="156"/>
  <c r="Z123" i="156"/>
  <c r="Y123" i="156"/>
  <c r="X123" i="156"/>
  <c r="W123" i="156"/>
  <c r="V123" i="156"/>
  <c r="U123" i="156"/>
  <c r="T123" i="156"/>
  <c r="C123" i="156"/>
  <c r="AQ115" i="156"/>
  <c r="AG115" i="156"/>
  <c r="AA115" i="156"/>
  <c r="AR114" i="156"/>
  <c r="AQ114" i="156"/>
  <c r="AP114" i="156"/>
  <c r="AO114" i="156"/>
  <c r="AN114" i="156"/>
  <c r="AM114" i="156"/>
  <c r="AL114" i="156"/>
  <c r="AK114" i="156"/>
  <c r="AJ114" i="156"/>
  <c r="AI114" i="156"/>
  <c r="AH114" i="156"/>
  <c r="AG114" i="156"/>
  <c r="AF114" i="156"/>
  <c r="AE114" i="156"/>
  <c r="AD114" i="156"/>
  <c r="AC114" i="156"/>
  <c r="AB114" i="156"/>
  <c r="AA114" i="156"/>
  <c r="Z114" i="156"/>
  <c r="Y114" i="156"/>
  <c r="X114" i="156"/>
  <c r="W114" i="156"/>
  <c r="V114" i="156"/>
  <c r="U114" i="156"/>
  <c r="T114" i="156"/>
  <c r="AR113" i="156"/>
  <c r="AR115" i="156" s="1"/>
  <c r="AQ113" i="156"/>
  <c r="AP113" i="156"/>
  <c r="AP115" i="156" s="1"/>
  <c r="AO113" i="156"/>
  <c r="AO115" i="156" s="1"/>
  <c r="AN113" i="156"/>
  <c r="AN115" i="156" s="1"/>
  <c r="AM113" i="156"/>
  <c r="AM115" i="156" s="1"/>
  <c r="AL113" i="156"/>
  <c r="AL115" i="156" s="1"/>
  <c r="AK113" i="156"/>
  <c r="AK115" i="156" s="1"/>
  <c r="AJ113" i="156"/>
  <c r="AJ115" i="156" s="1"/>
  <c r="AI113" i="156"/>
  <c r="AI115" i="156" s="1"/>
  <c r="AH113" i="156"/>
  <c r="AH115" i="156" s="1"/>
  <c r="AG113" i="156"/>
  <c r="AF113" i="156"/>
  <c r="AF115" i="156" s="1"/>
  <c r="AE113" i="156"/>
  <c r="AE115" i="156" s="1"/>
  <c r="AD113" i="156"/>
  <c r="AD115" i="156" s="1"/>
  <c r="AC113" i="156"/>
  <c r="AC115" i="156" s="1"/>
  <c r="AB113" i="156"/>
  <c r="AB115" i="156" s="1"/>
  <c r="AA113" i="156"/>
  <c r="Z113" i="156"/>
  <c r="Z115" i="156" s="1"/>
  <c r="Y113" i="156"/>
  <c r="Y115" i="156" s="1"/>
  <c r="X113" i="156"/>
  <c r="X115" i="156" s="1"/>
  <c r="W113" i="156"/>
  <c r="W115" i="156" s="1"/>
  <c r="V113" i="156"/>
  <c r="V115" i="156" s="1"/>
  <c r="U113" i="156"/>
  <c r="U115" i="156" s="1"/>
  <c r="T113" i="156"/>
  <c r="T115" i="156" s="1"/>
  <c r="AR112" i="156"/>
  <c r="AQ112" i="156"/>
  <c r="AP112" i="156"/>
  <c r="AO112" i="156"/>
  <c r="AN112" i="156"/>
  <c r="AM112" i="156"/>
  <c r="AL112" i="156"/>
  <c r="AK112" i="156"/>
  <c r="AJ112" i="156"/>
  <c r="AI112" i="156"/>
  <c r="AH112" i="156"/>
  <c r="AG112" i="156"/>
  <c r="AF112" i="156"/>
  <c r="AE112" i="156"/>
  <c r="AD112" i="156"/>
  <c r="AC112" i="156"/>
  <c r="AB112" i="156"/>
  <c r="AA112" i="156"/>
  <c r="Z112" i="156"/>
  <c r="Y112" i="156"/>
  <c r="X112" i="156"/>
  <c r="W112" i="156"/>
  <c r="V112" i="156"/>
  <c r="U112" i="156"/>
  <c r="T112" i="156"/>
  <c r="K112" i="156"/>
  <c r="AQ109" i="156"/>
  <c r="AP109" i="156"/>
  <c r="AM109" i="156"/>
  <c r="AI109" i="156"/>
  <c r="AH109" i="156"/>
  <c r="AE109" i="156"/>
  <c r="Z109" i="156"/>
  <c r="AR104" i="156"/>
  <c r="AQ104" i="156"/>
  <c r="AP104" i="156"/>
  <c r="AO104" i="156"/>
  <c r="AN104" i="156"/>
  <c r="AM104" i="156"/>
  <c r="AL104" i="156"/>
  <c r="AK104" i="156"/>
  <c r="AJ104" i="156"/>
  <c r="AI104" i="156"/>
  <c r="AH104" i="156"/>
  <c r="AG104" i="156"/>
  <c r="AF104" i="156"/>
  <c r="AE104" i="156"/>
  <c r="AD104" i="156"/>
  <c r="AC104" i="156"/>
  <c r="AB104" i="156"/>
  <c r="AA104" i="156"/>
  <c r="Z104" i="156"/>
  <c r="Y104" i="156"/>
  <c r="X104" i="156"/>
  <c r="W104" i="156"/>
  <c r="V104" i="156"/>
  <c r="U104" i="156"/>
  <c r="T104" i="156"/>
  <c r="S104" i="156"/>
  <c r="R104" i="156"/>
  <c r="Q104" i="156"/>
  <c r="P104" i="156"/>
  <c r="O104" i="156"/>
  <c r="N104" i="156"/>
  <c r="M104" i="156"/>
  <c r="L104" i="156"/>
  <c r="K104" i="156"/>
  <c r="J104" i="156"/>
  <c r="I104" i="156"/>
  <c r="H104" i="156"/>
  <c r="G104" i="156"/>
  <c r="F104" i="156"/>
  <c r="E104" i="156"/>
  <c r="C104" i="156"/>
  <c r="AR103" i="156"/>
  <c r="AP103" i="156"/>
  <c r="AN103" i="156"/>
  <c r="AK103" i="156"/>
  <c r="AJ103" i="156"/>
  <c r="AH103" i="156"/>
  <c r="AF103" i="156"/>
  <c r="AB103" i="156"/>
  <c r="Z103" i="156"/>
  <c r="X103" i="156"/>
  <c r="U103" i="156"/>
  <c r="T103" i="156"/>
  <c r="R103" i="156"/>
  <c r="P103" i="156"/>
  <c r="L103" i="156"/>
  <c r="J103" i="156"/>
  <c r="H103" i="156"/>
  <c r="E103" i="156"/>
  <c r="C103" i="156"/>
  <c r="AR102" i="156"/>
  <c r="AQ102" i="156"/>
  <c r="AP102" i="156"/>
  <c r="AO102" i="156"/>
  <c r="AN102" i="156"/>
  <c r="AM102" i="156"/>
  <c r="AL102" i="156"/>
  <c r="AK102" i="156"/>
  <c r="AJ102" i="156"/>
  <c r="AI102" i="156"/>
  <c r="AH102" i="156"/>
  <c r="AG102" i="156"/>
  <c r="AF102" i="156"/>
  <c r="AE102" i="156"/>
  <c r="AD102" i="156"/>
  <c r="AC102" i="156"/>
  <c r="AB102" i="156"/>
  <c r="AA102" i="156"/>
  <c r="Z102" i="156"/>
  <c r="Y102" i="156"/>
  <c r="X102" i="156"/>
  <c r="W102" i="156"/>
  <c r="V102" i="156"/>
  <c r="U102" i="156"/>
  <c r="T102" i="156"/>
  <c r="S102" i="156"/>
  <c r="R102" i="156"/>
  <c r="Q102" i="156"/>
  <c r="P102" i="156"/>
  <c r="O102" i="156"/>
  <c r="N102" i="156"/>
  <c r="M102" i="156"/>
  <c r="L102" i="156"/>
  <c r="K102" i="156"/>
  <c r="J102" i="156"/>
  <c r="I102" i="156"/>
  <c r="H102" i="156"/>
  <c r="G102" i="156"/>
  <c r="F102" i="156"/>
  <c r="E102" i="156"/>
  <c r="AR101" i="156"/>
  <c r="AQ101" i="156"/>
  <c r="AQ103" i="156" s="1"/>
  <c r="AP101" i="156"/>
  <c r="AO101" i="156"/>
  <c r="AO103" i="156" s="1"/>
  <c r="AN101" i="156"/>
  <c r="AM101" i="156"/>
  <c r="AM103" i="156" s="1"/>
  <c r="AL101" i="156"/>
  <c r="AK101" i="156"/>
  <c r="AJ101" i="156"/>
  <c r="AI101" i="156"/>
  <c r="AI103" i="156" s="1"/>
  <c r="AH101" i="156"/>
  <c r="AG101" i="156"/>
  <c r="AG103" i="156" s="1"/>
  <c r="AF101" i="156"/>
  <c r="AE101" i="156"/>
  <c r="AE103" i="156" s="1"/>
  <c r="AD101" i="156"/>
  <c r="AC101" i="156"/>
  <c r="AB101" i="156"/>
  <c r="AA101" i="156"/>
  <c r="AA103" i="156" s="1"/>
  <c r="Z101" i="156"/>
  <c r="Y101" i="156"/>
  <c r="Y103" i="156" s="1"/>
  <c r="X101" i="156"/>
  <c r="W101" i="156"/>
  <c r="W103" i="156" s="1"/>
  <c r="V101" i="156"/>
  <c r="U101" i="156"/>
  <c r="T101" i="156"/>
  <c r="S101" i="156"/>
  <c r="S103" i="156" s="1"/>
  <c r="R101" i="156"/>
  <c r="Q101" i="156"/>
  <c r="Q103" i="156" s="1"/>
  <c r="P101" i="156"/>
  <c r="O101" i="156"/>
  <c r="O103" i="156" s="1"/>
  <c r="N101" i="156"/>
  <c r="M101" i="156"/>
  <c r="L101" i="156"/>
  <c r="K101" i="156"/>
  <c r="K103" i="156" s="1"/>
  <c r="J101" i="156"/>
  <c r="I101" i="156"/>
  <c r="I103" i="156" s="1"/>
  <c r="H101" i="156"/>
  <c r="G101" i="156"/>
  <c r="G103" i="156" s="1"/>
  <c r="F101" i="156"/>
  <c r="E101" i="156"/>
  <c r="AR100" i="156"/>
  <c r="AQ100" i="156"/>
  <c r="AP100" i="156"/>
  <c r="AO100" i="156"/>
  <c r="AN100" i="156"/>
  <c r="AM100" i="156"/>
  <c r="AL100" i="156"/>
  <c r="AK100" i="156"/>
  <c r="AJ100" i="156"/>
  <c r="AI100" i="156"/>
  <c r="AH100" i="156"/>
  <c r="AG100" i="156"/>
  <c r="AF100" i="156"/>
  <c r="AE100" i="156"/>
  <c r="AD100" i="156"/>
  <c r="AC100" i="156"/>
  <c r="AB100" i="156"/>
  <c r="AA100" i="156"/>
  <c r="Z100" i="156"/>
  <c r="Y100" i="156"/>
  <c r="X100" i="156"/>
  <c r="W100" i="156"/>
  <c r="V100" i="156"/>
  <c r="U100" i="156"/>
  <c r="T100" i="156"/>
  <c r="S100" i="156"/>
  <c r="R100" i="156"/>
  <c r="Q100" i="156"/>
  <c r="P100" i="156"/>
  <c r="O100" i="156"/>
  <c r="N100" i="156"/>
  <c r="M100" i="156"/>
  <c r="L100" i="156"/>
  <c r="K100" i="156"/>
  <c r="J100" i="156"/>
  <c r="I100" i="156"/>
  <c r="H100" i="156"/>
  <c r="G100" i="156"/>
  <c r="F100" i="156"/>
  <c r="E100" i="156"/>
  <c r="AR99" i="156"/>
  <c r="AR109" i="156" s="1"/>
  <c r="AQ99" i="156"/>
  <c r="AP99" i="156"/>
  <c r="AO99" i="156"/>
  <c r="AO109" i="156" s="1"/>
  <c r="AN99" i="156"/>
  <c r="AN109" i="156" s="1"/>
  <c r="AM99" i="156"/>
  <c r="AL99" i="156"/>
  <c r="AL109" i="156" s="1"/>
  <c r="AK99" i="156"/>
  <c r="AK109" i="156" s="1"/>
  <c r="AJ99" i="156"/>
  <c r="AJ109" i="156" s="1"/>
  <c r="AI99" i="156"/>
  <c r="AH99" i="156"/>
  <c r="AG99" i="156"/>
  <c r="AG109" i="156" s="1"/>
  <c r="AF99" i="156"/>
  <c r="AF109" i="156" s="1"/>
  <c r="AE99" i="156"/>
  <c r="AD99" i="156"/>
  <c r="AD109" i="156" s="1"/>
  <c r="AC99" i="156"/>
  <c r="AC109" i="156" s="1"/>
  <c r="AB99" i="156"/>
  <c r="AB109" i="156" s="1"/>
  <c r="AA99" i="156"/>
  <c r="AA109" i="156" s="1"/>
  <c r="Z99" i="156"/>
  <c r="Y99" i="156"/>
  <c r="Y109" i="156" s="1"/>
  <c r="C97" i="156"/>
  <c r="AR96" i="156"/>
  <c r="AQ96" i="156"/>
  <c r="AP96" i="156"/>
  <c r="AO96" i="156"/>
  <c r="AN96" i="156"/>
  <c r="AM96" i="156"/>
  <c r="AL96" i="156"/>
  <c r="AK96" i="156"/>
  <c r="AJ96" i="156"/>
  <c r="AI96" i="156"/>
  <c r="AH96" i="156"/>
  <c r="AG96" i="156"/>
  <c r="AF96" i="156"/>
  <c r="AE96" i="156"/>
  <c r="AD96" i="156"/>
  <c r="AC96" i="156"/>
  <c r="AB96" i="156"/>
  <c r="AA96" i="156"/>
  <c r="Z96" i="156"/>
  <c r="Y96" i="156"/>
  <c r="X96" i="156"/>
  <c r="W96" i="156"/>
  <c r="V96" i="156"/>
  <c r="U96" i="156"/>
  <c r="T96" i="156"/>
  <c r="S96" i="156"/>
  <c r="R96" i="156"/>
  <c r="Q96" i="156"/>
  <c r="P96" i="156"/>
  <c r="O96" i="156"/>
  <c r="N96" i="156"/>
  <c r="M96" i="156"/>
  <c r="L96" i="156"/>
  <c r="K96" i="156"/>
  <c r="J96" i="156"/>
  <c r="I96" i="156"/>
  <c r="H96" i="156"/>
  <c r="G96" i="156"/>
  <c r="F96" i="156"/>
  <c r="E96" i="156"/>
  <c r="AR95" i="156"/>
  <c r="AQ95" i="156"/>
  <c r="AP95" i="156"/>
  <c r="AO95" i="156"/>
  <c r="AN95" i="156"/>
  <c r="AM95" i="156"/>
  <c r="AL95" i="156"/>
  <c r="AK95" i="156"/>
  <c r="AJ95" i="156"/>
  <c r="AI95" i="156"/>
  <c r="AH95" i="156"/>
  <c r="AG95" i="156"/>
  <c r="AF95" i="156"/>
  <c r="AE95" i="156"/>
  <c r="AD95" i="156"/>
  <c r="AC95" i="156"/>
  <c r="AB95" i="156"/>
  <c r="AA95" i="156"/>
  <c r="Z95" i="156"/>
  <c r="Y95" i="156"/>
  <c r="X95" i="156"/>
  <c r="W95" i="156"/>
  <c r="V95" i="156"/>
  <c r="U95" i="156"/>
  <c r="T95" i="156"/>
  <c r="S95" i="156"/>
  <c r="R95" i="156"/>
  <c r="Q95" i="156"/>
  <c r="P95" i="156"/>
  <c r="O95" i="156"/>
  <c r="N95" i="156"/>
  <c r="M95" i="156"/>
  <c r="L95" i="156"/>
  <c r="K95" i="156"/>
  <c r="J95" i="156"/>
  <c r="I95" i="156"/>
  <c r="H95" i="156"/>
  <c r="G95" i="156"/>
  <c r="F95" i="156"/>
  <c r="E95" i="156"/>
  <c r="C95" i="156"/>
  <c r="AI94" i="156"/>
  <c r="V94" i="156"/>
  <c r="H94" i="156"/>
  <c r="H97" i="156" s="1"/>
  <c r="H123" i="156" s="1"/>
  <c r="C94" i="156"/>
  <c r="D92" i="156"/>
  <c r="D124" i="156" s="1"/>
  <c r="AR87" i="156"/>
  <c r="AQ87" i="156"/>
  <c r="AP87" i="156"/>
  <c r="AO87" i="156"/>
  <c r="AN87" i="156"/>
  <c r="AM87" i="156"/>
  <c r="AL87" i="156"/>
  <c r="AK87" i="156"/>
  <c r="AJ87" i="156"/>
  <c r="AI87" i="156"/>
  <c r="AH87" i="156"/>
  <c r="AG87" i="156"/>
  <c r="AF87" i="156"/>
  <c r="AE87" i="156"/>
  <c r="AD87" i="156"/>
  <c r="AC87" i="156"/>
  <c r="AB87" i="156"/>
  <c r="AA87" i="156"/>
  <c r="Z87" i="156"/>
  <c r="Y87" i="156"/>
  <c r="X87" i="156"/>
  <c r="W87" i="156"/>
  <c r="V87" i="156"/>
  <c r="U87" i="156"/>
  <c r="T87" i="156"/>
  <c r="S87" i="156"/>
  <c r="R87" i="156"/>
  <c r="Q87" i="156"/>
  <c r="P87" i="156"/>
  <c r="O87" i="156"/>
  <c r="N87" i="156"/>
  <c r="M87" i="156"/>
  <c r="L87" i="156"/>
  <c r="K87" i="156"/>
  <c r="J87" i="156"/>
  <c r="I87" i="156"/>
  <c r="H87" i="156"/>
  <c r="G87" i="156"/>
  <c r="F87" i="156"/>
  <c r="E87" i="156"/>
  <c r="C72" i="156"/>
  <c r="D132" i="156" s="1"/>
  <c r="D54" i="156"/>
  <c r="D53" i="156"/>
  <c r="D52" i="156"/>
  <c r="D49" i="156"/>
  <c r="C48" i="156"/>
  <c r="D47" i="156"/>
  <c r="C46" i="156"/>
  <c r="D45" i="156"/>
  <c r="C43" i="156"/>
  <c r="D40" i="156"/>
  <c r="C39" i="156"/>
  <c r="D38" i="156"/>
  <c r="D37" i="156"/>
  <c r="C36" i="156"/>
  <c r="D130" i="156" s="1"/>
  <c r="Q112" i="156" s="1"/>
  <c r="D35" i="156"/>
  <c r="D34" i="156"/>
  <c r="C31" i="156"/>
  <c r="C30" i="156"/>
  <c r="C29" i="156"/>
  <c r="D25" i="156"/>
  <c r="C24" i="156"/>
  <c r="D23" i="156"/>
  <c r="C22" i="156"/>
  <c r="D19" i="156"/>
  <c r="D8" i="156"/>
  <c r="C8" i="156"/>
  <c r="D7" i="156"/>
  <c r="D5" i="156"/>
  <c r="F139" i="155"/>
  <c r="D134" i="155"/>
  <c r="D133" i="155"/>
  <c r="C129" i="155"/>
  <c r="AR125" i="155"/>
  <c r="AQ125" i="155"/>
  <c r="AP125" i="155"/>
  <c r="AO125" i="155"/>
  <c r="AN125" i="155"/>
  <c r="AM125" i="155"/>
  <c r="AL125" i="155"/>
  <c r="AK125" i="155"/>
  <c r="AJ125" i="155"/>
  <c r="AI125" i="155"/>
  <c r="AH125" i="155"/>
  <c r="AG125" i="155"/>
  <c r="AF125" i="155"/>
  <c r="AE125" i="155"/>
  <c r="AD125" i="155"/>
  <c r="AC125" i="155"/>
  <c r="AB125" i="155"/>
  <c r="AA125" i="155"/>
  <c r="Z125" i="155"/>
  <c r="Y125" i="155"/>
  <c r="X125" i="155"/>
  <c r="W125" i="155"/>
  <c r="V125" i="155"/>
  <c r="U125" i="155"/>
  <c r="T125" i="155"/>
  <c r="AR123" i="155"/>
  <c r="AQ123" i="155"/>
  <c r="AP123" i="155"/>
  <c r="AO123" i="155"/>
  <c r="AN123" i="155"/>
  <c r="AM123" i="155"/>
  <c r="AL123" i="155"/>
  <c r="AK123" i="155"/>
  <c r="AJ123" i="155"/>
  <c r="AI123" i="155"/>
  <c r="AH123" i="155"/>
  <c r="AG123" i="155"/>
  <c r="AF123" i="155"/>
  <c r="AE123" i="155"/>
  <c r="AD123" i="155"/>
  <c r="AC123" i="155"/>
  <c r="AB123" i="155"/>
  <c r="AA123" i="155"/>
  <c r="Z123" i="155"/>
  <c r="Y123" i="155"/>
  <c r="X123" i="155"/>
  <c r="W123" i="155"/>
  <c r="V123" i="155"/>
  <c r="U123" i="155"/>
  <c r="T123" i="155"/>
  <c r="C123" i="155"/>
  <c r="V115" i="155"/>
  <c r="AR114" i="155"/>
  <c r="AQ114" i="155"/>
  <c r="AP114" i="155"/>
  <c r="AO114" i="155"/>
  <c r="AN114" i="155"/>
  <c r="AN115" i="155" s="1"/>
  <c r="AM114" i="155"/>
  <c r="AM115" i="155" s="1"/>
  <c r="AL114" i="155"/>
  <c r="AK114" i="155"/>
  <c r="AJ114" i="155"/>
  <c r="AJ115" i="155" s="1"/>
  <c r="AI114" i="155"/>
  <c r="AH114" i="155"/>
  <c r="AG114" i="155"/>
  <c r="AF114" i="155"/>
  <c r="AE114" i="155"/>
  <c r="AD114" i="155"/>
  <c r="AC114" i="155"/>
  <c r="AB114" i="155"/>
  <c r="AB115" i="155" s="1"/>
  <c r="AA114" i="155"/>
  <c r="Z114" i="155"/>
  <c r="Y114" i="155"/>
  <c r="X114" i="155"/>
  <c r="X115" i="155" s="1"/>
  <c r="W114" i="155"/>
  <c r="W115" i="155" s="1"/>
  <c r="V114" i="155"/>
  <c r="U114" i="155"/>
  <c r="T114" i="155"/>
  <c r="AR113" i="155"/>
  <c r="AR115" i="155" s="1"/>
  <c r="AQ113" i="155"/>
  <c r="AQ115" i="155" s="1"/>
  <c r="AP113" i="155"/>
  <c r="AP115" i="155" s="1"/>
  <c r="AO113" i="155"/>
  <c r="AO115" i="155" s="1"/>
  <c r="AN113" i="155"/>
  <c r="AM113" i="155"/>
  <c r="AL113" i="155"/>
  <c r="AL115" i="155" s="1"/>
  <c r="AK113" i="155"/>
  <c r="AK115" i="155" s="1"/>
  <c r="AJ113" i="155"/>
  <c r="AI113" i="155"/>
  <c r="AI115" i="155" s="1"/>
  <c r="AH113" i="155"/>
  <c r="AH115" i="155" s="1"/>
  <c r="AG113" i="155"/>
  <c r="AG115" i="155" s="1"/>
  <c r="AF113" i="155"/>
  <c r="AF115" i="155" s="1"/>
  <c r="AE113" i="155"/>
  <c r="AE115" i="155" s="1"/>
  <c r="AD113" i="155"/>
  <c r="AD115" i="155" s="1"/>
  <c r="AC113" i="155"/>
  <c r="AC115" i="155" s="1"/>
  <c r="AB113" i="155"/>
  <c r="AA113" i="155"/>
  <c r="AA115" i="155" s="1"/>
  <c r="Z113" i="155"/>
  <c r="Z115" i="155" s="1"/>
  <c r="Y113" i="155"/>
  <c r="Y115" i="155" s="1"/>
  <c r="X113" i="155"/>
  <c r="W113" i="155"/>
  <c r="V113" i="155"/>
  <c r="U113" i="155"/>
  <c r="U115" i="155" s="1"/>
  <c r="T113" i="155"/>
  <c r="T115" i="155" s="1"/>
  <c r="AR112" i="155"/>
  <c r="AQ112" i="155"/>
  <c r="AP112" i="155"/>
  <c r="AO112" i="155"/>
  <c r="AN112" i="155"/>
  <c r="AM112" i="155"/>
  <c r="AL112" i="155"/>
  <c r="AK112" i="155"/>
  <c r="AJ112" i="155"/>
  <c r="AI112" i="155"/>
  <c r="AH112" i="155"/>
  <c r="AG112" i="155"/>
  <c r="AF112" i="155"/>
  <c r="AE112" i="155"/>
  <c r="AD112" i="155"/>
  <c r="AC112" i="155"/>
  <c r="AB112" i="155"/>
  <c r="AA112" i="155"/>
  <c r="Z112" i="155"/>
  <c r="Y112" i="155"/>
  <c r="X112" i="155"/>
  <c r="W112" i="155"/>
  <c r="V112" i="155"/>
  <c r="U112" i="155"/>
  <c r="T112" i="155"/>
  <c r="Q112" i="155"/>
  <c r="N112" i="155"/>
  <c r="H112" i="155"/>
  <c r="G112" i="155"/>
  <c r="F112" i="155"/>
  <c r="AR109" i="155"/>
  <c r="AO109" i="155"/>
  <c r="AM109" i="155"/>
  <c r="AJ109" i="155"/>
  <c r="AG109" i="155"/>
  <c r="AE109" i="155"/>
  <c r="AB109" i="155"/>
  <c r="H109" i="155"/>
  <c r="AF106" i="155"/>
  <c r="AB105" i="155"/>
  <c r="AR104" i="155"/>
  <c r="AQ104" i="155"/>
  <c r="AP104" i="155"/>
  <c r="AO104" i="155"/>
  <c r="AN104" i="155"/>
  <c r="AM104" i="155"/>
  <c r="AL104" i="155"/>
  <c r="AK104" i="155"/>
  <c r="AJ104" i="155"/>
  <c r="AI104" i="155"/>
  <c r="AH104" i="155"/>
  <c r="AG104" i="155"/>
  <c r="AF104" i="155"/>
  <c r="AE104" i="155"/>
  <c r="AD104" i="155"/>
  <c r="AC104" i="155"/>
  <c r="AB104" i="155"/>
  <c r="AA104" i="155"/>
  <c r="Z104" i="155"/>
  <c r="Y104" i="155"/>
  <c r="X104" i="155"/>
  <c r="W104" i="155"/>
  <c r="V104" i="155"/>
  <c r="U104" i="155"/>
  <c r="T104" i="155"/>
  <c r="T105" i="155" s="1"/>
  <c r="S104" i="155"/>
  <c r="R104" i="155"/>
  <c r="Q104" i="155"/>
  <c r="P104" i="155"/>
  <c r="O104" i="155"/>
  <c r="N104" i="155"/>
  <c r="M104" i="155"/>
  <c r="L104" i="155"/>
  <c r="K104" i="155"/>
  <c r="J104" i="155"/>
  <c r="I104" i="155"/>
  <c r="H104" i="155"/>
  <c r="G104" i="155"/>
  <c r="F104" i="155"/>
  <c r="E104" i="155"/>
  <c r="C104" i="155"/>
  <c r="AP103" i="155"/>
  <c r="AO103" i="155"/>
  <c r="AM103" i="155"/>
  <c r="AK103" i="155"/>
  <c r="AF103" i="155"/>
  <c r="AE103" i="155"/>
  <c r="AC103" i="155"/>
  <c r="X103" i="155"/>
  <c r="W103" i="155"/>
  <c r="U103" i="155"/>
  <c r="Q103" i="155"/>
  <c r="P103" i="155"/>
  <c r="O103" i="155"/>
  <c r="M103" i="155"/>
  <c r="G103" i="155"/>
  <c r="E103" i="155"/>
  <c r="C103" i="155"/>
  <c r="AR102" i="155"/>
  <c r="AQ102" i="155"/>
  <c r="AP102" i="155"/>
  <c r="AO102" i="155"/>
  <c r="AN102" i="155"/>
  <c r="AM102" i="155"/>
  <c r="AL102" i="155"/>
  <c r="AK102" i="155"/>
  <c r="AJ102" i="155"/>
  <c r="AI102" i="155"/>
  <c r="AH102" i="155"/>
  <c r="AG102" i="155"/>
  <c r="AF102" i="155"/>
  <c r="AE102" i="155"/>
  <c r="AD102" i="155"/>
  <c r="AC102" i="155"/>
  <c r="AB102" i="155"/>
  <c r="AA102" i="155"/>
  <c r="Z102" i="155"/>
  <c r="Y102" i="155"/>
  <c r="X102" i="155"/>
  <c r="W102" i="155"/>
  <c r="V102" i="155"/>
  <c r="U102" i="155"/>
  <c r="T102" i="155"/>
  <c r="S102" i="155"/>
  <c r="R102" i="155"/>
  <c r="Q102" i="155"/>
  <c r="P102" i="155"/>
  <c r="O102" i="155"/>
  <c r="N102" i="155"/>
  <c r="M102" i="155"/>
  <c r="L102" i="155"/>
  <c r="K102" i="155"/>
  <c r="J102" i="155"/>
  <c r="I102" i="155"/>
  <c r="H102" i="155"/>
  <c r="G102" i="155"/>
  <c r="F102" i="155"/>
  <c r="E102" i="155"/>
  <c r="AR101" i="155"/>
  <c r="AR103" i="155" s="1"/>
  <c r="AQ101" i="155"/>
  <c r="AP101" i="155"/>
  <c r="AO101" i="155"/>
  <c r="AN101" i="155"/>
  <c r="AN103" i="155" s="1"/>
  <c r="AM101" i="155"/>
  <c r="AL101" i="155"/>
  <c r="AL103" i="155" s="1"/>
  <c r="AK101" i="155"/>
  <c r="AJ101" i="155"/>
  <c r="AJ103" i="155" s="1"/>
  <c r="AI101" i="155"/>
  <c r="AH101" i="155"/>
  <c r="AH103" i="155" s="1"/>
  <c r="AG101" i="155"/>
  <c r="AF101" i="155"/>
  <c r="AE101" i="155"/>
  <c r="AD101" i="155"/>
  <c r="AC101" i="155"/>
  <c r="AC106" i="155" s="1"/>
  <c r="AB101" i="155"/>
  <c r="AB103" i="155" s="1"/>
  <c r="AA101" i="155"/>
  <c r="Z101" i="155"/>
  <c r="Y101" i="155"/>
  <c r="Y103" i="155" s="1"/>
  <c r="X101" i="155"/>
  <c r="W101" i="155"/>
  <c r="V101" i="155"/>
  <c r="U101" i="155"/>
  <c r="U106" i="155" s="1"/>
  <c r="T101" i="155"/>
  <c r="T103" i="155" s="1"/>
  <c r="S101" i="155"/>
  <c r="R101" i="155"/>
  <c r="R106" i="155" s="1"/>
  <c r="Q101" i="155"/>
  <c r="P101" i="155"/>
  <c r="P106" i="155" s="1"/>
  <c r="O101" i="155"/>
  <c r="N101" i="155"/>
  <c r="N103" i="155" s="1"/>
  <c r="M101" i="155"/>
  <c r="L101" i="155"/>
  <c r="L103" i="155" s="1"/>
  <c r="K101" i="155"/>
  <c r="J101" i="155"/>
  <c r="J106" i="155" s="1"/>
  <c r="I101" i="155"/>
  <c r="H101" i="155"/>
  <c r="H106" i="155" s="1"/>
  <c r="G101" i="155"/>
  <c r="F101" i="155"/>
  <c r="E101" i="155"/>
  <c r="E106" i="155" s="1"/>
  <c r="AR100" i="155"/>
  <c r="AQ100" i="155"/>
  <c r="AP100" i="155"/>
  <c r="AO100" i="155"/>
  <c r="AN100" i="155"/>
  <c r="AM100" i="155"/>
  <c r="AL100" i="155"/>
  <c r="AK100" i="155"/>
  <c r="AJ100" i="155"/>
  <c r="AI100" i="155"/>
  <c r="AH100" i="155"/>
  <c r="AG100" i="155"/>
  <c r="AF100" i="155"/>
  <c r="AE100" i="155"/>
  <c r="AD100" i="155"/>
  <c r="AC100" i="155"/>
  <c r="AB100" i="155"/>
  <c r="AA100" i="155"/>
  <c r="Z100" i="155"/>
  <c r="Y100" i="155"/>
  <c r="X100" i="155"/>
  <c r="W100" i="155"/>
  <c r="V100" i="155"/>
  <c r="U100" i="155"/>
  <c r="T100" i="155"/>
  <c r="S100" i="155"/>
  <c r="R100" i="155"/>
  <c r="Q100" i="155"/>
  <c r="P100" i="155"/>
  <c r="O100" i="155"/>
  <c r="N100" i="155"/>
  <c r="M100" i="155"/>
  <c r="L100" i="155"/>
  <c r="K100" i="155"/>
  <c r="J100" i="155"/>
  <c r="I100" i="155"/>
  <c r="H100" i="155"/>
  <c r="G100" i="155"/>
  <c r="F100" i="155"/>
  <c r="E100" i="155"/>
  <c r="AR99" i="155"/>
  <c r="AQ99" i="155"/>
  <c r="AQ109" i="155" s="1"/>
  <c r="AP99" i="155"/>
  <c r="AP109" i="155" s="1"/>
  <c r="AO99" i="155"/>
  <c r="AN99" i="155"/>
  <c r="AN109" i="155" s="1"/>
  <c r="AM99" i="155"/>
  <c r="AL99" i="155"/>
  <c r="AL109" i="155" s="1"/>
  <c r="AK99" i="155"/>
  <c r="AK109" i="155" s="1"/>
  <c r="AJ99" i="155"/>
  <c r="AI99" i="155"/>
  <c r="AI109" i="155" s="1"/>
  <c r="AH99" i="155"/>
  <c r="AH109" i="155" s="1"/>
  <c r="AG99" i="155"/>
  <c r="AF99" i="155"/>
  <c r="AF109" i="155" s="1"/>
  <c r="AE99" i="155"/>
  <c r="AD99" i="155"/>
  <c r="AD109" i="155" s="1"/>
  <c r="AC99" i="155"/>
  <c r="AC109" i="155" s="1"/>
  <c r="AB99" i="155"/>
  <c r="AA99" i="155"/>
  <c r="AA109" i="155" s="1"/>
  <c r="Z99" i="155"/>
  <c r="Z109" i="155" s="1"/>
  <c r="Y99" i="155"/>
  <c r="Y109" i="155" s="1"/>
  <c r="H99" i="155"/>
  <c r="AI97" i="155"/>
  <c r="AH97" i="155"/>
  <c r="S97" i="155"/>
  <c r="S123" i="155" s="1"/>
  <c r="J97" i="155"/>
  <c r="J123" i="155" s="1"/>
  <c r="H97" i="155"/>
  <c r="H123" i="155" s="1"/>
  <c r="C97" i="155"/>
  <c r="AR96" i="155"/>
  <c r="AQ96" i="155"/>
  <c r="AP96" i="155"/>
  <c r="AO96" i="155"/>
  <c r="AN96" i="155"/>
  <c r="AM96" i="155"/>
  <c r="AL96" i="155"/>
  <c r="AK96" i="155"/>
  <c r="AJ96" i="155"/>
  <c r="AI96" i="155"/>
  <c r="AH96" i="155"/>
  <c r="AG96" i="155"/>
  <c r="AF96" i="155"/>
  <c r="AE96" i="155"/>
  <c r="AD96" i="155"/>
  <c r="AC96" i="155"/>
  <c r="AB96" i="155"/>
  <c r="AA96" i="155"/>
  <c r="Z96" i="155"/>
  <c r="Y96" i="155"/>
  <c r="X96" i="155"/>
  <c r="W96" i="155"/>
  <c r="V96" i="155"/>
  <c r="U96" i="155"/>
  <c r="T96" i="155"/>
  <c r="S96" i="155"/>
  <c r="R96" i="155"/>
  <c r="Q96" i="155"/>
  <c r="P96" i="155"/>
  <c r="O96" i="155"/>
  <c r="N96" i="155"/>
  <c r="M96" i="155"/>
  <c r="L96" i="155"/>
  <c r="K96" i="155"/>
  <c r="J96" i="155"/>
  <c r="I96" i="155"/>
  <c r="H96" i="155"/>
  <c r="G96" i="155"/>
  <c r="F96" i="155"/>
  <c r="E96" i="155"/>
  <c r="AR95" i="155"/>
  <c r="AQ95" i="155"/>
  <c r="AP95" i="155"/>
  <c r="AO95" i="155"/>
  <c r="AN95" i="155"/>
  <c r="AM95" i="155"/>
  <c r="AM106" i="155" s="1"/>
  <c r="AL95" i="155"/>
  <c r="AK95" i="155"/>
  <c r="AJ95" i="155"/>
  <c r="AI95" i="155"/>
  <c r="AH95" i="155"/>
  <c r="AG95" i="155"/>
  <c r="AF95" i="155"/>
  <c r="AE95" i="155"/>
  <c r="AD95" i="155"/>
  <c r="AC95" i="155"/>
  <c r="AB95" i="155"/>
  <c r="AA95" i="155"/>
  <c r="Z95" i="155"/>
  <c r="Y95" i="155"/>
  <c r="X95" i="155"/>
  <c r="W95" i="155"/>
  <c r="V95" i="155"/>
  <c r="U95" i="155"/>
  <c r="T95" i="155"/>
  <c r="S95" i="155"/>
  <c r="R95" i="155"/>
  <c r="Q95" i="155"/>
  <c r="P95" i="155"/>
  <c r="O95" i="155"/>
  <c r="N95" i="155"/>
  <c r="M95" i="155"/>
  <c r="L95" i="155"/>
  <c r="K95" i="155"/>
  <c r="J95" i="155"/>
  <c r="I95" i="155"/>
  <c r="H95" i="155"/>
  <c r="G95" i="155"/>
  <c r="F95" i="155"/>
  <c r="E95" i="155"/>
  <c r="C95" i="155"/>
  <c r="AR94" i="155"/>
  <c r="AQ94" i="155"/>
  <c r="AQ97" i="155" s="1"/>
  <c r="AP94" i="155"/>
  <c r="AP97" i="155" s="1"/>
  <c r="AN94" i="155"/>
  <c r="AK94" i="155"/>
  <c r="AK97" i="155" s="1"/>
  <c r="AI94" i="155"/>
  <c r="AH94" i="155"/>
  <c r="AF94" i="155"/>
  <c r="AF97" i="155" s="1"/>
  <c r="AC94" i="155"/>
  <c r="AC97" i="155" s="1"/>
  <c r="AB94" i="155"/>
  <c r="AB97" i="155" s="1"/>
  <c r="AA94" i="155"/>
  <c r="AA97" i="155" s="1"/>
  <c r="Z94" i="155"/>
  <c r="Z97" i="155" s="1"/>
  <c r="U94" i="155"/>
  <c r="U97" i="155" s="1"/>
  <c r="T94" i="155"/>
  <c r="T97" i="155" s="1"/>
  <c r="S94" i="155"/>
  <c r="R94" i="155"/>
  <c r="R97" i="155" s="1"/>
  <c r="R123" i="155" s="1"/>
  <c r="P94" i="155"/>
  <c r="P97" i="155" s="1"/>
  <c r="M94" i="155"/>
  <c r="M97" i="155" s="1"/>
  <c r="M123" i="155" s="1"/>
  <c r="L94" i="155"/>
  <c r="L97" i="155" s="1"/>
  <c r="L123" i="155" s="1"/>
  <c r="J94" i="155"/>
  <c r="H94" i="155"/>
  <c r="E94" i="155"/>
  <c r="C94" i="155"/>
  <c r="D92" i="155"/>
  <c r="D124" i="155" s="1"/>
  <c r="AR87" i="155"/>
  <c r="AQ87" i="155"/>
  <c r="AP87" i="155"/>
  <c r="AO87" i="155"/>
  <c r="AN87" i="155"/>
  <c r="AM87" i="155"/>
  <c r="AL87" i="155"/>
  <c r="AK87" i="155"/>
  <c r="AJ87" i="155"/>
  <c r="AI87" i="155"/>
  <c r="AH87" i="155"/>
  <c r="AG87" i="155"/>
  <c r="AF87" i="155"/>
  <c r="AE87" i="155"/>
  <c r="AD87" i="155"/>
  <c r="AC87" i="155"/>
  <c r="AB87" i="155"/>
  <c r="AA87" i="155"/>
  <c r="Z87" i="155"/>
  <c r="Y87" i="155"/>
  <c r="X87" i="155"/>
  <c r="W87" i="155"/>
  <c r="V87" i="155"/>
  <c r="U87" i="155"/>
  <c r="U99" i="155" s="1"/>
  <c r="U109" i="155" s="1"/>
  <c r="T87" i="155"/>
  <c r="T99" i="155" s="1"/>
  <c r="T109" i="155" s="1"/>
  <c r="S87" i="155"/>
  <c r="R87" i="155"/>
  <c r="Q87" i="155"/>
  <c r="P87" i="155"/>
  <c r="O87" i="155"/>
  <c r="N87" i="155"/>
  <c r="M87" i="155"/>
  <c r="L87" i="155"/>
  <c r="L99" i="155" s="1"/>
  <c r="L109" i="155" s="1"/>
  <c r="K87" i="155"/>
  <c r="J87" i="155"/>
  <c r="I87" i="155"/>
  <c r="H87" i="155"/>
  <c r="G87" i="155"/>
  <c r="F87" i="155"/>
  <c r="E87" i="155"/>
  <c r="C72" i="155"/>
  <c r="D132" i="155" s="1"/>
  <c r="D54" i="155"/>
  <c r="D53" i="155"/>
  <c r="D52" i="155"/>
  <c r="D49" i="155"/>
  <c r="C48" i="155"/>
  <c r="D47" i="155"/>
  <c r="C46" i="155"/>
  <c r="D45" i="155"/>
  <c r="C43" i="155"/>
  <c r="D40" i="155"/>
  <c r="C39" i="155"/>
  <c r="D38" i="155"/>
  <c r="D37" i="155"/>
  <c r="C36" i="155"/>
  <c r="D130" i="155" s="1"/>
  <c r="D35" i="155"/>
  <c r="D34" i="155"/>
  <c r="C31" i="155"/>
  <c r="C30" i="155"/>
  <c r="AJ94" i="155" s="1"/>
  <c r="C29" i="155"/>
  <c r="AM94" i="155" s="1"/>
  <c r="D25" i="155"/>
  <c r="C24" i="155"/>
  <c r="D23" i="155"/>
  <c r="C22" i="155"/>
  <c r="D19" i="155"/>
  <c r="D8" i="155"/>
  <c r="C8" i="155"/>
  <c r="D7" i="155"/>
  <c r="D5" i="155"/>
  <c r="F139" i="154"/>
  <c r="D134" i="154"/>
  <c r="D133" i="154"/>
  <c r="C129" i="154"/>
  <c r="AR125" i="154"/>
  <c r="AQ125" i="154"/>
  <c r="AP125" i="154"/>
  <c r="AO125" i="154"/>
  <c r="AN125" i="154"/>
  <c r="AM125" i="154"/>
  <c r="AL125" i="154"/>
  <c r="AK125" i="154"/>
  <c r="AJ125" i="154"/>
  <c r="AI125" i="154"/>
  <c r="AH125" i="154"/>
  <c r="AG125" i="154"/>
  <c r="AF125" i="154"/>
  <c r="AE125" i="154"/>
  <c r="AD125" i="154"/>
  <c r="AC125" i="154"/>
  <c r="AB125" i="154"/>
  <c r="AA125" i="154"/>
  <c r="Z125" i="154"/>
  <c r="Y125" i="154"/>
  <c r="X125" i="154"/>
  <c r="W125" i="154"/>
  <c r="V125" i="154"/>
  <c r="U125" i="154"/>
  <c r="T125" i="154"/>
  <c r="AR123" i="154"/>
  <c r="AQ123" i="154"/>
  <c r="AP123" i="154"/>
  <c r="AO123" i="154"/>
  <c r="AN123" i="154"/>
  <c r="AM123" i="154"/>
  <c r="AL123" i="154"/>
  <c r="AK123" i="154"/>
  <c r="AJ123" i="154"/>
  <c r="AI123" i="154"/>
  <c r="AH123" i="154"/>
  <c r="AG123" i="154"/>
  <c r="AF123" i="154"/>
  <c r="AE123" i="154"/>
  <c r="AD123" i="154"/>
  <c r="AC123" i="154"/>
  <c r="AB123" i="154"/>
  <c r="AA123" i="154"/>
  <c r="Z123" i="154"/>
  <c r="Y123" i="154"/>
  <c r="X123" i="154"/>
  <c r="W123" i="154"/>
  <c r="V123" i="154"/>
  <c r="U123" i="154"/>
  <c r="T123" i="154"/>
  <c r="C123" i="154"/>
  <c r="AP115" i="154"/>
  <c r="AK115" i="154"/>
  <c r="AJ115" i="154"/>
  <c r="AH115" i="154"/>
  <c r="AC115" i="154"/>
  <c r="AB115" i="154"/>
  <c r="Y115" i="154"/>
  <c r="AR114" i="154"/>
  <c r="AQ114" i="154"/>
  <c r="AP114" i="154"/>
  <c r="AO114" i="154"/>
  <c r="AN114" i="154"/>
  <c r="AM114" i="154"/>
  <c r="AL114" i="154"/>
  <c r="AK114" i="154"/>
  <c r="AJ114" i="154"/>
  <c r="AI114" i="154"/>
  <c r="AH114" i="154"/>
  <c r="AG114" i="154"/>
  <c r="AF114" i="154"/>
  <c r="AE114" i="154"/>
  <c r="AD114" i="154"/>
  <c r="AC114" i="154"/>
  <c r="AB114" i="154"/>
  <c r="AA114" i="154"/>
  <c r="Z114" i="154"/>
  <c r="Y114" i="154"/>
  <c r="X114" i="154"/>
  <c r="W114" i="154"/>
  <c r="V114" i="154"/>
  <c r="U114" i="154"/>
  <c r="T114" i="154"/>
  <c r="AR113" i="154"/>
  <c r="AR115" i="154" s="1"/>
  <c r="AQ113" i="154"/>
  <c r="AP113" i="154"/>
  <c r="AO113" i="154"/>
  <c r="AO115" i="154" s="1"/>
  <c r="AN113" i="154"/>
  <c r="AM113" i="154"/>
  <c r="AL113" i="154"/>
  <c r="AL115" i="154" s="1"/>
  <c r="AK113" i="154"/>
  <c r="AJ113" i="154"/>
  <c r="AI113" i="154"/>
  <c r="AI115" i="154" s="1"/>
  <c r="AH113" i="154"/>
  <c r="AG113" i="154"/>
  <c r="AG115" i="154" s="1"/>
  <c r="AF113" i="154"/>
  <c r="AE113" i="154"/>
  <c r="AD113" i="154"/>
  <c r="AD115" i="154" s="1"/>
  <c r="AC113" i="154"/>
  <c r="AB113" i="154"/>
  <c r="AA113" i="154"/>
  <c r="AA115" i="154" s="1"/>
  <c r="Z113" i="154"/>
  <c r="Z115" i="154" s="1"/>
  <c r="Y113" i="154"/>
  <c r="X113" i="154"/>
  <c r="X115" i="154" s="1"/>
  <c r="W113" i="154"/>
  <c r="V113" i="154"/>
  <c r="V115" i="154" s="1"/>
  <c r="U113" i="154"/>
  <c r="U115" i="154" s="1"/>
  <c r="T113" i="154"/>
  <c r="T115" i="154" s="1"/>
  <c r="AR112" i="154"/>
  <c r="AQ112" i="154"/>
  <c r="AP112" i="154"/>
  <c r="AO112" i="154"/>
  <c r="AN112" i="154"/>
  <c r="AM112" i="154"/>
  <c r="AL112" i="154"/>
  <c r="AK112" i="154"/>
  <c r="AJ112" i="154"/>
  <c r="AI112" i="154"/>
  <c r="AH112" i="154"/>
  <c r="AG112" i="154"/>
  <c r="AF112" i="154"/>
  <c r="AE112" i="154"/>
  <c r="AD112" i="154"/>
  <c r="AC112" i="154"/>
  <c r="AB112" i="154"/>
  <c r="AA112" i="154"/>
  <c r="Z112" i="154"/>
  <c r="Y112" i="154"/>
  <c r="X112" i="154"/>
  <c r="W112" i="154"/>
  <c r="V112" i="154"/>
  <c r="U112" i="154"/>
  <c r="T112" i="154"/>
  <c r="AQ109" i="154"/>
  <c r="AM109" i="154"/>
  <c r="AL109" i="154"/>
  <c r="AI109" i="154"/>
  <c r="AF109" i="154"/>
  <c r="AE109" i="154"/>
  <c r="AD109" i="154"/>
  <c r="AA109" i="154"/>
  <c r="AR104" i="154"/>
  <c r="AQ104" i="154"/>
  <c r="AP104" i="154"/>
  <c r="AO104" i="154"/>
  <c r="AN104" i="154"/>
  <c r="AM104" i="154"/>
  <c r="AL104" i="154"/>
  <c r="AK104" i="154"/>
  <c r="AJ104" i="154"/>
  <c r="AI104" i="154"/>
  <c r="AH104" i="154"/>
  <c r="AG104" i="154"/>
  <c r="AF104" i="154"/>
  <c r="AE104" i="154"/>
  <c r="AD104" i="154"/>
  <c r="AC104" i="154"/>
  <c r="AB104" i="154"/>
  <c r="AA104" i="154"/>
  <c r="Z104" i="154"/>
  <c r="Y104" i="154"/>
  <c r="X104" i="154"/>
  <c r="W104" i="154"/>
  <c r="V104" i="154"/>
  <c r="U104" i="154"/>
  <c r="T104" i="154"/>
  <c r="S104" i="154"/>
  <c r="R104" i="154"/>
  <c r="Q104" i="154"/>
  <c r="P104" i="154"/>
  <c r="O104" i="154"/>
  <c r="N104" i="154"/>
  <c r="M104" i="154"/>
  <c r="L104" i="154"/>
  <c r="K104" i="154"/>
  <c r="J104" i="154"/>
  <c r="I104" i="154"/>
  <c r="H104" i="154"/>
  <c r="G104" i="154"/>
  <c r="F104" i="154"/>
  <c r="E104" i="154"/>
  <c r="C104" i="154"/>
  <c r="AR103" i="154"/>
  <c r="AQ103" i="154"/>
  <c r="AN103" i="154"/>
  <c r="AM103" i="154"/>
  <c r="AJ103" i="154"/>
  <c r="AI103" i="154"/>
  <c r="AE103" i="154"/>
  <c r="AB103" i="154"/>
  <c r="AA103" i="154"/>
  <c r="Y103" i="154"/>
  <c r="X103" i="154"/>
  <c r="W103" i="154"/>
  <c r="T103" i="154"/>
  <c r="S103" i="154"/>
  <c r="O103" i="154"/>
  <c r="L103" i="154"/>
  <c r="K103" i="154"/>
  <c r="H103" i="154"/>
  <c r="G103" i="154"/>
  <c r="C103" i="154"/>
  <c r="AR102" i="154"/>
  <c r="AQ102" i="154"/>
  <c r="AP102" i="154"/>
  <c r="AO102" i="154"/>
  <c r="AN102" i="154"/>
  <c r="AM102" i="154"/>
  <c r="AL102" i="154"/>
  <c r="AK102" i="154"/>
  <c r="AJ102" i="154"/>
  <c r="AI102" i="154"/>
  <c r="AH102" i="154"/>
  <c r="AG102" i="154"/>
  <c r="AF102" i="154"/>
  <c r="AE102" i="154"/>
  <c r="AD102" i="154"/>
  <c r="AC102" i="154"/>
  <c r="AB102" i="154"/>
  <c r="AA102" i="154"/>
  <c r="Z102" i="154"/>
  <c r="Y102" i="154"/>
  <c r="X102" i="154"/>
  <c r="W102" i="154"/>
  <c r="V102" i="154"/>
  <c r="U102" i="154"/>
  <c r="T102" i="154"/>
  <c r="S102" i="154"/>
  <c r="R102" i="154"/>
  <c r="Q102" i="154"/>
  <c r="P102" i="154"/>
  <c r="O102" i="154"/>
  <c r="N102" i="154"/>
  <c r="M102" i="154"/>
  <c r="L102" i="154"/>
  <c r="K102" i="154"/>
  <c r="J102" i="154"/>
  <c r="I102" i="154"/>
  <c r="H102" i="154"/>
  <c r="G102" i="154"/>
  <c r="F102" i="154"/>
  <c r="E102" i="154"/>
  <c r="AR101" i="154"/>
  <c r="AQ101" i="154"/>
  <c r="AP101" i="154"/>
  <c r="AO101" i="154"/>
  <c r="AO103" i="154" s="1"/>
  <c r="AN101" i="154"/>
  <c r="AM101" i="154"/>
  <c r="AL101" i="154"/>
  <c r="AL103" i="154" s="1"/>
  <c r="AK101" i="154"/>
  <c r="AJ101" i="154"/>
  <c r="AI101" i="154"/>
  <c r="AH101" i="154"/>
  <c r="AG101" i="154"/>
  <c r="AG103" i="154" s="1"/>
  <c r="AF101" i="154"/>
  <c r="AF103" i="154" s="1"/>
  <c r="AE101" i="154"/>
  <c r="AD101" i="154"/>
  <c r="AD103" i="154" s="1"/>
  <c r="AC101" i="154"/>
  <c r="AB101" i="154"/>
  <c r="AA101" i="154"/>
  <c r="Z101" i="154"/>
  <c r="Y101" i="154"/>
  <c r="X101" i="154"/>
  <c r="W101" i="154"/>
  <c r="V101" i="154"/>
  <c r="V103" i="154" s="1"/>
  <c r="U101" i="154"/>
  <c r="T101" i="154"/>
  <c r="S101" i="154"/>
  <c r="R101" i="154"/>
  <c r="Q101" i="154"/>
  <c r="Q103" i="154" s="1"/>
  <c r="P101" i="154"/>
  <c r="P103" i="154" s="1"/>
  <c r="O101" i="154"/>
  <c r="N101" i="154"/>
  <c r="N103" i="154" s="1"/>
  <c r="M101" i="154"/>
  <c r="L101" i="154"/>
  <c r="K101" i="154"/>
  <c r="J101" i="154"/>
  <c r="I101" i="154"/>
  <c r="I103" i="154" s="1"/>
  <c r="H101" i="154"/>
  <c r="G101" i="154"/>
  <c r="F101" i="154"/>
  <c r="F103" i="154" s="1"/>
  <c r="E101" i="154"/>
  <c r="AR100" i="154"/>
  <c r="AQ100" i="154"/>
  <c r="AP100" i="154"/>
  <c r="AO100" i="154"/>
  <c r="AN100" i="154"/>
  <c r="AM100" i="154"/>
  <c r="AL100" i="154"/>
  <c r="AK100" i="154"/>
  <c r="AJ100" i="154"/>
  <c r="AI100" i="154"/>
  <c r="AH100" i="154"/>
  <c r="AG100" i="154"/>
  <c r="AF100" i="154"/>
  <c r="AE100" i="154"/>
  <c r="AD100" i="154"/>
  <c r="AC100" i="154"/>
  <c r="AB100" i="154"/>
  <c r="AA100" i="154"/>
  <c r="Z100" i="154"/>
  <c r="Y100" i="154"/>
  <c r="X100" i="154"/>
  <c r="W100" i="154"/>
  <c r="V100" i="154"/>
  <c r="U100" i="154"/>
  <c r="T100" i="154"/>
  <c r="S100" i="154"/>
  <c r="R100" i="154"/>
  <c r="Q100" i="154"/>
  <c r="P100" i="154"/>
  <c r="O100" i="154"/>
  <c r="N100" i="154"/>
  <c r="M100" i="154"/>
  <c r="L100" i="154"/>
  <c r="K100" i="154"/>
  <c r="J100" i="154"/>
  <c r="I100" i="154"/>
  <c r="H100" i="154"/>
  <c r="G100" i="154"/>
  <c r="F100" i="154"/>
  <c r="E100" i="154"/>
  <c r="AR99" i="154"/>
  <c r="AR109" i="154" s="1"/>
  <c r="AQ99" i="154"/>
  <c r="AP99" i="154"/>
  <c r="AP109" i="154" s="1"/>
  <c r="AO99" i="154"/>
  <c r="AO109" i="154" s="1"/>
  <c r="AN99" i="154"/>
  <c r="AN109" i="154" s="1"/>
  <c r="AM99" i="154"/>
  <c r="AL99" i="154"/>
  <c r="AK99" i="154"/>
  <c r="AK109" i="154" s="1"/>
  <c r="AJ99" i="154"/>
  <c r="AJ109" i="154" s="1"/>
  <c r="AI99" i="154"/>
  <c r="AH99" i="154"/>
  <c r="AH109" i="154" s="1"/>
  <c r="AG99" i="154"/>
  <c r="AG109" i="154" s="1"/>
  <c r="AF99" i="154"/>
  <c r="AE99" i="154"/>
  <c r="AD99" i="154"/>
  <c r="AC99" i="154"/>
  <c r="AC109" i="154" s="1"/>
  <c r="AB99" i="154"/>
  <c r="AB109" i="154" s="1"/>
  <c r="AA99" i="154"/>
  <c r="Z99" i="154"/>
  <c r="Z109" i="154" s="1"/>
  <c r="Y99" i="154"/>
  <c r="Y109" i="154" s="1"/>
  <c r="C97" i="154"/>
  <c r="AR96" i="154"/>
  <c r="AQ96" i="154"/>
  <c r="AP96" i="154"/>
  <c r="AO96" i="154"/>
  <c r="AN96" i="154"/>
  <c r="AM96" i="154"/>
  <c r="AL96" i="154"/>
  <c r="AK96" i="154"/>
  <c r="AJ96" i="154"/>
  <c r="AI96" i="154"/>
  <c r="AH96" i="154"/>
  <c r="AG96" i="154"/>
  <c r="AF96" i="154"/>
  <c r="AE96" i="154"/>
  <c r="AD96" i="154"/>
  <c r="AC96" i="154"/>
  <c r="AB96" i="154"/>
  <c r="AA96" i="154"/>
  <c r="Z96" i="154"/>
  <c r="Y96" i="154"/>
  <c r="X96" i="154"/>
  <c r="W96" i="154"/>
  <c r="V96" i="154"/>
  <c r="U96" i="154"/>
  <c r="T96" i="154"/>
  <c r="S96" i="154"/>
  <c r="R96" i="154"/>
  <c r="Q96" i="154"/>
  <c r="P96" i="154"/>
  <c r="O96" i="154"/>
  <c r="N96" i="154"/>
  <c r="M96" i="154"/>
  <c r="L96" i="154"/>
  <c r="K96" i="154"/>
  <c r="J96" i="154"/>
  <c r="I96" i="154"/>
  <c r="H96" i="154"/>
  <c r="G96" i="154"/>
  <c r="F96" i="154"/>
  <c r="E96" i="154"/>
  <c r="AR95" i="154"/>
  <c r="AQ95" i="154"/>
  <c r="AP95" i="154"/>
  <c r="AO95" i="154"/>
  <c r="AN95" i="154"/>
  <c r="AM95" i="154"/>
  <c r="AL95" i="154"/>
  <c r="AK95" i="154"/>
  <c r="AJ95" i="154"/>
  <c r="AI95" i="154"/>
  <c r="AH95" i="154"/>
  <c r="AG95" i="154"/>
  <c r="AF95" i="154"/>
  <c r="AE95" i="154"/>
  <c r="AD95" i="154"/>
  <c r="AC95" i="154"/>
  <c r="AB95" i="154"/>
  <c r="AA95" i="154"/>
  <c r="Z95" i="154"/>
  <c r="Y95" i="154"/>
  <c r="X95" i="154"/>
  <c r="W95" i="154"/>
  <c r="V95" i="154"/>
  <c r="U95" i="154"/>
  <c r="T95" i="154"/>
  <c r="S95" i="154"/>
  <c r="R95" i="154"/>
  <c r="Q95" i="154"/>
  <c r="P95" i="154"/>
  <c r="O95" i="154"/>
  <c r="N95" i="154"/>
  <c r="M95" i="154"/>
  <c r="L95" i="154"/>
  <c r="K95" i="154"/>
  <c r="J95" i="154"/>
  <c r="I95" i="154"/>
  <c r="H95" i="154"/>
  <c r="G95" i="154"/>
  <c r="F95" i="154"/>
  <c r="E95" i="154"/>
  <c r="C95" i="154"/>
  <c r="C94" i="154"/>
  <c r="AR87" i="154"/>
  <c r="AQ87" i="154"/>
  <c r="AP87" i="154"/>
  <c r="AO87" i="154"/>
  <c r="AN87" i="154"/>
  <c r="AM87" i="154"/>
  <c r="AL87" i="154"/>
  <c r="AK87" i="154"/>
  <c r="AJ87" i="154"/>
  <c r="AI87" i="154"/>
  <c r="AH87" i="154"/>
  <c r="AG87" i="154"/>
  <c r="AF87" i="154"/>
  <c r="AE87" i="154"/>
  <c r="AD87" i="154"/>
  <c r="AC87" i="154"/>
  <c r="AB87" i="154"/>
  <c r="AA87" i="154"/>
  <c r="Z87" i="154"/>
  <c r="Y87" i="154"/>
  <c r="X87" i="154"/>
  <c r="W87" i="154"/>
  <c r="V87" i="154"/>
  <c r="U87" i="154"/>
  <c r="T87" i="154"/>
  <c r="S87" i="154"/>
  <c r="R87" i="154"/>
  <c r="Q87" i="154"/>
  <c r="P87" i="154"/>
  <c r="O87" i="154"/>
  <c r="N87" i="154"/>
  <c r="M87" i="154"/>
  <c r="L87" i="154"/>
  <c r="K87" i="154"/>
  <c r="J87" i="154"/>
  <c r="I87" i="154"/>
  <c r="H87" i="154"/>
  <c r="G87" i="154"/>
  <c r="F87" i="154"/>
  <c r="E87" i="154"/>
  <c r="C72" i="154"/>
  <c r="D132" i="154" s="1"/>
  <c r="D54" i="154"/>
  <c r="D53" i="154"/>
  <c r="D52" i="154"/>
  <c r="D49" i="154"/>
  <c r="C48" i="154"/>
  <c r="D47" i="154"/>
  <c r="C46" i="154"/>
  <c r="D45" i="154"/>
  <c r="C43" i="154"/>
  <c r="D40" i="154"/>
  <c r="C39" i="154"/>
  <c r="D38" i="154"/>
  <c r="D37" i="154"/>
  <c r="C36" i="154"/>
  <c r="D130" i="154" s="1"/>
  <c r="P112" i="154" s="1"/>
  <c r="D35" i="154"/>
  <c r="D34" i="154"/>
  <c r="C31" i="154"/>
  <c r="C29" i="154"/>
  <c r="D25" i="154"/>
  <c r="C24" i="154"/>
  <c r="D23" i="154"/>
  <c r="C22" i="154"/>
  <c r="D19" i="154"/>
  <c r="D8" i="154"/>
  <c r="C8" i="154"/>
  <c r="D7" i="154"/>
  <c r="D5" i="154"/>
  <c r="F139" i="153"/>
  <c r="D135" i="153"/>
  <c r="O114" i="153" s="1"/>
  <c r="D134" i="153"/>
  <c r="D133" i="153"/>
  <c r="C129" i="153"/>
  <c r="AR125" i="153"/>
  <c r="AQ125" i="153"/>
  <c r="AP125" i="153"/>
  <c r="AO125" i="153"/>
  <c r="AN125" i="153"/>
  <c r="AM125" i="153"/>
  <c r="AL125" i="153"/>
  <c r="AK125" i="153"/>
  <c r="AJ125" i="153"/>
  <c r="AI125" i="153"/>
  <c r="AH125" i="153"/>
  <c r="AG125" i="153"/>
  <c r="AF125" i="153"/>
  <c r="AE125" i="153"/>
  <c r="AD125" i="153"/>
  <c r="AC125" i="153"/>
  <c r="AB125" i="153"/>
  <c r="AA125" i="153"/>
  <c r="Z125" i="153"/>
  <c r="Y125" i="153"/>
  <c r="X125" i="153"/>
  <c r="W125" i="153"/>
  <c r="V125" i="153"/>
  <c r="U125" i="153"/>
  <c r="T125" i="153"/>
  <c r="AR123" i="153"/>
  <c r="AQ123" i="153"/>
  <c r="AP123" i="153"/>
  <c r="AO123" i="153"/>
  <c r="AN123" i="153"/>
  <c r="AM123" i="153"/>
  <c r="AL123" i="153"/>
  <c r="AK123" i="153"/>
  <c r="AJ123" i="153"/>
  <c r="AI123" i="153"/>
  <c r="AH123" i="153"/>
  <c r="AG123" i="153"/>
  <c r="AF123" i="153"/>
  <c r="AE123" i="153"/>
  <c r="AD123" i="153"/>
  <c r="AC123" i="153"/>
  <c r="AB123" i="153"/>
  <c r="AA123" i="153"/>
  <c r="Z123" i="153"/>
  <c r="Y123" i="153"/>
  <c r="X123" i="153"/>
  <c r="W123" i="153"/>
  <c r="V123" i="153"/>
  <c r="U123" i="153"/>
  <c r="T123" i="153"/>
  <c r="C123" i="153"/>
  <c r="AL115" i="153"/>
  <c r="AJ115" i="153"/>
  <c r="Z115" i="153"/>
  <c r="V115" i="153"/>
  <c r="AR114" i="153"/>
  <c r="AR115" i="153" s="1"/>
  <c r="AQ114" i="153"/>
  <c r="AQ115" i="153" s="1"/>
  <c r="AP114" i="153"/>
  <c r="AP115" i="153" s="1"/>
  <c r="AO114" i="153"/>
  <c r="AN114" i="153"/>
  <c r="AM114" i="153"/>
  <c r="AL114" i="153"/>
  <c r="AK114" i="153"/>
  <c r="AJ114" i="153"/>
  <c r="AI114" i="153"/>
  <c r="AI115" i="153" s="1"/>
  <c r="AH114" i="153"/>
  <c r="AH115" i="153" s="1"/>
  <c r="AG114" i="153"/>
  <c r="AF114" i="153"/>
  <c r="AE114" i="153"/>
  <c r="AD114" i="153"/>
  <c r="AC114" i="153"/>
  <c r="AB114" i="153"/>
  <c r="AA114" i="153"/>
  <c r="AA115" i="153" s="1"/>
  <c r="Z114" i="153"/>
  <c r="Y114" i="153"/>
  <c r="X114" i="153"/>
  <c r="W114" i="153"/>
  <c r="V114" i="153"/>
  <c r="U114" i="153"/>
  <c r="T114" i="153"/>
  <c r="S114" i="153"/>
  <c r="P114" i="153"/>
  <c r="K114" i="153"/>
  <c r="J114" i="153"/>
  <c r="H114" i="153"/>
  <c r="F114" i="153"/>
  <c r="AR113" i="153"/>
  <c r="AQ113" i="153"/>
  <c r="AP113" i="153"/>
  <c r="AO113" i="153"/>
  <c r="AO115" i="153" s="1"/>
  <c r="AN113" i="153"/>
  <c r="AN115" i="153" s="1"/>
  <c r="AM113" i="153"/>
  <c r="AM115" i="153" s="1"/>
  <c r="AL113" i="153"/>
  <c r="AK113" i="153"/>
  <c r="AK115" i="153" s="1"/>
  <c r="AJ113" i="153"/>
  <c r="AI113" i="153"/>
  <c r="AH113" i="153"/>
  <c r="AG113" i="153"/>
  <c r="AG115" i="153" s="1"/>
  <c r="AF113" i="153"/>
  <c r="AF115" i="153" s="1"/>
  <c r="AE113" i="153"/>
  <c r="AE115" i="153" s="1"/>
  <c r="AD113" i="153"/>
  <c r="AD115" i="153" s="1"/>
  <c r="AC113" i="153"/>
  <c r="AC115" i="153" s="1"/>
  <c r="AB113" i="153"/>
  <c r="AB115" i="153" s="1"/>
  <c r="AA113" i="153"/>
  <c r="Z113" i="153"/>
  <c r="Y113" i="153"/>
  <c r="Y115" i="153" s="1"/>
  <c r="X113" i="153"/>
  <c r="X115" i="153" s="1"/>
  <c r="W113" i="153"/>
  <c r="W115" i="153" s="1"/>
  <c r="V113" i="153"/>
  <c r="U113" i="153"/>
  <c r="U115" i="153" s="1"/>
  <c r="T113" i="153"/>
  <c r="T115" i="153" s="1"/>
  <c r="P113" i="153"/>
  <c r="O113" i="153"/>
  <c r="O115" i="153" s="1"/>
  <c r="N113" i="153"/>
  <c r="K113" i="153"/>
  <c r="K115" i="153" s="1"/>
  <c r="F113" i="153"/>
  <c r="AR112" i="153"/>
  <c r="AQ112" i="153"/>
  <c r="AP112" i="153"/>
  <c r="AO112" i="153"/>
  <c r="AN112" i="153"/>
  <c r="AM112" i="153"/>
  <c r="AL112" i="153"/>
  <c r="AK112" i="153"/>
  <c r="AJ112" i="153"/>
  <c r="AI112" i="153"/>
  <c r="AH112" i="153"/>
  <c r="AG112" i="153"/>
  <c r="AF112" i="153"/>
  <c r="AE112" i="153"/>
  <c r="AD112" i="153"/>
  <c r="AC112" i="153"/>
  <c r="AB112" i="153"/>
  <c r="AA112" i="153"/>
  <c r="Z112" i="153"/>
  <c r="Y112" i="153"/>
  <c r="X112" i="153"/>
  <c r="W112" i="153"/>
  <c r="V112" i="153"/>
  <c r="U112" i="153"/>
  <c r="T112" i="153"/>
  <c r="S112" i="153"/>
  <c r="R112" i="153"/>
  <c r="P112" i="153"/>
  <c r="K112" i="153"/>
  <c r="J112" i="153"/>
  <c r="H112" i="153"/>
  <c r="G112" i="153"/>
  <c r="F112" i="153"/>
  <c r="AP109" i="153"/>
  <c r="AO109" i="153"/>
  <c r="AH109" i="153"/>
  <c r="AG109" i="153"/>
  <c r="AB109" i="153"/>
  <c r="Z109" i="153"/>
  <c r="Y109" i="153"/>
  <c r="AR104" i="153"/>
  <c r="AQ104" i="153"/>
  <c r="AP104" i="153"/>
  <c r="AO104" i="153"/>
  <c r="AN104" i="153"/>
  <c r="AM104" i="153"/>
  <c r="AL104" i="153"/>
  <c r="AK104" i="153"/>
  <c r="AJ104" i="153"/>
  <c r="AI104" i="153"/>
  <c r="AH104" i="153"/>
  <c r="AG104" i="153"/>
  <c r="AF104" i="153"/>
  <c r="AE104" i="153"/>
  <c r="AD104" i="153"/>
  <c r="AC104" i="153"/>
  <c r="AB104" i="153"/>
  <c r="AA104" i="153"/>
  <c r="Z104" i="153"/>
  <c r="Y104" i="153"/>
  <c r="X104" i="153"/>
  <c r="W104" i="153"/>
  <c r="V104" i="153"/>
  <c r="U104" i="153"/>
  <c r="T104" i="153"/>
  <c r="S104" i="153"/>
  <c r="R104" i="153"/>
  <c r="Q104" i="153"/>
  <c r="P104" i="153"/>
  <c r="O104" i="153"/>
  <c r="N104" i="153"/>
  <c r="M104" i="153"/>
  <c r="L104" i="153"/>
  <c r="K104" i="153"/>
  <c r="J104" i="153"/>
  <c r="I104" i="153"/>
  <c r="H104" i="153"/>
  <c r="G104" i="153"/>
  <c r="F104" i="153"/>
  <c r="E104" i="153"/>
  <c r="C104" i="153"/>
  <c r="AR103" i="153"/>
  <c r="AP103" i="153"/>
  <c r="AO103" i="153"/>
  <c r="AL103" i="153"/>
  <c r="AJ103" i="153"/>
  <c r="AH103" i="153"/>
  <c r="AG103" i="153"/>
  <c r="AB103" i="153"/>
  <c r="Z103" i="153"/>
  <c r="Y103" i="153"/>
  <c r="U103" i="153"/>
  <c r="T103" i="153"/>
  <c r="R103" i="153"/>
  <c r="Q103" i="153"/>
  <c r="M103" i="153"/>
  <c r="L103" i="153"/>
  <c r="J103" i="153"/>
  <c r="I103" i="153"/>
  <c r="C103" i="153"/>
  <c r="AR102" i="153"/>
  <c r="AQ102" i="153"/>
  <c r="AP102" i="153"/>
  <c r="AO102" i="153"/>
  <c r="AN102" i="153"/>
  <c r="AM102" i="153"/>
  <c r="AL102" i="153"/>
  <c r="AK102" i="153"/>
  <c r="AJ102" i="153"/>
  <c r="AI102" i="153"/>
  <c r="AH102" i="153"/>
  <c r="AG102" i="153"/>
  <c r="AF102" i="153"/>
  <c r="AE102" i="153"/>
  <c r="AD102" i="153"/>
  <c r="AC102" i="153"/>
  <c r="AB102" i="153"/>
  <c r="AA102" i="153"/>
  <c r="Z102" i="153"/>
  <c r="Y102" i="153"/>
  <c r="X102" i="153"/>
  <c r="W102" i="153"/>
  <c r="V102" i="153"/>
  <c r="U102" i="153"/>
  <c r="T102" i="153"/>
  <c r="S102" i="153"/>
  <c r="R102" i="153"/>
  <c r="Q102" i="153"/>
  <c r="P102" i="153"/>
  <c r="O102" i="153"/>
  <c r="N102" i="153"/>
  <c r="M102" i="153"/>
  <c r="L102" i="153"/>
  <c r="K102" i="153"/>
  <c r="J102" i="153"/>
  <c r="I102" i="153"/>
  <c r="H102" i="153"/>
  <c r="G102" i="153"/>
  <c r="F102" i="153"/>
  <c r="E102" i="153"/>
  <c r="AR101" i="153"/>
  <c r="AQ101" i="153"/>
  <c r="AP101" i="153"/>
  <c r="AO101" i="153"/>
  <c r="AN101" i="153"/>
  <c r="AN103" i="153" s="1"/>
  <c r="AM101" i="153"/>
  <c r="AL101" i="153"/>
  <c r="AK101" i="153"/>
  <c r="AK103" i="153" s="1"/>
  <c r="AJ101" i="153"/>
  <c r="AI101" i="153"/>
  <c r="AH101" i="153"/>
  <c r="AG101" i="153"/>
  <c r="AF101" i="153"/>
  <c r="AF103" i="153" s="1"/>
  <c r="AE101" i="153"/>
  <c r="AD101" i="153"/>
  <c r="AC101" i="153"/>
  <c r="AC103" i="153" s="1"/>
  <c r="AB101" i="153"/>
  <c r="AA101" i="153"/>
  <c r="Z101" i="153"/>
  <c r="Y101" i="153"/>
  <c r="X101" i="153"/>
  <c r="X103" i="153" s="1"/>
  <c r="W101" i="153"/>
  <c r="V101" i="153"/>
  <c r="U101" i="153"/>
  <c r="T101" i="153"/>
  <c r="S101" i="153"/>
  <c r="R101" i="153"/>
  <c r="Q101" i="153"/>
  <c r="P101" i="153"/>
  <c r="P103" i="153" s="1"/>
  <c r="O101" i="153"/>
  <c r="N101" i="153"/>
  <c r="N103" i="153" s="1"/>
  <c r="M101" i="153"/>
  <c r="L101" i="153"/>
  <c r="K101" i="153"/>
  <c r="J101" i="153"/>
  <c r="I101" i="153"/>
  <c r="H101" i="153"/>
  <c r="H103" i="153" s="1"/>
  <c r="G101" i="153"/>
  <c r="F101" i="153"/>
  <c r="E101" i="153"/>
  <c r="E103" i="153" s="1"/>
  <c r="AR100" i="153"/>
  <c r="AQ100" i="153"/>
  <c r="AP100" i="153"/>
  <c r="AO100" i="153"/>
  <c r="AN100" i="153"/>
  <c r="AM100" i="153"/>
  <c r="AL100" i="153"/>
  <c r="AK100" i="153"/>
  <c r="AJ100" i="153"/>
  <c r="AI100" i="153"/>
  <c r="AH100" i="153"/>
  <c r="AG100" i="153"/>
  <c r="AF100" i="153"/>
  <c r="AE100" i="153"/>
  <c r="AD100" i="153"/>
  <c r="AC100" i="153"/>
  <c r="AB100" i="153"/>
  <c r="AA100" i="153"/>
  <c r="Z100" i="153"/>
  <c r="Y100" i="153"/>
  <c r="X100" i="153"/>
  <c r="W100" i="153"/>
  <c r="V100" i="153"/>
  <c r="U100" i="153"/>
  <c r="T100" i="153"/>
  <c r="S100" i="153"/>
  <c r="R100" i="153"/>
  <c r="Q100" i="153"/>
  <c r="P100" i="153"/>
  <c r="O100" i="153"/>
  <c r="N100" i="153"/>
  <c r="M100" i="153"/>
  <c r="L100" i="153"/>
  <c r="K100" i="153"/>
  <c r="J100" i="153"/>
  <c r="I100" i="153"/>
  <c r="H100" i="153"/>
  <c r="G100" i="153"/>
  <c r="F100" i="153"/>
  <c r="E100" i="153"/>
  <c r="AR99" i="153"/>
  <c r="AR109" i="153" s="1"/>
  <c r="AQ99" i="153"/>
  <c r="AQ109" i="153" s="1"/>
  <c r="AP99" i="153"/>
  <c r="AO99" i="153"/>
  <c r="AN99" i="153"/>
  <c r="AN109" i="153" s="1"/>
  <c r="AM99" i="153"/>
  <c r="AM109" i="153" s="1"/>
  <c r="AL99" i="153"/>
  <c r="AL109" i="153" s="1"/>
  <c r="AK99" i="153"/>
  <c r="AK109" i="153" s="1"/>
  <c r="AJ99" i="153"/>
  <c r="AJ109" i="153" s="1"/>
  <c r="AI99" i="153"/>
  <c r="AI109" i="153" s="1"/>
  <c r="AH99" i="153"/>
  <c r="AG99" i="153"/>
  <c r="AF99" i="153"/>
  <c r="AF109" i="153" s="1"/>
  <c r="AE99" i="153"/>
  <c r="AE109" i="153" s="1"/>
  <c r="AD99" i="153"/>
  <c r="AD109" i="153" s="1"/>
  <c r="AC99" i="153"/>
  <c r="AC109" i="153" s="1"/>
  <c r="AB99" i="153"/>
  <c r="AA99" i="153"/>
  <c r="AA109" i="153" s="1"/>
  <c r="Z99" i="153"/>
  <c r="Y99" i="153"/>
  <c r="C97" i="153"/>
  <c r="AR96" i="153"/>
  <c r="AQ96" i="153"/>
  <c r="AP96" i="153"/>
  <c r="AO96" i="153"/>
  <c r="AN96" i="153"/>
  <c r="AM96" i="153"/>
  <c r="AL96" i="153"/>
  <c r="AK96" i="153"/>
  <c r="AJ96" i="153"/>
  <c r="AI96" i="153"/>
  <c r="AH96" i="153"/>
  <c r="AG96" i="153"/>
  <c r="AF96" i="153"/>
  <c r="AE96" i="153"/>
  <c r="AD96" i="153"/>
  <c r="AC96" i="153"/>
  <c r="AB96" i="153"/>
  <c r="AA96" i="153"/>
  <c r="Z96" i="153"/>
  <c r="Y96" i="153"/>
  <c r="X96" i="153"/>
  <c r="W96" i="153"/>
  <c r="V96" i="153"/>
  <c r="U96" i="153"/>
  <c r="T96" i="153"/>
  <c r="S96" i="153"/>
  <c r="R96" i="153"/>
  <c r="Q96" i="153"/>
  <c r="P96" i="153"/>
  <c r="O96" i="153"/>
  <c r="N96" i="153"/>
  <c r="M96" i="153"/>
  <c r="L96" i="153"/>
  <c r="K96" i="153"/>
  <c r="J96" i="153"/>
  <c r="I96" i="153"/>
  <c r="H96" i="153"/>
  <c r="G96" i="153"/>
  <c r="F96" i="153"/>
  <c r="E96" i="153"/>
  <c r="AR95" i="153"/>
  <c r="AQ95" i="153"/>
  <c r="AP95" i="153"/>
  <c r="AO95" i="153"/>
  <c r="AN95" i="153"/>
  <c r="AM95" i="153"/>
  <c r="AL95" i="153"/>
  <c r="AK95" i="153"/>
  <c r="AJ95" i="153"/>
  <c r="AI95" i="153"/>
  <c r="AH95" i="153"/>
  <c r="AG95" i="153"/>
  <c r="AF95" i="153"/>
  <c r="AE95" i="153"/>
  <c r="AD95" i="153"/>
  <c r="AC95" i="153"/>
  <c r="AB95" i="153"/>
  <c r="AA95" i="153"/>
  <c r="Z95" i="153"/>
  <c r="Y95" i="153"/>
  <c r="X95" i="153"/>
  <c r="W95" i="153"/>
  <c r="V95" i="153"/>
  <c r="U95" i="153"/>
  <c r="T95" i="153"/>
  <c r="S95" i="153"/>
  <c r="R95" i="153"/>
  <c r="Q95" i="153"/>
  <c r="P95" i="153"/>
  <c r="O95" i="153"/>
  <c r="N95" i="153"/>
  <c r="M95" i="153"/>
  <c r="L95" i="153"/>
  <c r="K95" i="153"/>
  <c r="J95" i="153"/>
  <c r="I95" i="153"/>
  <c r="H95" i="153"/>
  <c r="G95" i="153"/>
  <c r="F95" i="153"/>
  <c r="E95" i="153"/>
  <c r="C95" i="153"/>
  <c r="C94" i="153"/>
  <c r="AR87" i="153"/>
  <c r="AQ87" i="153"/>
  <c r="AP87" i="153"/>
  <c r="AO87" i="153"/>
  <c r="AN87" i="153"/>
  <c r="AM87" i="153"/>
  <c r="AL87" i="153"/>
  <c r="AK87" i="153"/>
  <c r="AJ87" i="153"/>
  <c r="AI87" i="153"/>
  <c r="AH87" i="153"/>
  <c r="AG87" i="153"/>
  <c r="AF87" i="153"/>
  <c r="AE87" i="153"/>
  <c r="AD87" i="153"/>
  <c r="AC87" i="153"/>
  <c r="AB87" i="153"/>
  <c r="AA87" i="153"/>
  <c r="Z87" i="153"/>
  <c r="Y87" i="153"/>
  <c r="X87" i="153"/>
  <c r="W87" i="153"/>
  <c r="V87" i="153"/>
  <c r="U87" i="153"/>
  <c r="T87" i="153"/>
  <c r="S87" i="153"/>
  <c r="R87" i="153"/>
  <c r="Q87" i="153"/>
  <c r="P87" i="153"/>
  <c r="O87" i="153"/>
  <c r="N87" i="153"/>
  <c r="M87" i="153"/>
  <c r="L87" i="153"/>
  <c r="K87" i="153"/>
  <c r="J87" i="153"/>
  <c r="I87" i="153"/>
  <c r="H87" i="153"/>
  <c r="G87" i="153"/>
  <c r="F87" i="153"/>
  <c r="E87" i="153"/>
  <c r="C72" i="153"/>
  <c r="D132" i="153" s="1"/>
  <c r="D54" i="153"/>
  <c r="D53" i="153"/>
  <c r="D52" i="153"/>
  <c r="D49" i="153"/>
  <c r="C48" i="153"/>
  <c r="D47" i="153"/>
  <c r="C46" i="153"/>
  <c r="D45" i="153"/>
  <c r="C43" i="153"/>
  <c r="C8" i="153" s="1"/>
  <c r="D40" i="153"/>
  <c r="C39" i="153"/>
  <c r="D38" i="153"/>
  <c r="D37" i="153"/>
  <c r="C36" i="153"/>
  <c r="D130" i="153" s="1"/>
  <c r="N112" i="153" s="1"/>
  <c r="D35" i="153"/>
  <c r="D34" i="153"/>
  <c r="C31" i="153"/>
  <c r="C29" i="153"/>
  <c r="D25" i="153"/>
  <c r="C24" i="153"/>
  <c r="D23" i="153"/>
  <c r="C22" i="153"/>
  <c r="D19" i="153"/>
  <c r="D8" i="153"/>
  <c r="D7" i="153"/>
  <c r="D5" i="153"/>
  <c r="F139" i="152"/>
  <c r="D134" i="152"/>
  <c r="D133" i="152"/>
  <c r="C129" i="152"/>
  <c r="AR125" i="152"/>
  <c r="AQ125" i="152"/>
  <c r="AP125" i="152"/>
  <c r="AO125" i="152"/>
  <c r="AN125" i="152"/>
  <c r="AM125" i="152"/>
  <c r="AL125" i="152"/>
  <c r="AK125" i="152"/>
  <c r="AJ125" i="152"/>
  <c r="AI125" i="152"/>
  <c r="AH125" i="152"/>
  <c r="AG125" i="152"/>
  <c r="AF125" i="152"/>
  <c r="AE125" i="152"/>
  <c r="AD125" i="152"/>
  <c r="AC125" i="152"/>
  <c r="AB125" i="152"/>
  <c r="AA125" i="152"/>
  <c r="Z125" i="152"/>
  <c r="Y125" i="152"/>
  <c r="X125" i="152"/>
  <c r="W125" i="152"/>
  <c r="V125" i="152"/>
  <c r="U125" i="152"/>
  <c r="T125" i="152"/>
  <c r="AR123" i="152"/>
  <c r="AQ123" i="152"/>
  <c r="AP123" i="152"/>
  <c r="AO123" i="152"/>
  <c r="AN123" i="152"/>
  <c r="AM123" i="152"/>
  <c r="AL123" i="152"/>
  <c r="AK123" i="152"/>
  <c r="AJ123" i="152"/>
  <c r="AI123" i="152"/>
  <c r="AH123" i="152"/>
  <c r="AG123" i="152"/>
  <c r="AF123" i="152"/>
  <c r="AE123" i="152"/>
  <c r="AD123" i="152"/>
  <c r="AC123" i="152"/>
  <c r="AB123" i="152"/>
  <c r="AA123" i="152"/>
  <c r="Z123" i="152"/>
  <c r="Y123" i="152"/>
  <c r="X123" i="152"/>
  <c r="W123" i="152"/>
  <c r="V123" i="152"/>
  <c r="U123" i="152"/>
  <c r="T123" i="152"/>
  <c r="C123" i="152"/>
  <c r="AN115" i="152"/>
  <c r="AK115" i="152"/>
  <c r="AF115" i="152"/>
  <c r="AC115" i="152"/>
  <c r="W115" i="152"/>
  <c r="U115" i="152"/>
  <c r="AR114" i="152"/>
  <c r="AQ114" i="152"/>
  <c r="AP114" i="152"/>
  <c r="AO114" i="152"/>
  <c r="AN114" i="152"/>
  <c r="AM114" i="152"/>
  <c r="AL114" i="152"/>
  <c r="AK114" i="152"/>
  <c r="AJ114" i="152"/>
  <c r="AI114" i="152"/>
  <c r="AH114" i="152"/>
  <c r="AG114" i="152"/>
  <c r="AF114" i="152"/>
  <c r="AE114" i="152"/>
  <c r="AD114" i="152"/>
  <c r="AC114" i="152"/>
  <c r="AB114" i="152"/>
  <c r="AA114" i="152"/>
  <c r="Z114" i="152"/>
  <c r="Y114" i="152"/>
  <c r="X114" i="152"/>
  <c r="W114" i="152"/>
  <c r="V114" i="152"/>
  <c r="U114" i="152"/>
  <c r="T114" i="152"/>
  <c r="AR113" i="152"/>
  <c r="AR115" i="152" s="1"/>
  <c r="AQ113" i="152"/>
  <c r="AQ115" i="152" s="1"/>
  <c r="AP113" i="152"/>
  <c r="AP115" i="152" s="1"/>
  <c r="AO113" i="152"/>
  <c r="AO115" i="152" s="1"/>
  <c r="AN113" i="152"/>
  <c r="AM113" i="152"/>
  <c r="AM115" i="152" s="1"/>
  <c r="AL113" i="152"/>
  <c r="AL115" i="152" s="1"/>
  <c r="AK113" i="152"/>
  <c r="AJ113" i="152"/>
  <c r="AJ115" i="152" s="1"/>
  <c r="AI113" i="152"/>
  <c r="AI115" i="152" s="1"/>
  <c r="AH113" i="152"/>
  <c r="AH115" i="152" s="1"/>
  <c r="AG113" i="152"/>
  <c r="AG115" i="152" s="1"/>
  <c r="AF113" i="152"/>
  <c r="AE113" i="152"/>
  <c r="AE115" i="152" s="1"/>
  <c r="AD113" i="152"/>
  <c r="AD115" i="152" s="1"/>
  <c r="AC113" i="152"/>
  <c r="AB113" i="152"/>
  <c r="AB115" i="152" s="1"/>
  <c r="AA113" i="152"/>
  <c r="AA115" i="152" s="1"/>
  <c r="Z113" i="152"/>
  <c r="Z115" i="152" s="1"/>
  <c r="Y113" i="152"/>
  <c r="Y115" i="152" s="1"/>
  <c r="X113" i="152"/>
  <c r="X115" i="152" s="1"/>
  <c r="W113" i="152"/>
  <c r="V113" i="152"/>
  <c r="V115" i="152" s="1"/>
  <c r="U113" i="152"/>
  <c r="T113" i="152"/>
  <c r="T115" i="152" s="1"/>
  <c r="AR112" i="152"/>
  <c r="AQ112" i="152"/>
  <c r="AP112" i="152"/>
  <c r="AO112" i="152"/>
  <c r="AN112" i="152"/>
  <c r="AM112" i="152"/>
  <c r="AL112" i="152"/>
  <c r="AK112" i="152"/>
  <c r="AJ112" i="152"/>
  <c r="AI112" i="152"/>
  <c r="AH112" i="152"/>
  <c r="AG112" i="152"/>
  <c r="AF112" i="152"/>
  <c r="AE112" i="152"/>
  <c r="AD112" i="152"/>
  <c r="AC112" i="152"/>
  <c r="AB112" i="152"/>
  <c r="AA112" i="152"/>
  <c r="Z112" i="152"/>
  <c r="Y112" i="152"/>
  <c r="X112" i="152"/>
  <c r="W112" i="152"/>
  <c r="V112" i="152"/>
  <c r="U112" i="152"/>
  <c r="T112" i="152"/>
  <c r="P112" i="152"/>
  <c r="AQ109" i="152"/>
  <c r="AN109" i="152"/>
  <c r="AI109" i="152"/>
  <c r="AF109" i="152"/>
  <c r="AA109" i="152"/>
  <c r="AR104" i="152"/>
  <c r="AQ104" i="152"/>
  <c r="AP104" i="152"/>
  <c r="AO104" i="152"/>
  <c r="AN104" i="152"/>
  <c r="AM104" i="152"/>
  <c r="AL104" i="152"/>
  <c r="AK104" i="152"/>
  <c r="AJ104" i="152"/>
  <c r="AI104" i="152"/>
  <c r="AH104" i="152"/>
  <c r="AG104" i="152"/>
  <c r="AF104" i="152"/>
  <c r="AE104" i="152"/>
  <c r="AD104" i="152"/>
  <c r="AC104" i="152"/>
  <c r="AB104" i="152"/>
  <c r="AA104" i="152"/>
  <c r="Z104" i="152"/>
  <c r="Y104" i="152"/>
  <c r="X104" i="152"/>
  <c r="W104" i="152"/>
  <c r="V104" i="152"/>
  <c r="U104" i="152"/>
  <c r="T104" i="152"/>
  <c r="S104" i="152"/>
  <c r="R104" i="152"/>
  <c r="Q104" i="152"/>
  <c r="P104" i="152"/>
  <c r="O104" i="152"/>
  <c r="N104" i="152"/>
  <c r="M104" i="152"/>
  <c r="L104" i="152"/>
  <c r="K104" i="152"/>
  <c r="J104" i="152"/>
  <c r="I104" i="152"/>
  <c r="H104" i="152"/>
  <c r="G104" i="152"/>
  <c r="F104" i="152"/>
  <c r="E104" i="152"/>
  <c r="C104" i="152"/>
  <c r="AQ103" i="152"/>
  <c r="AN103" i="152"/>
  <c r="AL103" i="152"/>
  <c r="AI103" i="152"/>
  <c r="AF103" i="152"/>
  <c r="AD103" i="152"/>
  <c r="AA103" i="152"/>
  <c r="X103" i="152"/>
  <c r="V103" i="152"/>
  <c r="S103" i="152"/>
  <c r="P103" i="152"/>
  <c r="N103" i="152"/>
  <c r="K103" i="152"/>
  <c r="H103" i="152"/>
  <c r="F103" i="152"/>
  <c r="C103" i="152"/>
  <c r="AR102" i="152"/>
  <c r="AQ102" i="152"/>
  <c r="AP102" i="152"/>
  <c r="AO102" i="152"/>
  <c r="AN102" i="152"/>
  <c r="AM102" i="152"/>
  <c r="AL102" i="152"/>
  <c r="AK102" i="152"/>
  <c r="AJ102" i="152"/>
  <c r="AI102" i="152"/>
  <c r="AH102" i="152"/>
  <c r="AG102" i="152"/>
  <c r="AF102" i="152"/>
  <c r="AE102" i="152"/>
  <c r="AD102" i="152"/>
  <c r="AC102" i="152"/>
  <c r="AB102" i="152"/>
  <c r="AA102" i="152"/>
  <c r="Z102" i="152"/>
  <c r="Y102" i="152"/>
  <c r="X102" i="152"/>
  <c r="W102" i="152"/>
  <c r="V102" i="152"/>
  <c r="U102" i="152"/>
  <c r="T102" i="152"/>
  <c r="S102" i="152"/>
  <c r="R102" i="152"/>
  <c r="Q102" i="152"/>
  <c r="P102" i="152"/>
  <c r="O102" i="152"/>
  <c r="N102" i="152"/>
  <c r="M102" i="152"/>
  <c r="L102" i="152"/>
  <c r="K102" i="152"/>
  <c r="J102" i="152"/>
  <c r="I102" i="152"/>
  <c r="H102" i="152"/>
  <c r="G102" i="152"/>
  <c r="F102" i="152"/>
  <c r="E102" i="152"/>
  <c r="AR101" i="152"/>
  <c r="AQ101" i="152"/>
  <c r="AP101" i="152"/>
  <c r="AO101" i="152"/>
  <c r="AO103" i="152" s="1"/>
  <c r="AN101" i="152"/>
  <c r="AM101" i="152"/>
  <c r="AL101" i="152"/>
  <c r="AK101" i="152"/>
  <c r="AK103" i="152" s="1"/>
  <c r="AJ101" i="152"/>
  <c r="AI101" i="152"/>
  <c r="AH101" i="152"/>
  <c r="AG101" i="152"/>
  <c r="AF101" i="152"/>
  <c r="AE101" i="152"/>
  <c r="AD101" i="152"/>
  <c r="AC101" i="152"/>
  <c r="AC103" i="152" s="1"/>
  <c r="AB101" i="152"/>
  <c r="AA101" i="152"/>
  <c r="Z101" i="152"/>
  <c r="Y101" i="152"/>
  <c r="Y103" i="152" s="1"/>
  <c r="X101" i="152"/>
  <c r="W101" i="152"/>
  <c r="V101" i="152"/>
  <c r="U101" i="152"/>
  <c r="U103" i="152" s="1"/>
  <c r="T101" i="152"/>
  <c r="S101" i="152"/>
  <c r="R101" i="152"/>
  <c r="Q101" i="152"/>
  <c r="P101" i="152"/>
  <c r="O101" i="152"/>
  <c r="N101" i="152"/>
  <c r="M101" i="152"/>
  <c r="M103" i="152" s="1"/>
  <c r="L101" i="152"/>
  <c r="K101" i="152"/>
  <c r="J101" i="152"/>
  <c r="I101" i="152"/>
  <c r="I103" i="152" s="1"/>
  <c r="H101" i="152"/>
  <c r="G101" i="152"/>
  <c r="F101" i="152"/>
  <c r="E101" i="152"/>
  <c r="E103" i="152" s="1"/>
  <c r="AR100" i="152"/>
  <c r="AQ100" i="152"/>
  <c r="AP100" i="152"/>
  <c r="AO100" i="152"/>
  <c r="AN100" i="152"/>
  <c r="AM100" i="152"/>
  <c r="AL100" i="152"/>
  <c r="AK100" i="152"/>
  <c r="AJ100" i="152"/>
  <c r="AI100" i="152"/>
  <c r="AH100" i="152"/>
  <c r="AG100" i="152"/>
  <c r="AF100" i="152"/>
  <c r="AE100" i="152"/>
  <c r="AD100" i="152"/>
  <c r="AC100" i="152"/>
  <c r="AB100" i="152"/>
  <c r="AA100" i="152"/>
  <c r="Z100" i="152"/>
  <c r="Y100" i="152"/>
  <c r="X100" i="152"/>
  <c r="W100" i="152"/>
  <c r="V100" i="152"/>
  <c r="U100" i="152"/>
  <c r="T100" i="152"/>
  <c r="S100" i="152"/>
  <c r="R100" i="152"/>
  <c r="Q100" i="152"/>
  <c r="P100" i="152"/>
  <c r="O100" i="152"/>
  <c r="N100" i="152"/>
  <c r="M100" i="152"/>
  <c r="L100" i="152"/>
  <c r="K100" i="152"/>
  <c r="J100" i="152"/>
  <c r="I100" i="152"/>
  <c r="H100" i="152"/>
  <c r="G100" i="152"/>
  <c r="F100" i="152"/>
  <c r="E100" i="152"/>
  <c r="AR99" i="152"/>
  <c r="AR109" i="152" s="1"/>
  <c r="AQ99" i="152"/>
  <c r="AP99" i="152"/>
  <c r="AP109" i="152" s="1"/>
  <c r="AO99" i="152"/>
  <c r="AO109" i="152" s="1"/>
  <c r="AN99" i="152"/>
  <c r="AM99" i="152"/>
  <c r="AM109" i="152" s="1"/>
  <c r="AL99" i="152"/>
  <c r="AL109" i="152" s="1"/>
  <c r="AK99" i="152"/>
  <c r="AK109" i="152" s="1"/>
  <c r="AJ99" i="152"/>
  <c r="AJ109" i="152" s="1"/>
  <c r="AI99" i="152"/>
  <c r="AH99" i="152"/>
  <c r="AH109" i="152" s="1"/>
  <c r="AG99" i="152"/>
  <c r="AG109" i="152" s="1"/>
  <c r="AF99" i="152"/>
  <c r="AE99" i="152"/>
  <c r="AE109" i="152" s="1"/>
  <c r="AD99" i="152"/>
  <c r="AD109" i="152" s="1"/>
  <c r="AC99" i="152"/>
  <c r="AC109" i="152" s="1"/>
  <c r="AB99" i="152"/>
  <c r="AB109" i="152" s="1"/>
  <c r="AA99" i="152"/>
  <c r="Z99" i="152"/>
  <c r="Z109" i="152" s="1"/>
  <c r="Y99" i="152"/>
  <c r="Y109" i="152" s="1"/>
  <c r="C97" i="152"/>
  <c r="AR96" i="152"/>
  <c r="AQ96" i="152"/>
  <c r="AP96" i="152"/>
  <c r="AO96" i="152"/>
  <c r="AN96" i="152"/>
  <c r="AM96" i="152"/>
  <c r="AL96" i="152"/>
  <c r="AK96" i="152"/>
  <c r="AJ96" i="152"/>
  <c r="AI96" i="152"/>
  <c r="AH96" i="152"/>
  <c r="AG96" i="152"/>
  <c r="AF96" i="152"/>
  <c r="AE96" i="152"/>
  <c r="AD96" i="152"/>
  <c r="AC96" i="152"/>
  <c r="AB96" i="152"/>
  <c r="AA96" i="152"/>
  <c r="Z96" i="152"/>
  <c r="Y96" i="152"/>
  <c r="X96" i="152"/>
  <c r="W96" i="152"/>
  <c r="V96" i="152"/>
  <c r="U96" i="152"/>
  <c r="T96" i="152"/>
  <c r="S96" i="152"/>
  <c r="R96" i="152"/>
  <c r="Q96" i="152"/>
  <c r="P96" i="152"/>
  <c r="O96" i="152"/>
  <c r="N96" i="152"/>
  <c r="M96" i="152"/>
  <c r="L96" i="152"/>
  <c r="K96" i="152"/>
  <c r="J96" i="152"/>
  <c r="I96" i="152"/>
  <c r="H96" i="152"/>
  <c r="G96" i="152"/>
  <c r="F96" i="152"/>
  <c r="E96" i="152"/>
  <c r="AR95" i="152"/>
  <c r="AQ95" i="152"/>
  <c r="AP95" i="152"/>
  <c r="AO95" i="152"/>
  <c r="AN95" i="152"/>
  <c r="AM95" i="152"/>
  <c r="AL95" i="152"/>
  <c r="AK95" i="152"/>
  <c r="AJ95" i="152"/>
  <c r="AI95" i="152"/>
  <c r="AH95" i="152"/>
  <c r="AG95" i="152"/>
  <c r="AF95" i="152"/>
  <c r="AE95" i="152"/>
  <c r="AD95" i="152"/>
  <c r="AC95" i="152"/>
  <c r="AB95" i="152"/>
  <c r="AA95" i="152"/>
  <c r="Z95" i="152"/>
  <c r="Y95" i="152"/>
  <c r="X95" i="152"/>
  <c r="W95" i="152"/>
  <c r="V95" i="152"/>
  <c r="U95" i="152"/>
  <c r="T95" i="152"/>
  <c r="S95" i="152"/>
  <c r="R95" i="152"/>
  <c r="Q95" i="152"/>
  <c r="P95" i="152"/>
  <c r="O95" i="152"/>
  <c r="N95" i="152"/>
  <c r="M95" i="152"/>
  <c r="L95" i="152"/>
  <c r="K95" i="152"/>
  <c r="J95" i="152"/>
  <c r="I95" i="152"/>
  <c r="H95" i="152"/>
  <c r="G95" i="152"/>
  <c r="F95" i="152"/>
  <c r="E95" i="152"/>
  <c r="C95" i="152"/>
  <c r="C94" i="152"/>
  <c r="D92" i="152"/>
  <c r="D124" i="152" s="1"/>
  <c r="AR87" i="152"/>
  <c r="AQ87" i="152"/>
  <c r="AP87" i="152"/>
  <c r="AO87" i="152"/>
  <c r="AN87" i="152"/>
  <c r="AM87" i="152"/>
  <c r="AL87" i="152"/>
  <c r="AK87" i="152"/>
  <c r="AJ87" i="152"/>
  <c r="AI87" i="152"/>
  <c r="AH87" i="152"/>
  <c r="AG87" i="152"/>
  <c r="AF87" i="152"/>
  <c r="AE87" i="152"/>
  <c r="AD87" i="152"/>
  <c r="AC87" i="152"/>
  <c r="AB87" i="152"/>
  <c r="AA87" i="152"/>
  <c r="Z87" i="152"/>
  <c r="Y87" i="152"/>
  <c r="X87" i="152"/>
  <c r="W87" i="152"/>
  <c r="V87" i="152"/>
  <c r="U87" i="152"/>
  <c r="T87" i="152"/>
  <c r="S87" i="152"/>
  <c r="R87" i="152"/>
  <c r="Q87" i="152"/>
  <c r="P87" i="152"/>
  <c r="O87" i="152"/>
  <c r="N87" i="152"/>
  <c r="M87" i="152"/>
  <c r="L87" i="152"/>
  <c r="K87" i="152"/>
  <c r="J87" i="152"/>
  <c r="I87" i="152"/>
  <c r="H87" i="152"/>
  <c r="G87" i="152"/>
  <c r="F87" i="152"/>
  <c r="E87" i="152"/>
  <c r="C72" i="152"/>
  <c r="D132" i="152" s="1"/>
  <c r="D54" i="152"/>
  <c r="D53" i="152"/>
  <c r="D52" i="152"/>
  <c r="D49" i="152"/>
  <c r="C48" i="152"/>
  <c r="D47" i="152"/>
  <c r="C46" i="152"/>
  <c r="D45" i="152"/>
  <c r="C43" i="152"/>
  <c r="C8" i="152" s="1"/>
  <c r="D40" i="152"/>
  <c r="C39" i="152"/>
  <c r="D38" i="152"/>
  <c r="D37" i="152"/>
  <c r="C36" i="152"/>
  <c r="D130" i="152" s="1"/>
  <c r="D35" i="152"/>
  <c r="D34" i="152"/>
  <c r="C31" i="152"/>
  <c r="C29" i="152"/>
  <c r="D25" i="152"/>
  <c r="C24" i="152"/>
  <c r="D23" i="152"/>
  <c r="C22" i="152"/>
  <c r="D19" i="152"/>
  <c r="D8" i="152"/>
  <c r="D7" i="152"/>
  <c r="D5" i="152"/>
  <c r="F139" i="151"/>
  <c r="D134" i="151"/>
  <c r="D133" i="151"/>
  <c r="C129" i="151"/>
  <c r="AR125" i="151"/>
  <c r="AQ125" i="151"/>
  <c r="AP125" i="151"/>
  <c r="AO125" i="151"/>
  <c r="AN125" i="151"/>
  <c r="AM125" i="151"/>
  <c r="AL125" i="151"/>
  <c r="AK125" i="151"/>
  <c r="AJ125" i="151"/>
  <c r="AI125" i="151"/>
  <c r="AH125" i="151"/>
  <c r="AG125" i="151"/>
  <c r="AF125" i="151"/>
  <c r="AE125" i="151"/>
  <c r="AD125" i="151"/>
  <c r="AC125" i="151"/>
  <c r="AB125" i="151"/>
  <c r="AA125" i="151"/>
  <c r="Z125" i="151"/>
  <c r="Y125" i="151"/>
  <c r="X125" i="151"/>
  <c r="W125" i="151"/>
  <c r="V125" i="151"/>
  <c r="U125" i="151"/>
  <c r="T125" i="151"/>
  <c r="AR123" i="151"/>
  <c r="AQ123" i="151"/>
  <c r="AP123" i="151"/>
  <c r="AO123" i="151"/>
  <c r="AN123" i="151"/>
  <c r="AM123" i="151"/>
  <c r="AL123" i="151"/>
  <c r="AK123" i="151"/>
  <c r="AJ123" i="151"/>
  <c r="AI123" i="151"/>
  <c r="AH123" i="151"/>
  <c r="AG123" i="151"/>
  <c r="AF123" i="151"/>
  <c r="AE123" i="151"/>
  <c r="AD123" i="151"/>
  <c r="AC123" i="151"/>
  <c r="AB123" i="151"/>
  <c r="AA123" i="151"/>
  <c r="Z123" i="151"/>
  <c r="Y123" i="151"/>
  <c r="X123" i="151"/>
  <c r="W123" i="151"/>
  <c r="V123" i="151"/>
  <c r="U123" i="151"/>
  <c r="T123" i="151"/>
  <c r="C123" i="151"/>
  <c r="AQ115" i="151"/>
  <c r="AR114" i="151"/>
  <c r="AR115" i="151" s="1"/>
  <c r="AQ114" i="151"/>
  <c r="AP114" i="151"/>
  <c r="AO114" i="151"/>
  <c r="AN114" i="151"/>
  <c r="AM114" i="151"/>
  <c r="AL114" i="151"/>
  <c r="AK114" i="151"/>
  <c r="AJ114" i="151"/>
  <c r="AJ115" i="151" s="1"/>
  <c r="AI114" i="151"/>
  <c r="AH114" i="151"/>
  <c r="AG114" i="151"/>
  <c r="AG115" i="151" s="1"/>
  <c r="AF114" i="151"/>
  <c r="AE114" i="151"/>
  <c r="AD114" i="151"/>
  <c r="AC114" i="151"/>
  <c r="AB114" i="151"/>
  <c r="AA114" i="151"/>
  <c r="Z114" i="151"/>
  <c r="Y114" i="151"/>
  <c r="Y115" i="151" s="1"/>
  <c r="X114" i="151"/>
  <c r="W114" i="151"/>
  <c r="W115" i="151" s="1"/>
  <c r="V114" i="151"/>
  <c r="U114" i="151"/>
  <c r="T114" i="151"/>
  <c r="T115" i="151" s="1"/>
  <c r="AR113" i="151"/>
  <c r="AQ113" i="151"/>
  <c r="AP113" i="151"/>
  <c r="AP115" i="151" s="1"/>
  <c r="AO113" i="151"/>
  <c r="AO115" i="151" s="1"/>
  <c r="AN113" i="151"/>
  <c r="AN115" i="151" s="1"/>
  <c r="AM113" i="151"/>
  <c r="AM115" i="151" s="1"/>
  <c r="AL113" i="151"/>
  <c r="AL115" i="151" s="1"/>
  <c r="AK113" i="151"/>
  <c r="AK115" i="151" s="1"/>
  <c r="AJ113" i="151"/>
  <c r="AI113" i="151"/>
  <c r="AI115" i="151" s="1"/>
  <c r="AH113" i="151"/>
  <c r="AH115" i="151" s="1"/>
  <c r="AG113" i="151"/>
  <c r="AF113" i="151"/>
  <c r="AF115" i="151" s="1"/>
  <c r="AE113" i="151"/>
  <c r="AE115" i="151" s="1"/>
  <c r="AD113" i="151"/>
  <c r="AD115" i="151" s="1"/>
  <c r="AC113" i="151"/>
  <c r="AC115" i="151" s="1"/>
  <c r="AB113" i="151"/>
  <c r="AB115" i="151" s="1"/>
  <c r="AA113" i="151"/>
  <c r="AA115" i="151" s="1"/>
  <c r="Z113" i="151"/>
  <c r="Z115" i="151" s="1"/>
  <c r="Y113" i="151"/>
  <c r="X113" i="151"/>
  <c r="X115" i="151" s="1"/>
  <c r="W113" i="151"/>
  <c r="V113" i="151"/>
  <c r="V115" i="151" s="1"/>
  <c r="U113" i="151"/>
  <c r="U115" i="151" s="1"/>
  <c r="T113" i="151"/>
  <c r="AR112" i="151"/>
  <c r="AQ112" i="151"/>
  <c r="AP112" i="151"/>
  <c r="AO112" i="151"/>
  <c r="AN112" i="151"/>
  <c r="AM112" i="151"/>
  <c r="AL112" i="151"/>
  <c r="AK112" i="151"/>
  <c r="AJ112" i="151"/>
  <c r="AI112" i="151"/>
  <c r="AH112" i="151"/>
  <c r="AG112" i="151"/>
  <c r="AF112" i="151"/>
  <c r="AE112" i="151"/>
  <c r="AD112" i="151"/>
  <c r="AC112" i="151"/>
  <c r="AB112" i="151"/>
  <c r="AA112" i="151"/>
  <c r="Z112" i="151"/>
  <c r="Y112" i="151"/>
  <c r="X112" i="151"/>
  <c r="W112" i="151"/>
  <c r="V112" i="151"/>
  <c r="U112" i="151"/>
  <c r="T112" i="151"/>
  <c r="AQ109" i="151"/>
  <c r="AL109" i="151"/>
  <c r="AD109" i="151"/>
  <c r="T106" i="151"/>
  <c r="AR104" i="151"/>
  <c r="AQ104" i="151"/>
  <c r="AP104" i="151"/>
  <c r="AO104" i="151"/>
  <c r="AN104" i="151"/>
  <c r="AM104" i="151"/>
  <c r="AL104" i="151"/>
  <c r="AK104" i="151"/>
  <c r="AJ104" i="151"/>
  <c r="AI104" i="151"/>
  <c r="AH104" i="151"/>
  <c r="AG104" i="151"/>
  <c r="AF104" i="151"/>
  <c r="AE104" i="151"/>
  <c r="AD104" i="151"/>
  <c r="AC104" i="151"/>
  <c r="AB104" i="151"/>
  <c r="AA104" i="151"/>
  <c r="AA105" i="151" s="1"/>
  <c r="Z104" i="151"/>
  <c r="Y104" i="151"/>
  <c r="X104" i="151"/>
  <c r="W104" i="151"/>
  <c r="V104" i="151"/>
  <c r="V105" i="151" s="1"/>
  <c r="U104" i="151"/>
  <c r="T104" i="151"/>
  <c r="S104" i="151"/>
  <c r="R104" i="151"/>
  <c r="Q104" i="151"/>
  <c r="P104" i="151"/>
  <c r="O104" i="151"/>
  <c r="N104" i="151"/>
  <c r="M104" i="151"/>
  <c r="L104" i="151"/>
  <c r="K104" i="151"/>
  <c r="K105" i="151" s="1"/>
  <c r="J104" i="151"/>
  <c r="I104" i="151"/>
  <c r="H104" i="151"/>
  <c r="G104" i="151"/>
  <c r="F104" i="151"/>
  <c r="E104" i="151"/>
  <c r="C104" i="151"/>
  <c r="AN103" i="151"/>
  <c r="AL103" i="151"/>
  <c r="AF103" i="151"/>
  <c r="AD103" i="151"/>
  <c r="X103" i="151"/>
  <c r="V103" i="151"/>
  <c r="P103" i="151"/>
  <c r="N103" i="151"/>
  <c r="H103" i="151"/>
  <c r="F103" i="151"/>
  <c r="C103" i="151"/>
  <c r="AR102" i="151"/>
  <c r="AQ102" i="151"/>
  <c r="AP102" i="151"/>
  <c r="AO102" i="151"/>
  <c r="AN102" i="151"/>
  <c r="AM102" i="151"/>
  <c r="AL102" i="151"/>
  <c r="AK102" i="151"/>
  <c r="AJ102" i="151"/>
  <c r="AI102" i="151"/>
  <c r="AH102" i="151"/>
  <c r="AG102" i="151"/>
  <c r="AF102" i="151"/>
  <c r="AE102" i="151"/>
  <c r="AD102" i="151"/>
  <c r="AC102" i="151"/>
  <c r="AB102" i="151"/>
  <c r="AA102" i="151"/>
  <c r="Z102" i="151"/>
  <c r="Y102" i="151"/>
  <c r="X102" i="151"/>
  <c r="W102" i="151"/>
  <c r="V102" i="151"/>
  <c r="U102" i="151"/>
  <c r="T102" i="151"/>
  <c r="S102" i="151"/>
  <c r="R102" i="151"/>
  <c r="Q102" i="151"/>
  <c r="P102" i="151"/>
  <c r="O102" i="151"/>
  <c r="N102" i="151"/>
  <c r="M102" i="151"/>
  <c r="L102" i="151"/>
  <c r="K102" i="151"/>
  <c r="J102" i="151"/>
  <c r="I102" i="151"/>
  <c r="H102" i="151"/>
  <c r="G102" i="151"/>
  <c r="F102" i="151"/>
  <c r="E102" i="151"/>
  <c r="AR101" i="151"/>
  <c r="AR106" i="151" s="1"/>
  <c r="AQ101" i="151"/>
  <c r="AQ103" i="151" s="1"/>
  <c r="AQ105" i="151" s="1"/>
  <c r="AP101" i="151"/>
  <c r="AO101" i="151"/>
  <c r="AO106" i="151" s="1"/>
  <c r="AN101" i="151"/>
  <c r="AM101" i="151"/>
  <c r="AL101" i="151"/>
  <c r="AK101" i="151"/>
  <c r="AJ101" i="151"/>
  <c r="AJ103" i="151" s="1"/>
  <c r="AI101" i="151"/>
  <c r="AI103" i="151" s="1"/>
  <c r="AH101" i="151"/>
  <c r="AG101" i="151"/>
  <c r="AG103" i="151" s="1"/>
  <c r="AF101" i="151"/>
  <c r="AE101" i="151"/>
  <c r="AD101" i="151"/>
  <c r="AD106" i="151" s="1"/>
  <c r="AC101" i="151"/>
  <c r="AB101" i="151"/>
  <c r="AB103" i="151" s="1"/>
  <c r="AA101" i="151"/>
  <c r="AA103" i="151" s="1"/>
  <c r="Z101" i="151"/>
  <c r="Y101" i="151"/>
  <c r="Y106" i="151" s="1"/>
  <c r="X101" i="151"/>
  <c r="W101" i="151"/>
  <c r="V101" i="151"/>
  <c r="U101" i="151"/>
  <c r="T101" i="151"/>
  <c r="T103" i="151" s="1"/>
  <c r="S101" i="151"/>
  <c r="S106" i="151" s="1"/>
  <c r="R101" i="151"/>
  <c r="Q101" i="151"/>
  <c r="Q106" i="151" s="1"/>
  <c r="P101" i="151"/>
  <c r="O101" i="151"/>
  <c r="N101" i="151"/>
  <c r="M101" i="151"/>
  <c r="L101" i="151"/>
  <c r="L103" i="151" s="1"/>
  <c r="K101" i="151"/>
  <c r="K103" i="151" s="1"/>
  <c r="J101" i="151"/>
  <c r="I101" i="151"/>
  <c r="I103" i="151" s="1"/>
  <c r="H101" i="151"/>
  <c r="G101" i="151"/>
  <c r="F101" i="151"/>
  <c r="F106" i="151" s="1"/>
  <c r="E101" i="151"/>
  <c r="AR100" i="151"/>
  <c r="AQ100" i="151"/>
  <c r="AP100" i="151"/>
  <c r="AO100" i="151"/>
  <c r="AN100" i="151"/>
  <c r="AM100" i="151"/>
  <c r="AL100" i="151"/>
  <c r="AK100" i="151"/>
  <c r="AJ100" i="151"/>
  <c r="AI100" i="151"/>
  <c r="AH100" i="151"/>
  <c r="AG100" i="151"/>
  <c r="AF100" i="151"/>
  <c r="AE100" i="151"/>
  <c r="AD100" i="151"/>
  <c r="AC100" i="151"/>
  <c r="AB100" i="151"/>
  <c r="AA100" i="151"/>
  <c r="Z100" i="151"/>
  <c r="Y100" i="151"/>
  <c r="X100" i="151"/>
  <c r="W100" i="151"/>
  <c r="V100" i="151"/>
  <c r="U100" i="151"/>
  <c r="T100" i="151"/>
  <c r="S100" i="151"/>
  <c r="R100" i="151"/>
  <c r="Q100" i="151"/>
  <c r="P100" i="151"/>
  <c r="O100" i="151"/>
  <c r="N100" i="151"/>
  <c r="M100" i="151"/>
  <c r="L100" i="151"/>
  <c r="K100" i="151"/>
  <c r="J100" i="151"/>
  <c r="I100" i="151"/>
  <c r="H100" i="151"/>
  <c r="G100" i="151"/>
  <c r="F100" i="151"/>
  <c r="E100" i="151"/>
  <c r="AR99" i="151"/>
  <c r="AR109" i="151" s="1"/>
  <c r="AQ99" i="151"/>
  <c r="AP99" i="151"/>
  <c r="AP109" i="151" s="1"/>
  <c r="AO99" i="151"/>
  <c r="AO109" i="151" s="1"/>
  <c r="AN99" i="151"/>
  <c r="AN109" i="151" s="1"/>
  <c r="AM99" i="151"/>
  <c r="AM109" i="151" s="1"/>
  <c r="AL99" i="151"/>
  <c r="AK99" i="151"/>
  <c r="AK109" i="151" s="1"/>
  <c r="AJ99" i="151"/>
  <c r="AJ109" i="151" s="1"/>
  <c r="AI99" i="151"/>
  <c r="AI109" i="151" s="1"/>
  <c r="AH99" i="151"/>
  <c r="AH109" i="151" s="1"/>
  <c r="AG99" i="151"/>
  <c r="AG109" i="151" s="1"/>
  <c r="AF99" i="151"/>
  <c r="AF109" i="151" s="1"/>
  <c r="AE99" i="151"/>
  <c r="AE109" i="151" s="1"/>
  <c r="AD99" i="151"/>
  <c r="AC99" i="151"/>
  <c r="AC109" i="151" s="1"/>
  <c r="AB99" i="151"/>
  <c r="AB109" i="151" s="1"/>
  <c r="AA99" i="151"/>
  <c r="AA109" i="151" s="1"/>
  <c r="Z99" i="151"/>
  <c r="Z109" i="151" s="1"/>
  <c r="Y99" i="151"/>
  <c r="Y109" i="151" s="1"/>
  <c r="C97" i="151"/>
  <c r="AR96" i="151"/>
  <c r="AQ96" i="151"/>
  <c r="AP96" i="151"/>
  <c r="AO96" i="151"/>
  <c r="AN96" i="151"/>
  <c r="AM96" i="151"/>
  <c r="AL96" i="151"/>
  <c r="AK96" i="151"/>
  <c r="AJ96" i="151"/>
  <c r="AI96" i="151"/>
  <c r="AH96" i="151"/>
  <c r="AG96" i="151"/>
  <c r="AF96" i="151"/>
  <c r="AE96" i="151"/>
  <c r="AD96" i="151"/>
  <c r="AC96" i="151"/>
  <c r="AB96" i="151"/>
  <c r="AA96" i="151"/>
  <c r="Z96" i="151"/>
  <c r="Y96" i="151"/>
  <c r="X96" i="151"/>
  <c r="W96" i="151"/>
  <c r="V96" i="151"/>
  <c r="U96" i="151"/>
  <c r="T96" i="151"/>
  <c r="S96" i="151"/>
  <c r="R96" i="151"/>
  <c r="Q96" i="151"/>
  <c r="P96" i="151"/>
  <c r="O96" i="151"/>
  <c r="N96" i="151"/>
  <c r="M96" i="151"/>
  <c r="L96" i="151"/>
  <c r="K96" i="151"/>
  <c r="J96" i="151"/>
  <c r="I96" i="151"/>
  <c r="H96" i="151"/>
  <c r="G96" i="151"/>
  <c r="F96" i="151"/>
  <c r="E96" i="151"/>
  <c r="AR95" i="151"/>
  <c r="AQ95" i="151"/>
  <c r="AP95" i="151"/>
  <c r="AP97" i="151" s="1"/>
  <c r="AO95" i="151"/>
  <c r="AN95" i="151"/>
  <c r="AM95" i="151"/>
  <c r="AL95" i="151"/>
  <c r="AK95" i="151"/>
  <c r="AJ95" i="151"/>
  <c r="AI95" i="151"/>
  <c r="AH95" i="151"/>
  <c r="AH97" i="151" s="1"/>
  <c r="AG95" i="151"/>
  <c r="AF95" i="151"/>
  <c r="AE95" i="151"/>
  <c r="AD95" i="151"/>
  <c r="AC95" i="151"/>
  <c r="AB95" i="151"/>
  <c r="AA95" i="151"/>
  <c r="Z95" i="151"/>
  <c r="Z97" i="151" s="1"/>
  <c r="Y95" i="151"/>
  <c r="X95" i="151"/>
  <c r="W95" i="151"/>
  <c r="V95" i="151"/>
  <c r="U95" i="151"/>
  <c r="T95" i="151"/>
  <c r="S95" i="151"/>
  <c r="R95" i="151"/>
  <c r="R97" i="151" s="1"/>
  <c r="Q95" i="151"/>
  <c r="P95" i="151"/>
  <c r="O95" i="151"/>
  <c r="N95" i="151"/>
  <c r="M95" i="151"/>
  <c r="L95" i="151"/>
  <c r="K95" i="151"/>
  <c r="J95" i="151"/>
  <c r="J97" i="151" s="1"/>
  <c r="I95" i="151"/>
  <c r="H95" i="151"/>
  <c r="G95" i="151"/>
  <c r="F95" i="151"/>
  <c r="E95" i="151"/>
  <c r="C95" i="151"/>
  <c r="AR94" i="151"/>
  <c r="AR97" i="151" s="1"/>
  <c r="AQ94" i="151"/>
  <c r="AQ97" i="151" s="1"/>
  <c r="AP94" i="151"/>
  <c r="AO94" i="151"/>
  <c r="AO97" i="151" s="1"/>
  <c r="AL94" i="151"/>
  <c r="AL97" i="151" s="1"/>
  <c r="AK94" i="151"/>
  <c r="AK97" i="151" s="1"/>
  <c r="AJ94" i="151"/>
  <c r="AJ97" i="151" s="1"/>
  <c r="AI94" i="151"/>
  <c r="AI97" i="151" s="1"/>
  <c r="AH94" i="151"/>
  <c r="AG94" i="151"/>
  <c r="AG97" i="151" s="1"/>
  <c r="AD94" i="151"/>
  <c r="AD97" i="151" s="1"/>
  <c r="AC94" i="151"/>
  <c r="AC97" i="151" s="1"/>
  <c r="AB94" i="151"/>
  <c r="AB97" i="151" s="1"/>
  <c r="AA94" i="151"/>
  <c r="AA97" i="151" s="1"/>
  <c r="Z94" i="151"/>
  <c r="Y94" i="151"/>
  <c r="Y97" i="151" s="1"/>
  <c r="V94" i="151"/>
  <c r="V97" i="151" s="1"/>
  <c r="U94" i="151"/>
  <c r="U97" i="151" s="1"/>
  <c r="T94" i="151"/>
  <c r="T97" i="151" s="1"/>
  <c r="T99" i="151" s="1"/>
  <c r="T109" i="151" s="1"/>
  <c r="S94" i="151"/>
  <c r="S97" i="151" s="1"/>
  <c r="S123" i="151" s="1"/>
  <c r="R94" i="151"/>
  <c r="Q94" i="151"/>
  <c r="Q97" i="151" s="1"/>
  <c r="N94" i="151"/>
  <c r="N97" i="151" s="1"/>
  <c r="N123" i="151" s="1"/>
  <c r="M94" i="151"/>
  <c r="M97" i="151" s="1"/>
  <c r="M123" i="151" s="1"/>
  <c r="L94" i="151"/>
  <c r="L97" i="151" s="1"/>
  <c r="K94" i="151"/>
  <c r="K97" i="151" s="1"/>
  <c r="K123" i="151" s="1"/>
  <c r="J94" i="151"/>
  <c r="I94" i="151"/>
  <c r="I97" i="151" s="1"/>
  <c r="F94" i="151"/>
  <c r="F97" i="151" s="1"/>
  <c r="F123" i="151" s="1"/>
  <c r="E94" i="151"/>
  <c r="D137" i="151" s="1"/>
  <c r="D138" i="151" s="1"/>
  <c r="C94" i="151"/>
  <c r="AR87" i="151"/>
  <c r="AQ87" i="151"/>
  <c r="AP87" i="151"/>
  <c r="AO87" i="151"/>
  <c r="AN87" i="151"/>
  <c r="AM87" i="151"/>
  <c r="AL87" i="151"/>
  <c r="AK87" i="151"/>
  <c r="AJ87" i="151"/>
  <c r="AI87" i="151"/>
  <c r="AH87" i="151"/>
  <c r="AG87" i="151"/>
  <c r="AF87" i="151"/>
  <c r="AE87" i="151"/>
  <c r="AD87" i="151"/>
  <c r="AC87" i="151"/>
  <c r="AB87" i="151"/>
  <c r="AA87" i="151"/>
  <c r="Z87" i="151"/>
  <c r="Y87" i="151"/>
  <c r="X87" i="151"/>
  <c r="W87" i="151"/>
  <c r="V87" i="151"/>
  <c r="V99" i="151" s="1"/>
  <c r="V109" i="151" s="1"/>
  <c r="U87" i="151"/>
  <c r="U99" i="151" s="1"/>
  <c r="U109" i="151" s="1"/>
  <c r="T87" i="151"/>
  <c r="S87" i="151"/>
  <c r="R87" i="151"/>
  <c r="Q87" i="151"/>
  <c r="P87" i="151"/>
  <c r="O87" i="151"/>
  <c r="N87" i="151"/>
  <c r="N99" i="151" s="1"/>
  <c r="N109" i="151" s="1"/>
  <c r="M87" i="151"/>
  <c r="L87" i="151"/>
  <c r="K87" i="151"/>
  <c r="J87" i="151"/>
  <c r="I87" i="151"/>
  <c r="H87" i="151"/>
  <c r="G87" i="151"/>
  <c r="F87" i="151"/>
  <c r="F99" i="151" s="1"/>
  <c r="F109" i="151" s="1"/>
  <c r="E87" i="151"/>
  <c r="C72" i="151"/>
  <c r="D132" i="151" s="1"/>
  <c r="D54" i="151"/>
  <c r="D53" i="151"/>
  <c r="D52" i="151"/>
  <c r="D49" i="151"/>
  <c r="C48" i="151"/>
  <c r="D47" i="151"/>
  <c r="C46" i="151"/>
  <c r="D45" i="151"/>
  <c r="C43" i="151"/>
  <c r="C8" i="151" s="1"/>
  <c r="D40" i="151"/>
  <c r="C39" i="151"/>
  <c r="D38" i="151"/>
  <c r="D37" i="151"/>
  <c r="C36" i="151"/>
  <c r="D130" i="151" s="1"/>
  <c r="D35" i="151"/>
  <c r="D34" i="151"/>
  <c r="C31" i="151"/>
  <c r="C30" i="151"/>
  <c r="C29" i="151"/>
  <c r="AN94" i="151" s="1"/>
  <c r="AN97" i="151" s="1"/>
  <c r="D25" i="151"/>
  <c r="C24" i="151"/>
  <c r="D23" i="151"/>
  <c r="C22" i="151"/>
  <c r="D19" i="151"/>
  <c r="D8" i="151"/>
  <c r="D7" i="151"/>
  <c r="D5" i="151"/>
  <c r="AI105" i="151" l="1"/>
  <c r="M99" i="151"/>
  <c r="M109" i="151" s="1"/>
  <c r="L105" i="151"/>
  <c r="T105" i="151"/>
  <c r="T108" i="151" s="1"/>
  <c r="T110" i="151" s="1"/>
  <c r="AB105" i="151"/>
  <c r="AJ105" i="151"/>
  <c r="AJ108" i="151" s="1"/>
  <c r="AJ110" i="151" s="1"/>
  <c r="R105" i="152"/>
  <c r="Q123" i="151"/>
  <c r="Q99" i="151"/>
  <c r="Q109" i="151" s="1"/>
  <c r="F105" i="151"/>
  <c r="F108" i="151" s="1"/>
  <c r="F110" i="151" s="1"/>
  <c r="N105" i="151"/>
  <c r="AD105" i="151"/>
  <c r="AD108" i="151" s="1"/>
  <c r="AD110" i="151" s="1"/>
  <c r="AL105" i="151"/>
  <c r="AL108" i="151" s="1"/>
  <c r="AL110" i="151" s="1"/>
  <c r="AM105" i="151"/>
  <c r="R112" i="151"/>
  <c r="J112" i="151"/>
  <c r="P112" i="151"/>
  <c r="H112" i="151"/>
  <c r="M112" i="151"/>
  <c r="E112" i="151"/>
  <c r="L112" i="151"/>
  <c r="N112" i="151"/>
  <c r="K112" i="151"/>
  <c r="I112" i="151"/>
  <c r="D92" i="151"/>
  <c r="D124" i="151" s="1"/>
  <c r="G112" i="151"/>
  <c r="S112" i="151"/>
  <c r="F112" i="151"/>
  <c r="D136" i="151"/>
  <c r="Q112" i="151"/>
  <c r="D135" i="151"/>
  <c r="O112" i="151"/>
  <c r="I123" i="151"/>
  <c r="I99" i="151"/>
  <c r="I109" i="151" s="1"/>
  <c r="AN105" i="151"/>
  <c r="J123" i="151"/>
  <c r="J99" i="151"/>
  <c r="J109" i="151" s="1"/>
  <c r="I105" i="151"/>
  <c r="AG105" i="151"/>
  <c r="W106" i="151"/>
  <c r="R123" i="151"/>
  <c r="R99" i="151"/>
  <c r="R109" i="151" s="1"/>
  <c r="K99" i="151"/>
  <c r="K109" i="151" s="1"/>
  <c r="S99" i="151"/>
  <c r="S109" i="151" s="1"/>
  <c r="L123" i="151"/>
  <c r="L99" i="151"/>
  <c r="L109" i="151" s="1"/>
  <c r="AH105" i="151"/>
  <c r="AG106" i="151"/>
  <c r="AR94" i="153"/>
  <c r="AJ94" i="153"/>
  <c r="AB94" i="153"/>
  <c r="T94" i="153"/>
  <c r="L94" i="153"/>
  <c r="AI94" i="153"/>
  <c r="AI97" i="153" s="1"/>
  <c r="AA94" i="153"/>
  <c r="AA97" i="153" s="1"/>
  <c r="S94" i="153"/>
  <c r="S97" i="153" s="1"/>
  <c r="S123" i="153" s="1"/>
  <c r="K94" i="153"/>
  <c r="K97" i="153" s="1"/>
  <c r="K123" i="153" s="1"/>
  <c r="AP94" i="153"/>
  <c r="AH94" i="153"/>
  <c r="Z94" i="153"/>
  <c r="J94" i="153"/>
  <c r="AF94" i="153"/>
  <c r="U94" i="153"/>
  <c r="U97" i="153" s="1"/>
  <c r="U99" i="153" s="1"/>
  <c r="U109" i="153" s="1"/>
  <c r="G94" i="153"/>
  <c r="G97" i="153" s="1"/>
  <c r="AE94" i="153"/>
  <c r="AE97" i="153" s="1"/>
  <c r="Q94" i="153"/>
  <c r="F94" i="153"/>
  <c r="F97" i="153" s="1"/>
  <c r="AD94" i="153"/>
  <c r="AD97" i="153" s="1"/>
  <c r="P94" i="153"/>
  <c r="E94" i="153"/>
  <c r="AN94" i="153"/>
  <c r="AC94" i="153"/>
  <c r="O94" i="153"/>
  <c r="O97" i="153" s="1"/>
  <c r="AM94" i="153"/>
  <c r="AM97" i="153" s="1"/>
  <c r="AM105" i="153" s="1"/>
  <c r="N94" i="153"/>
  <c r="N97" i="153" s="1"/>
  <c r="AL94" i="153"/>
  <c r="AL97" i="153" s="1"/>
  <c r="X94" i="153"/>
  <c r="M94" i="153"/>
  <c r="AK94" i="153"/>
  <c r="AK97" i="153" s="1"/>
  <c r="W94" i="153"/>
  <c r="W97" i="153" s="1"/>
  <c r="W99" i="153" s="1"/>
  <c r="W109" i="153" s="1"/>
  <c r="I94" i="153"/>
  <c r="C30" i="153"/>
  <c r="AQ94" i="153" s="1"/>
  <c r="K103" i="153"/>
  <c r="K106" i="153"/>
  <c r="S103" i="153"/>
  <c r="S105" i="153" s="1"/>
  <c r="S108" i="153" s="1"/>
  <c r="S110" i="153" s="1"/>
  <c r="S106" i="153"/>
  <c r="AA103" i="153"/>
  <c r="AA106" i="153"/>
  <c r="AI103" i="153"/>
  <c r="AI105" i="153" s="1"/>
  <c r="AQ103" i="153"/>
  <c r="H106" i="151"/>
  <c r="AN106" i="151"/>
  <c r="G103" i="151"/>
  <c r="O103" i="151"/>
  <c r="O105" i="151" s="1"/>
  <c r="W103" i="151"/>
  <c r="W105" i="151" s="1"/>
  <c r="W108" i="151" s="1"/>
  <c r="W110" i="151" s="1"/>
  <c r="AE103" i="151"/>
  <c r="AE105" i="151" s="1"/>
  <c r="AM103" i="151"/>
  <c r="I106" i="151"/>
  <c r="V106" i="151"/>
  <c r="V108" i="151" s="1"/>
  <c r="V110" i="151" s="1"/>
  <c r="AI106" i="151"/>
  <c r="K99" i="153"/>
  <c r="K109" i="153" s="1"/>
  <c r="S99" i="153"/>
  <c r="S109" i="153" s="1"/>
  <c r="K106" i="151"/>
  <c r="K108" i="151" s="1"/>
  <c r="K110" i="151" s="1"/>
  <c r="AJ106" i="151"/>
  <c r="G103" i="152"/>
  <c r="O103" i="152"/>
  <c r="W106" i="152"/>
  <c r="W103" i="152"/>
  <c r="W105" i="152" s="1"/>
  <c r="W108" i="152" s="1"/>
  <c r="W110" i="152" s="1"/>
  <c r="AE103" i="152"/>
  <c r="AM103" i="152"/>
  <c r="U106" i="153"/>
  <c r="J106" i="151"/>
  <c r="R106" i="151"/>
  <c r="Z106" i="151"/>
  <c r="AH106" i="151"/>
  <c r="AP106" i="151"/>
  <c r="Q103" i="151"/>
  <c r="Q105" i="151" s="1"/>
  <c r="Q108" i="151" s="1"/>
  <c r="Q110" i="151" s="1"/>
  <c r="Y103" i="151"/>
  <c r="Y105" i="151" s="1"/>
  <c r="Y108" i="151" s="1"/>
  <c r="Y110" i="151" s="1"/>
  <c r="AO103" i="151"/>
  <c r="AO105" i="151" s="1"/>
  <c r="AO108" i="151" s="1"/>
  <c r="AO110" i="151" s="1"/>
  <c r="L106" i="151"/>
  <c r="AL106" i="151"/>
  <c r="S112" i="152"/>
  <c r="R112" i="152"/>
  <c r="O112" i="152"/>
  <c r="G112" i="152"/>
  <c r="N112" i="152"/>
  <c r="F112" i="152"/>
  <c r="L112" i="152"/>
  <c r="K112" i="152"/>
  <c r="D136" i="152"/>
  <c r="J112" i="152"/>
  <c r="D135" i="152"/>
  <c r="Q112" i="152"/>
  <c r="I112" i="152"/>
  <c r="J103" i="151"/>
  <c r="J105" i="151" s="1"/>
  <c r="J108" i="151" s="1"/>
  <c r="J110" i="151" s="1"/>
  <c r="R103" i="151"/>
  <c r="R105" i="151" s="1"/>
  <c r="R108" i="151" s="1"/>
  <c r="R110" i="151" s="1"/>
  <c r="Z103" i="151"/>
  <c r="Z105" i="151" s="1"/>
  <c r="Z108" i="151" s="1"/>
  <c r="Z110" i="151" s="1"/>
  <c r="AH103" i="151"/>
  <c r="AP103" i="151"/>
  <c r="N106" i="151"/>
  <c r="AA106" i="151"/>
  <c r="AA108" i="151" s="1"/>
  <c r="AA110" i="151" s="1"/>
  <c r="H94" i="153"/>
  <c r="AA105" i="153"/>
  <c r="AA108" i="153" s="1"/>
  <c r="AA110" i="153" s="1"/>
  <c r="J103" i="152"/>
  <c r="R103" i="152"/>
  <c r="Z103" i="152"/>
  <c r="AH103" i="152"/>
  <c r="AH105" i="152" s="1"/>
  <c r="AP103" i="152"/>
  <c r="AP105" i="152" s="1"/>
  <c r="E112" i="152"/>
  <c r="V94" i="153"/>
  <c r="V97" i="153" s="1"/>
  <c r="V99" i="153" s="1"/>
  <c r="V109" i="153" s="1"/>
  <c r="AC106" i="152"/>
  <c r="AP105" i="151"/>
  <c r="AP108" i="151" s="1"/>
  <c r="AP110" i="151" s="1"/>
  <c r="AB106" i="151"/>
  <c r="G94" i="151"/>
  <c r="G97" i="151" s="1"/>
  <c r="O94" i="151"/>
  <c r="O97" i="151" s="1"/>
  <c r="W94" i="151"/>
  <c r="W97" i="151" s="1"/>
  <c r="W99" i="151" s="1"/>
  <c r="W109" i="151" s="1"/>
  <c r="AE94" i="151"/>
  <c r="AE97" i="151" s="1"/>
  <c r="AM94" i="151"/>
  <c r="AM97" i="151" s="1"/>
  <c r="E97" i="151"/>
  <c r="E123" i="151" s="1"/>
  <c r="E106" i="151"/>
  <c r="M106" i="151"/>
  <c r="U106" i="151"/>
  <c r="AC106" i="151"/>
  <c r="AK106" i="151"/>
  <c r="AR103" i="151"/>
  <c r="AR105" i="151" s="1"/>
  <c r="AR108" i="151" s="1"/>
  <c r="AR110" i="151" s="1"/>
  <c r="AQ106" i="151"/>
  <c r="AQ108" i="151" s="1"/>
  <c r="AQ110" i="151" s="1"/>
  <c r="H112" i="152"/>
  <c r="AG94" i="153"/>
  <c r="U105" i="153"/>
  <c r="U108" i="153" s="1"/>
  <c r="U110" i="153" s="1"/>
  <c r="AK105" i="153"/>
  <c r="S103" i="151"/>
  <c r="S105" i="151" s="1"/>
  <c r="S108" i="151" s="1"/>
  <c r="S110" i="151" s="1"/>
  <c r="H94" i="151"/>
  <c r="H97" i="151" s="1"/>
  <c r="H123" i="151" s="1"/>
  <c r="P94" i="151"/>
  <c r="P97" i="151" s="1"/>
  <c r="P123" i="151" s="1"/>
  <c r="X94" i="151"/>
  <c r="X97" i="151" s="1"/>
  <c r="X99" i="151" s="1"/>
  <c r="X109" i="151" s="1"/>
  <c r="AF94" i="151"/>
  <c r="AF97" i="151" s="1"/>
  <c r="AF105" i="151" s="1"/>
  <c r="E103" i="151"/>
  <c r="E105" i="151" s="1"/>
  <c r="E108" i="151" s="1"/>
  <c r="M103" i="151"/>
  <c r="M105" i="151" s="1"/>
  <c r="M108" i="151" s="1"/>
  <c r="M110" i="151" s="1"/>
  <c r="U103" i="151"/>
  <c r="U105" i="151" s="1"/>
  <c r="U108" i="151" s="1"/>
  <c r="U110" i="151" s="1"/>
  <c r="AC103" i="151"/>
  <c r="AC105" i="151" s="1"/>
  <c r="AC108" i="151" s="1"/>
  <c r="AC110" i="151" s="1"/>
  <c r="AK103" i="151"/>
  <c r="AK105" i="151" s="1"/>
  <c r="AK108" i="151" s="1"/>
  <c r="AK110" i="151" s="1"/>
  <c r="AP94" i="152"/>
  <c r="AP97" i="152" s="1"/>
  <c r="AH94" i="152"/>
  <c r="AH97" i="152" s="1"/>
  <c r="R94" i="152"/>
  <c r="R97" i="152" s="1"/>
  <c r="AN94" i="152"/>
  <c r="P94" i="152"/>
  <c r="H94" i="152"/>
  <c r="C30" i="152"/>
  <c r="J94" i="152" s="1"/>
  <c r="AK94" i="152"/>
  <c r="AK97" i="152" s="1"/>
  <c r="AK105" i="152" s="1"/>
  <c r="AC94" i="152"/>
  <c r="AC97" i="152" s="1"/>
  <c r="AC105" i="152" s="1"/>
  <c r="AC108" i="152" s="1"/>
  <c r="AC110" i="152" s="1"/>
  <c r="U94" i="152"/>
  <c r="U97" i="152" s="1"/>
  <c r="U99" i="152" s="1"/>
  <c r="U109" i="152" s="1"/>
  <c r="K94" i="152"/>
  <c r="W94" i="152"/>
  <c r="W97" i="152" s="1"/>
  <c r="W99" i="152" s="1"/>
  <c r="W109" i="152" s="1"/>
  <c r="AJ94" i="152"/>
  <c r="AJ97" i="152" s="1"/>
  <c r="L103" i="152"/>
  <c r="T103" i="152"/>
  <c r="AB103" i="152"/>
  <c r="AJ106" i="152"/>
  <c r="AJ103" i="152"/>
  <c r="AJ105" i="152" s="1"/>
  <c r="AJ108" i="152" s="1"/>
  <c r="AJ110" i="152" s="1"/>
  <c r="AR103" i="152"/>
  <c r="Q103" i="152"/>
  <c r="AG103" i="152"/>
  <c r="M112" i="152"/>
  <c r="E106" i="153"/>
  <c r="AK106" i="153"/>
  <c r="P99" i="155"/>
  <c r="P109" i="155" s="1"/>
  <c r="P123" i="155"/>
  <c r="F115" i="153"/>
  <c r="AN105" i="155"/>
  <c r="AN108" i="155" s="1"/>
  <c r="AN110" i="155" s="1"/>
  <c r="N106" i="153"/>
  <c r="V106" i="153"/>
  <c r="AD106" i="153"/>
  <c r="AL106" i="153"/>
  <c r="AD103" i="153"/>
  <c r="G106" i="153"/>
  <c r="G103" i="153"/>
  <c r="G105" i="153" s="1"/>
  <c r="G108" i="153" s="1"/>
  <c r="O106" i="153"/>
  <c r="O103" i="153"/>
  <c r="O105" i="153" s="1"/>
  <c r="O108" i="153" s="1"/>
  <c r="W106" i="153"/>
  <c r="W103" i="153"/>
  <c r="W105" i="153" s="1"/>
  <c r="W108" i="153" s="1"/>
  <c r="W110" i="153" s="1"/>
  <c r="AE103" i="153"/>
  <c r="AM103" i="153"/>
  <c r="F103" i="153"/>
  <c r="M99" i="154"/>
  <c r="M109" i="154" s="1"/>
  <c r="P105" i="155"/>
  <c r="P108" i="155" s="1"/>
  <c r="D136" i="154"/>
  <c r="D135" i="154"/>
  <c r="M112" i="154"/>
  <c r="E112" i="154"/>
  <c r="L112" i="154"/>
  <c r="R112" i="154"/>
  <c r="J112" i="154"/>
  <c r="Q112" i="154"/>
  <c r="I112" i="154"/>
  <c r="O112" i="154"/>
  <c r="D92" i="154"/>
  <c r="D124" i="154" s="1"/>
  <c r="N112" i="154"/>
  <c r="K112" i="154"/>
  <c r="H112" i="154"/>
  <c r="G112" i="154"/>
  <c r="F112" i="154"/>
  <c r="S112" i="154"/>
  <c r="J103" i="154"/>
  <c r="R103" i="154"/>
  <c r="Z103" i="154"/>
  <c r="AH103" i="154"/>
  <c r="AP103" i="154"/>
  <c r="V103" i="153"/>
  <c r="N105" i="153"/>
  <c r="N108" i="153" s="1"/>
  <c r="V105" i="153"/>
  <c r="AD105" i="153"/>
  <c r="AD108" i="153" s="1"/>
  <c r="AD110" i="153" s="1"/>
  <c r="AL105" i="153"/>
  <c r="AL108" i="153" s="1"/>
  <c r="AL110" i="153" s="1"/>
  <c r="P115" i="153"/>
  <c r="AE105" i="153"/>
  <c r="L112" i="153"/>
  <c r="G113" i="153"/>
  <c r="R113" i="153"/>
  <c r="L114" i="153"/>
  <c r="AJ94" i="154"/>
  <c r="AJ97" i="154" s="1"/>
  <c r="AJ105" i="154" s="1"/>
  <c r="AO105" i="154"/>
  <c r="AO108" i="154" s="1"/>
  <c r="AO110" i="154" s="1"/>
  <c r="AQ115" i="154"/>
  <c r="J105" i="155"/>
  <c r="J108" i="155" s="1"/>
  <c r="J110" i="155" s="1"/>
  <c r="AH105" i="155"/>
  <c r="AP105" i="155"/>
  <c r="D92" i="153"/>
  <c r="D124" i="153" s="1"/>
  <c r="H113" i="153"/>
  <c r="H115" i="153" s="1"/>
  <c r="S113" i="153"/>
  <c r="S115" i="153" s="1"/>
  <c r="N114" i="153"/>
  <c r="N115" i="153" s="1"/>
  <c r="E106" i="154"/>
  <c r="E103" i="154"/>
  <c r="M106" i="154"/>
  <c r="M103" i="154"/>
  <c r="U103" i="154"/>
  <c r="U105" i="154" s="1"/>
  <c r="AC103" i="154"/>
  <c r="AK103" i="154"/>
  <c r="M106" i="155"/>
  <c r="AK106" i="155"/>
  <c r="S105" i="155"/>
  <c r="S108" i="155" s="1"/>
  <c r="S110" i="155" s="1"/>
  <c r="L106" i="155"/>
  <c r="Q112" i="153"/>
  <c r="I112" i="153"/>
  <c r="M112" i="153"/>
  <c r="E112" i="153"/>
  <c r="O112" i="153"/>
  <c r="J113" i="153"/>
  <c r="J115" i="153" s="1"/>
  <c r="AO94" i="154"/>
  <c r="AO97" i="154" s="1"/>
  <c r="AG94" i="154"/>
  <c r="AG97" i="154" s="1"/>
  <c r="AG105" i="154" s="1"/>
  <c r="AG108" i="154" s="1"/>
  <c r="AG110" i="154" s="1"/>
  <c r="Q94" i="154"/>
  <c r="Q97" i="154" s="1"/>
  <c r="Q123" i="154" s="1"/>
  <c r="AN94" i="154"/>
  <c r="AN97" i="154" s="1"/>
  <c r="AN105" i="154" s="1"/>
  <c r="P94" i="154"/>
  <c r="H94" i="154"/>
  <c r="H97" i="154" s="1"/>
  <c r="C30" i="154"/>
  <c r="AM94" i="154" s="1"/>
  <c r="AL94" i="154"/>
  <c r="V94" i="154"/>
  <c r="U94" i="154"/>
  <c r="U97" i="154" s="1"/>
  <c r="U99" i="154" s="1"/>
  <c r="U109" i="154" s="1"/>
  <c r="M94" i="154"/>
  <c r="M97" i="154" s="1"/>
  <c r="M123" i="154" s="1"/>
  <c r="E94" i="154"/>
  <c r="K94" i="154"/>
  <c r="AP94" i="154"/>
  <c r="AP97" i="154" s="1"/>
  <c r="AP105" i="154" s="1"/>
  <c r="F103" i="155"/>
  <c r="V103" i="155"/>
  <c r="V105" i="155" s="1"/>
  <c r="V108" i="155" s="1"/>
  <c r="V110" i="155" s="1"/>
  <c r="V106" i="155"/>
  <c r="AD103" i="155"/>
  <c r="AD105" i="155" s="1"/>
  <c r="AD106" i="155"/>
  <c r="L105" i="155"/>
  <c r="Q114" i="153"/>
  <c r="I114" i="153"/>
  <c r="Q113" i="153"/>
  <c r="Q115" i="153" s="1"/>
  <c r="I113" i="153"/>
  <c r="D121" i="153"/>
  <c r="M114" i="153"/>
  <c r="E114" i="153"/>
  <c r="M113" i="153"/>
  <c r="M115" i="153" s="1"/>
  <c r="E113" i="153"/>
  <c r="E115" i="153" s="1"/>
  <c r="AN97" i="155"/>
  <c r="AN106" i="155"/>
  <c r="R99" i="155"/>
  <c r="R109" i="155" s="1"/>
  <c r="L113" i="153"/>
  <c r="G114" i="153"/>
  <c r="R114" i="153"/>
  <c r="D136" i="153"/>
  <c r="M105" i="154"/>
  <c r="W115" i="154"/>
  <c r="AE115" i="154"/>
  <c r="AM115" i="154"/>
  <c r="AJ97" i="155"/>
  <c r="AJ105" i="155" s="1"/>
  <c r="AJ108" i="155" s="1"/>
  <c r="AJ110" i="155" s="1"/>
  <c r="AJ106" i="155"/>
  <c r="S99" i="155"/>
  <c r="S109" i="155" s="1"/>
  <c r="F105" i="155"/>
  <c r="Q106" i="154"/>
  <c r="AG106" i="154"/>
  <c r="AO106" i="154"/>
  <c r="AF115" i="154"/>
  <c r="AN115" i="154"/>
  <c r="AF105" i="155"/>
  <c r="AF108" i="155" s="1"/>
  <c r="AF110" i="155" s="1"/>
  <c r="M99" i="156"/>
  <c r="M109" i="156" s="1"/>
  <c r="U99" i="156"/>
  <c r="U109" i="156" s="1"/>
  <c r="M99" i="155"/>
  <c r="M109" i="155" s="1"/>
  <c r="R103" i="155"/>
  <c r="R105" i="155" s="1"/>
  <c r="R108" i="155" s="1"/>
  <c r="R110" i="155" s="1"/>
  <c r="AB106" i="155"/>
  <c r="AB108" i="155" s="1"/>
  <c r="AB110" i="155" s="1"/>
  <c r="S112" i="155"/>
  <c r="K112" i="155"/>
  <c r="R112" i="155"/>
  <c r="J112" i="155"/>
  <c r="D136" i="155"/>
  <c r="D135" i="155"/>
  <c r="M112" i="155"/>
  <c r="E112" i="155"/>
  <c r="J99" i="155"/>
  <c r="J109" i="155" s="1"/>
  <c r="H103" i="155"/>
  <c r="H105" i="155" s="1"/>
  <c r="H108" i="155" s="1"/>
  <c r="H110" i="155" s="1"/>
  <c r="AG103" i="155"/>
  <c r="M105" i="155"/>
  <c r="M108" i="155" s="1"/>
  <c r="U105" i="155"/>
  <c r="U108" i="155" s="1"/>
  <c r="U110" i="155" s="1"/>
  <c r="AC105" i="155"/>
  <c r="AC108" i="155" s="1"/>
  <c r="AC110" i="155" s="1"/>
  <c r="AK105" i="155"/>
  <c r="AK108" i="155" s="1"/>
  <c r="AK110" i="155" s="1"/>
  <c r="I112" i="155"/>
  <c r="AI105" i="156"/>
  <c r="AI108" i="156" s="1"/>
  <c r="AI110" i="156" s="1"/>
  <c r="E97" i="155"/>
  <c r="E123" i="155" s="1"/>
  <c r="D137" i="155"/>
  <c r="D138" i="155" s="1"/>
  <c r="AR97" i="155"/>
  <c r="AR105" i="155" s="1"/>
  <c r="AR108" i="155" s="1"/>
  <c r="AR110" i="155" s="1"/>
  <c r="I103" i="155"/>
  <c r="I105" i="155" s="1"/>
  <c r="AR106" i="155"/>
  <c r="L112" i="155"/>
  <c r="V97" i="156"/>
  <c r="V99" i="156" s="1"/>
  <c r="V109" i="156" s="1"/>
  <c r="D135" i="157"/>
  <c r="N112" i="157"/>
  <c r="F112" i="157"/>
  <c r="M112" i="157"/>
  <c r="E112" i="157"/>
  <c r="R112" i="157"/>
  <c r="J112" i="157"/>
  <c r="P112" i="157"/>
  <c r="H112" i="157"/>
  <c r="S112" i="157"/>
  <c r="Q112" i="157"/>
  <c r="O112" i="157"/>
  <c r="D92" i="157"/>
  <c r="D124" i="157" s="1"/>
  <c r="L112" i="157"/>
  <c r="D136" i="157"/>
  <c r="K112" i="157"/>
  <c r="I112" i="157"/>
  <c r="G112" i="157"/>
  <c r="Z106" i="155"/>
  <c r="AH106" i="155"/>
  <c r="AP106" i="155"/>
  <c r="J103" i="155"/>
  <c r="T106" i="155"/>
  <c r="T108" i="155" s="1"/>
  <c r="T110" i="155" s="1"/>
  <c r="AI97" i="156"/>
  <c r="AI106" i="156"/>
  <c r="AM97" i="155"/>
  <c r="AM105" i="155" s="1"/>
  <c r="AM108" i="155" s="1"/>
  <c r="AM110" i="155" s="1"/>
  <c r="K103" i="155"/>
  <c r="K105" i="155" s="1"/>
  <c r="S106" i="155"/>
  <c r="S103" i="155"/>
  <c r="AA106" i="155"/>
  <c r="AA103" i="155"/>
  <c r="AA105" i="155" s="1"/>
  <c r="AA108" i="155" s="1"/>
  <c r="AA110" i="155" s="1"/>
  <c r="AI106" i="155"/>
  <c r="AI103" i="155"/>
  <c r="AI105" i="155" s="1"/>
  <c r="AI108" i="155" s="1"/>
  <c r="AI110" i="155" s="1"/>
  <c r="AQ106" i="155"/>
  <c r="AQ103" i="155"/>
  <c r="AQ105" i="155" s="1"/>
  <c r="AQ108" i="155" s="1"/>
  <c r="AQ110" i="155" s="1"/>
  <c r="O112" i="155"/>
  <c r="AE94" i="156"/>
  <c r="S94" i="156"/>
  <c r="F94" i="156"/>
  <c r="F97" i="156" s="1"/>
  <c r="AQ94" i="156"/>
  <c r="AD94" i="156"/>
  <c r="AD97" i="156" s="1"/>
  <c r="AD105" i="156" s="1"/>
  <c r="AD108" i="156" s="1"/>
  <c r="AD110" i="156" s="1"/>
  <c r="P94" i="156"/>
  <c r="P97" i="156" s="1"/>
  <c r="P123" i="156" s="1"/>
  <c r="E94" i="156"/>
  <c r="AN94" i="156"/>
  <c r="AN97" i="156" s="1"/>
  <c r="AC94" i="156"/>
  <c r="AC97" i="156" s="1"/>
  <c r="O94" i="156"/>
  <c r="AM94" i="156"/>
  <c r="AA94" i="156"/>
  <c r="N94" i="156"/>
  <c r="N97" i="156" s="1"/>
  <c r="AL94" i="156"/>
  <c r="AL97" i="156" s="1"/>
  <c r="X94" i="156"/>
  <c r="X97" i="156" s="1"/>
  <c r="X105" i="156" s="1"/>
  <c r="M94" i="156"/>
  <c r="M97" i="156" s="1"/>
  <c r="M123" i="156" s="1"/>
  <c r="AK94" i="156"/>
  <c r="AK97" i="156" s="1"/>
  <c r="W94" i="156"/>
  <c r="K94" i="156"/>
  <c r="N105" i="156"/>
  <c r="K94" i="155"/>
  <c r="K97" i="155" s="1"/>
  <c r="X94" i="155"/>
  <c r="Z103" i="155"/>
  <c r="Z105" i="155" s="1"/>
  <c r="Z108" i="155" s="1"/>
  <c r="Z110" i="155" s="1"/>
  <c r="P112" i="155"/>
  <c r="I94" i="155"/>
  <c r="I97" i="155" s="1"/>
  <c r="Q94" i="155"/>
  <c r="Q97" i="155" s="1"/>
  <c r="Q105" i="155" s="1"/>
  <c r="Y94" i="155"/>
  <c r="AG94" i="155"/>
  <c r="AG97" i="155" s="1"/>
  <c r="AO94" i="155"/>
  <c r="AO97" i="155" s="1"/>
  <c r="AO105" i="155" s="1"/>
  <c r="E106" i="156"/>
  <c r="M106" i="156"/>
  <c r="AC106" i="156"/>
  <c r="AK106" i="156"/>
  <c r="L112" i="156"/>
  <c r="O94" i="157"/>
  <c r="AI106" i="157"/>
  <c r="F103" i="156"/>
  <c r="F105" i="156" s="1"/>
  <c r="N103" i="156"/>
  <c r="V106" i="156"/>
  <c r="V103" i="156"/>
  <c r="V105" i="156" s="1"/>
  <c r="V108" i="156" s="1"/>
  <c r="V110" i="156" s="1"/>
  <c r="AD106" i="156"/>
  <c r="AD103" i="156"/>
  <c r="AL103" i="156"/>
  <c r="AL105" i="156" s="1"/>
  <c r="H105" i="156"/>
  <c r="H108" i="156" s="1"/>
  <c r="P105" i="156"/>
  <c r="AN105" i="156"/>
  <c r="AN108" i="156" s="1"/>
  <c r="AN110" i="156" s="1"/>
  <c r="O112" i="156"/>
  <c r="D136" i="156"/>
  <c r="Q99" i="157"/>
  <c r="Q109" i="157" s="1"/>
  <c r="E103" i="157"/>
  <c r="M103" i="157"/>
  <c r="U103" i="157"/>
  <c r="AK106" i="157"/>
  <c r="AK103" i="157"/>
  <c r="D135" i="156"/>
  <c r="N112" i="156"/>
  <c r="F112" i="156"/>
  <c r="M112" i="156"/>
  <c r="E112" i="156"/>
  <c r="R112" i="156"/>
  <c r="J112" i="156"/>
  <c r="P112" i="156"/>
  <c r="H112" i="156"/>
  <c r="H106" i="156"/>
  <c r="AN106" i="156"/>
  <c r="Y106" i="156"/>
  <c r="AO106" i="156"/>
  <c r="S112" i="156"/>
  <c r="AL94" i="157"/>
  <c r="AL97" i="157" s="1"/>
  <c r="AD94" i="157"/>
  <c r="AD97" i="157" s="1"/>
  <c r="AD105" i="157" s="1"/>
  <c r="F94" i="157"/>
  <c r="F97" i="157" s="1"/>
  <c r="F123" i="157" s="1"/>
  <c r="AK94" i="157"/>
  <c r="AK97" i="157" s="1"/>
  <c r="AK105" i="157" s="1"/>
  <c r="AK108" i="157" s="1"/>
  <c r="AK110" i="157" s="1"/>
  <c r="AC94" i="157"/>
  <c r="AC97" i="157" s="1"/>
  <c r="U94" i="157"/>
  <c r="U97" i="157" s="1"/>
  <c r="U99" i="157" s="1"/>
  <c r="U109" i="157" s="1"/>
  <c r="M94" i="157"/>
  <c r="M97" i="157" s="1"/>
  <c r="E94" i="157"/>
  <c r="E106" i="157" s="1"/>
  <c r="AB94" i="157"/>
  <c r="T94" i="157"/>
  <c r="L94" i="157"/>
  <c r="AQ94" i="157"/>
  <c r="AI94" i="157"/>
  <c r="AI97" i="157" s="1"/>
  <c r="AI105" i="157" s="1"/>
  <c r="AA94" i="157"/>
  <c r="AP94" i="157"/>
  <c r="AH94" i="157"/>
  <c r="Z94" i="157"/>
  <c r="R94" i="157"/>
  <c r="J94" i="157"/>
  <c r="AO94" i="157"/>
  <c r="AO97" i="157" s="1"/>
  <c r="AO105" i="157" s="1"/>
  <c r="Q94" i="157"/>
  <c r="Q97" i="157" s="1"/>
  <c r="Q123" i="157" s="1"/>
  <c r="I94" i="157"/>
  <c r="I97" i="157" s="1"/>
  <c r="I123" i="157" s="1"/>
  <c r="AN94" i="157"/>
  <c r="AN97" i="157" s="1"/>
  <c r="AN105" i="157" s="1"/>
  <c r="AF94" i="157"/>
  <c r="AF97" i="157" s="1"/>
  <c r="AF105" i="157" s="1"/>
  <c r="X94" i="157"/>
  <c r="X97" i="157" s="1"/>
  <c r="X99" i="157" s="1"/>
  <c r="X109" i="157" s="1"/>
  <c r="P94" i="157"/>
  <c r="P97" i="157" s="1"/>
  <c r="P105" i="157" s="1"/>
  <c r="C30" i="157"/>
  <c r="AM94" i="157"/>
  <c r="F94" i="155"/>
  <c r="F97" i="155" s="1"/>
  <c r="N94" i="155"/>
  <c r="N97" i="155" s="1"/>
  <c r="V94" i="155"/>
  <c r="V97" i="155" s="1"/>
  <c r="V99" i="155" s="1"/>
  <c r="V109" i="155" s="1"/>
  <c r="AD94" i="155"/>
  <c r="AD97" i="155" s="1"/>
  <c r="AL94" i="155"/>
  <c r="H99" i="156"/>
  <c r="H109" i="156" s="1"/>
  <c r="P99" i="156"/>
  <c r="P109" i="156" s="1"/>
  <c r="M103" i="156"/>
  <c r="AC103" i="156"/>
  <c r="AC105" i="156" s="1"/>
  <c r="AC108" i="156" s="1"/>
  <c r="AC110" i="156" s="1"/>
  <c r="G112" i="156"/>
  <c r="AC103" i="157"/>
  <c r="G94" i="155"/>
  <c r="O94" i="155"/>
  <c r="W94" i="155"/>
  <c r="AE94" i="155"/>
  <c r="AP94" i="156"/>
  <c r="AH94" i="156"/>
  <c r="Z94" i="156"/>
  <c r="R94" i="156"/>
  <c r="J94" i="156"/>
  <c r="AO94" i="156"/>
  <c r="AO97" i="156" s="1"/>
  <c r="AO105" i="156" s="1"/>
  <c r="AG94" i="156"/>
  <c r="Y94" i="156"/>
  <c r="Y97" i="156" s="1"/>
  <c r="Y105" i="156" s="1"/>
  <c r="Q94" i="156"/>
  <c r="I94" i="156"/>
  <c r="I97" i="156" s="1"/>
  <c r="AR94" i="156"/>
  <c r="AJ94" i="156"/>
  <c r="AB94" i="156"/>
  <c r="T94" i="156"/>
  <c r="L94" i="156"/>
  <c r="G94" i="156"/>
  <c r="U94" i="156"/>
  <c r="U97" i="156" s="1"/>
  <c r="AF94" i="156"/>
  <c r="AF97" i="156" s="1"/>
  <c r="AF105" i="156" s="1"/>
  <c r="M105" i="156"/>
  <c r="M108" i="156" s="1"/>
  <c r="M110" i="156" s="1"/>
  <c r="U105" i="156"/>
  <c r="AK105" i="156"/>
  <c r="AK108" i="156" s="1"/>
  <c r="AK110" i="156" s="1"/>
  <c r="I112" i="156"/>
  <c r="Q105" i="157"/>
  <c r="F106" i="157"/>
  <c r="F103" i="157"/>
  <c r="F105" i="157" s="1"/>
  <c r="F108" i="157" s="1"/>
  <c r="N103" i="157"/>
  <c r="V103" i="157"/>
  <c r="AD103" i="157"/>
  <c r="AL106" i="157"/>
  <c r="AL103" i="157"/>
  <c r="M99" i="158"/>
  <c r="M109" i="158" s="1"/>
  <c r="J97" i="159"/>
  <c r="J123" i="159" s="1"/>
  <c r="J106" i="159"/>
  <c r="D136" i="158"/>
  <c r="D135" i="158"/>
  <c r="N112" i="158"/>
  <c r="F112" i="158"/>
  <c r="M112" i="158"/>
  <c r="E112" i="158"/>
  <c r="R112" i="158"/>
  <c r="J112" i="158"/>
  <c r="P112" i="158"/>
  <c r="H112" i="158"/>
  <c r="L112" i="158"/>
  <c r="K112" i="158"/>
  <c r="I112" i="158"/>
  <c r="G112" i="158"/>
  <c r="S112" i="158"/>
  <c r="Q112" i="158"/>
  <c r="X106" i="157"/>
  <c r="M105" i="157"/>
  <c r="AC105" i="157"/>
  <c r="O112" i="158"/>
  <c r="AL105" i="157"/>
  <c r="AL108" i="157" s="1"/>
  <c r="AL110" i="157" s="1"/>
  <c r="AP97" i="159"/>
  <c r="AP106" i="159"/>
  <c r="X105" i="157"/>
  <c r="X108" i="157" s="1"/>
  <c r="X110" i="157" s="1"/>
  <c r="AL94" i="158"/>
  <c r="AL97" i="158" s="1"/>
  <c r="AD94" i="158"/>
  <c r="AD97" i="158" s="1"/>
  <c r="V94" i="158"/>
  <c r="V97" i="158" s="1"/>
  <c r="V99" i="158" s="1"/>
  <c r="V109" i="158" s="1"/>
  <c r="N94" i="158"/>
  <c r="N97" i="158" s="1"/>
  <c r="N123" i="158" s="1"/>
  <c r="AK94" i="158"/>
  <c r="AK97" i="158" s="1"/>
  <c r="AK105" i="158" s="1"/>
  <c r="M94" i="158"/>
  <c r="M97" i="158" s="1"/>
  <c r="M123" i="158" s="1"/>
  <c r="E94" i="158"/>
  <c r="AP94" i="158"/>
  <c r="AH94" i="158"/>
  <c r="R94" i="158"/>
  <c r="AF94" i="158"/>
  <c r="AF97" i="158" s="1"/>
  <c r="X94" i="158"/>
  <c r="X97" i="158" s="1"/>
  <c r="P94" i="158"/>
  <c r="P97" i="158" s="1"/>
  <c r="P123" i="158" s="1"/>
  <c r="H94" i="158"/>
  <c r="H97" i="158" s="1"/>
  <c r="H123" i="158" s="1"/>
  <c r="C30" i="158"/>
  <c r="L94" i="158"/>
  <c r="L97" i="158" s="1"/>
  <c r="L123" i="158" s="1"/>
  <c r="P106" i="158"/>
  <c r="X106" i="158"/>
  <c r="AF106" i="158"/>
  <c r="O94" i="158"/>
  <c r="AE94" i="158"/>
  <c r="K103" i="158"/>
  <c r="AJ103" i="158"/>
  <c r="N105" i="158"/>
  <c r="AD105" i="158"/>
  <c r="AD108" i="158" s="1"/>
  <c r="AD110" i="158" s="1"/>
  <c r="Z94" i="159"/>
  <c r="L103" i="158"/>
  <c r="L105" i="158" s="1"/>
  <c r="AA103" i="158"/>
  <c r="X105" i="158"/>
  <c r="X108" i="158" s="1"/>
  <c r="AF105" i="158"/>
  <c r="AB103" i="158"/>
  <c r="AQ94" i="159"/>
  <c r="AI94" i="159"/>
  <c r="AA94" i="159"/>
  <c r="S94" i="159"/>
  <c r="K94" i="159"/>
  <c r="AO94" i="159"/>
  <c r="AO97" i="159" s="1"/>
  <c r="AG94" i="159"/>
  <c r="AG97" i="159" s="1"/>
  <c r="Y94" i="159"/>
  <c r="Y97" i="159" s="1"/>
  <c r="Y105" i="159" s="1"/>
  <c r="Q94" i="159"/>
  <c r="Q97" i="159" s="1"/>
  <c r="I94" i="159"/>
  <c r="I97" i="159" s="1"/>
  <c r="I123" i="159" s="1"/>
  <c r="AN94" i="159"/>
  <c r="AN97" i="159" s="1"/>
  <c r="X94" i="159"/>
  <c r="X97" i="159" s="1"/>
  <c r="X99" i="159" s="1"/>
  <c r="X109" i="159" s="1"/>
  <c r="H94" i="159"/>
  <c r="H97" i="159" s="1"/>
  <c r="H123" i="159" s="1"/>
  <c r="AK94" i="159"/>
  <c r="AK97" i="159" s="1"/>
  <c r="U94" i="159"/>
  <c r="U97" i="159" s="1"/>
  <c r="E94" i="159"/>
  <c r="E106" i="159" s="1"/>
  <c r="AJ94" i="159"/>
  <c r="AJ97" i="159" s="1"/>
  <c r="T94" i="159"/>
  <c r="T97" i="159" s="1"/>
  <c r="AH94" i="159"/>
  <c r="R94" i="159"/>
  <c r="AF94" i="159"/>
  <c r="AF97" i="159" s="1"/>
  <c r="AF105" i="159" s="1"/>
  <c r="AF108" i="159" s="1"/>
  <c r="AF110" i="159" s="1"/>
  <c r="P94" i="159"/>
  <c r="P97" i="159" s="1"/>
  <c r="P105" i="159" s="1"/>
  <c r="AC94" i="159"/>
  <c r="AC97" i="159" s="1"/>
  <c r="M94" i="159"/>
  <c r="M97" i="159" s="1"/>
  <c r="M123" i="159" s="1"/>
  <c r="AR94" i="159"/>
  <c r="AR97" i="159" s="1"/>
  <c r="AB94" i="159"/>
  <c r="AB97" i="159" s="1"/>
  <c r="L94" i="159"/>
  <c r="L97" i="159" s="1"/>
  <c r="L123" i="159" s="1"/>
  <c r="E106" i="158"/>
  <c r="AC103" i="158"/>
  <c r="F103" i="158"/>
  <c r="N106" i="158"/>
  <c r="N103" i="158"/>
  <c r="V103" i="158"/>
  <c r="V105" i="158" s="1"/>
  <c r="AD106" i="158"/>
  <c r="AD103" i="158"/>
  <c r="AL106" i="158"/>
  <c r="AL103" i="158"/>
  <c r="AL105" i="158" s="1"/>
  <c r="AL108" i="158" s="1"/>
  <c r="AL110" i="158" s="1"/>
  <c r="E103" i="158"/>
  <c r="AR103" i="158"/>
  <c r="T99" i="159"/>
  <c r="T109" i="159" s="1"/>
  <c r="H99" i="158"/>
  <c r="H109" i="158" s="1"/>
  <c r="X99" i="158"/>
  <c r="X109" i="158" s="1"/>
  <c r="H103" i="159"/>
  <c r="P103" i="159"/>
  <c r="X106" i="159"/>
  <c r="AF106" i="159"/>
  <c r="AF103" i="159"/>
  <c r="AN106" i="159"/>
  <c r="AN103" i="159"/>
  <c r="AM94" i="159"/>
  <c r="AM97" i="159" s="1"/>
  <c r="I99" i="159"/>
  <c r="I109" i="159" s="1"/>
  <c r="AC105" i="159"/>
  <c r="T106" i="159"/>
  <c r="T103" i="159"/>
  <c r="AB106" i="159"/>
  <c r="AJ106" i="159"/>
  <c r="AJ103" i="159"/>
  <c r="AR106" i="159"/>
  <c r="AR103" i="159"/>
  <c r="AR105" i="159" s="1"/>
  <c r="AR108" i="159" s="1"/>
  <c r="AR110" i="159" s="1"/>
  <c r="AM105" i="159"/>
  <c r="AM108" i="159" s="1"/>
  <c r="AM110" i="159" s="1"/>
  <c r="AC106" i="159"/>
  <c r="U99" i="159"/>
  <c r="U109" i="159" s="1"/>
  <c r="E103" i="159"/>
  <c r="M103" i="159"/>
  <c r="U103" i="159"/>
  <c r="U105" i="159" s="1"/>
  <c r="U108" i="159" s="1"/>
  <c r="U110" i="159" s="1"/>
  <c r="U106" i="159"/>
  <c r="AK103" i="159"/>
  <c r="AK105" i="159" s="1"/>
  <c r="AK108" i="159" s="1"/>
  <c r="AK110" i="159" s="1"/>
  <c r="AK106" i="159"/>
  <c r="P112" i="159"/>
  <c r="H112" i="159"/>
  <c r="D136" i="159"/>
  <c r="D135" i="159"/>
  <c r="M112" i="159"/>
  <c r="E112" i="159"/>
  <c r="L112" i="159"/>
  <c r="K112" i="159"/>
  <c r="Q112" i="159"/>
  <c r="F112" i="159"/>
  <c r="S112" i="159"/>
  <c r="R112" i="159"/>
  <c r="N112" i="159"/>
  <c r="D92" i="159"/>
  <c r="D124" i="159" s="1"/>
  <c r="J112" i="159"/>
  <c r="I112" i="159"/>
  <c r="AG105" i="159"/>
  <c r="G112" i="159"/>
  <c r="AM106" i="159"/>
  <c r="AP105" i="159"/>
  <c r="AP108" i="159" s="1"/>
  <c r="AP110" i="159" s="1"/>
  <c r="O112" i="159"/>
  <c r="I106" i="159"/>
  <c r="I103" i="159"/>
  <c r="I105" i="159" s="1"/>
  <c r="I108" i="159" s="1"/>
  <c r="I110" i="159" s="1"/>
  <c r="Q106" i="159"/>
  <c r="Q103" i="159"/>
  <c r="Q105" i="159" s="1"/>
  <c r="Q108" i="159" s="1"/>
  <c r="Y103" i="159"/>
  <c r="AG106" i="159"/>
  <c r="AG103" i="159"/>
  <c r="AO103" i="159"/>
  <c r="AO105" i="159" s="1"/>
  <c r="H105" i="159"/>
  <c r="X105" i="159"/>
  <c r="X108" i="159" s="1"/>
  <c r="X110" i="159" s="1"/>
  <c r="AN105" i="159"/>
  <c r="AN108" i="159" s="1"/>
  <c r="AN110" i="159" s="1"/>
  <c r="F94" i="159"/>
  <c r="N94" i="159"/>
  <c r="V94" i="159"/>
  <c r="AD94" i="159"/>
  <c r="AL94" i="159"/>
  <c r="G94" i="159"/>
  <c r="O94" i="159"/>
  <c r="W94" i="159"/>
  <c r="AE94" i="159"/>
  <c r="T105" i="159"/>
  <c r="T108" i="159" s="1"/>
  <c r="T110" i="159" s="1"/>
  <c r="AB105" i="159"/>
  <c r="AB108" i="159" s="1"/>
  <c r="AB110" i="159" s="1"/>
  <c r="AJ105" i="159"/>
  <c r="AJ108" i="159" s="1"/>
  <c r="AJ110" i="159" s="1"/>
  <c r="S112" i="160"/>
  <c r="K112" i="160"/>
  <c r="Q112" i="160"/>
  <c r="I112" i="160"/>
  <c r="D136" i="160"/>
  <c r="O112" i="160"/>
  <c r="G112" i="160"/>
  <c r="D135" i="160"/>
  <c r="N112" i="160"/>
  <c r="F112" i="160"/>
  <c r="L112" i="160"/>
  <c r="J112" i="160"/>
  <c r="H112" i="160"/>
  <c r="E112" i="160"/>
  <c r="N99" i="160"/>
  <c r="N109" i="160" s="1"/>
  <c r="AQ106" i="160"/>
  <c r="M112" i="160"/>
  <c r="L103" i="160"/>
  <c r="T103" i="160"/>
  <c r="AB103" i="160"/>
  <c r="AJ103" i="160"/>
  <c r="AJ105" i="160" s="1"/>
  <c r="AR103" i="160"/>
  <c r="P112" i="160"/>
  <c r="N106" i="160"/>
  <c r="E94" i="160"/>
  <c r="M94" i="160"/>
  <c r="V94" i="160"/>
  <c r="V97" i="160" s="1"/>
  <c r="V105" i="160" s="1"/>
  <c r="G103" i="160"/>
  <c r="O103" i="160"/>
  <c r="W103" i="160"/>
  <c r="AE103" i="160"/>
  <c r="AM103" i="160"/>
  <c r="F103" i="160"/>
  <c r="F105" i="160" s="1"/>
  <c r="V103" i="160"/>
  <c r="AL103" i="160"/>
  <c r="F94" i="160"/>
  <c r="F97" i="160" s="1"/>
  <c r="N94" i="160"/>
  <c r="N97" i="160" s="1"/>
  <c r="N123" i="160" s="1"/>
  <c r="X94" i="160"/>
  <c r="AE94" i="160"/>
  <c r="AE97" i="160" s="1"/>
  <c r="AE105" i="160" s="1"/>
  <c r="AQ94" i="160"/>
  <c r="AQ97" i="160" s="1"/>
  <c r="AP94" i="160"/>
  <c r="AH94" i="160"/>
  <c r="Z94" i="160"/>
  <c r="Y94" i="160"/>
  <c r="Y97" i="160" s="1"/>
  <c r="Y105" i="160" s="1"/>
  <c r="AJ94" i="160"/>
  <c r="AJ97" i="160" s="1"/>
  <c r="AQ105" i="160"/>
  <c r="AQ108" i="160" s="1"/>
  <c r="AQ110" i="160" s="1"/>
  <c r="C30" i="160"/>
  <c r="H94" i="160"/>
  <c r="AK94" i="160"/>
  <c r="F25" i="149"/>
  <c r="H25" i="149"/>
  <c r="D25" i="149"/>
  <c r="AO121" i="151" l="1"/>
  <c r="AO117" i="151"/>
  <c r="AO118" i="151" s="1"/>
  <c r="AO120" i="151"/>
  <c r="AO122" i="151" s="1"/>
  <c r="W121" i="151"/>
  <c r="W120" i="151"/>
  <c r="W122" i="151" s="1"/>
  <c r="W117" i="151"/>
  <c r="W118" i="151" s="1"/>
  <c r="U120" i="159"/>
  <c r="U122" i="159" s="1"/>
  <c r="U117" i="159"/>
  <c r="U118" i="159" s="1"/>
  <c r="U121" i="159"/>
  <c r="AK120" i="157"/>
  <c r="AK122" i="157" s="1"/>
  <c r="AK117" i="157"/>
  <c r="AK118" i="157" s="1"/>
  <c r="AK121" i="157" s="1"/>
  <c r="V120" i="156"/>
  <c r="V122" i="156" s="1"/>
  <c r="V117" i="156"/>
  <c r="V118" i="156" s="1"/>
  <c r="V121" i="156" s="1"/>
  <c r="AR117" i="155"/>
  <c r="AR118" i="155" s="1"/>
  <c r="AR121" i="155" s="1"/>
  <c r="Z117" i="155"/>
  <c r="Z118" i="155" s="1"/>
  <c r="Z121" i="155" s="1"/>
  <c r="AQ117" i="155"/>
  <c r="AQ118" i="155" s="1"/>
  <c r="AQ120" i="155" s="1"/>
  <c r="AQ122" i="155" s="1"/>
  <c r="K108" i="155"/>
  <c r="AG117" i="154"/>
  <c r="AG118" i="154" s="1"/>
  <c r="AG120" i="154" s="1"/>
  <c r="AG122" i="154" s="1"/>
  <c r="AG121" i="154"/>
  <c r="AJ117" i="152"/>
  <c r="AJ118" i="152" s="1"/>
  <c r="AJ120" i="152" s="1"/>
  <c r="AJ122" i="152" s="1"/>
  <c r="AJ121" i="152"/>
  <c r="AQ121" i="151"/>
  <c r="AQ120" i="151"/>
  <c r="AQ122" i="151" s="1"/>
  <c r="AQ117" i="151"/>
  <c r="AQ118" i="151" s="1"/>
  <c r="Y117" i="151"/>
  <c r="Y118" i="151" s="1"/>
  <c r="Y121" i="151" s="1"/>
  <c r="AE108" i="151"/>
  <c r="AE110" i="151" s="1"/>
  <c r="AJ121" i="155"/>
  <c r="AJ120" i="155"/>
  <c r="AJ122" i="155" s="1"/>
  <c r="AJ117" i="155"/>
  <c r="AJ118" i="155" s="1"/>
  <c r="AC121" i="152"/>
  <c r="AC117" i="152"/>
  <c r="AC118" i="152" s="1"/>
  <c r="AC120" i="152" s="1"/>
  <c r="AC122" i="152" s="1"/>
  <c r="AR121" i="151"/>
  <c r="AR120" i="151"/>
  <c r="AR122" i="151" s="1"/>
  <c r="AR117" i="151"/>
  <c r="AR118" i="151" s="1"/>
  <c r="AA117" i="151"/>
  <c r="AA118" i="151" s="1"/>
  <c r="AA121" i="151" s="1"/>
  <c r="AA120" i="151"/>
  <c r="AA122" i="151" s="1"/>
  <c r="S117" i="153"/>
  <c r="S118" i="153" s="1"/>
  <c r="S121" i="153" s="1"/>
  <c r="S120" i="153"/>
  <c r="S122" i="153" s="1"/>
  <c r="AK120" i="151"/>
  <c r="AK122" i="151" s="1"/>
  <c r="AK117" i="151"/>
  <c r="AK118" i="151" s="1"/>
  <c r="AK121" i="151"/>
  <c r="W117" i="152"/>
  <c r="W118" i="152" s="1"/>
  <c r="W121" i="152" s="1"/>
  <c r="J97" i="152"/>
  <c r="J106" i="152"/>
  <c r="AC117" i="151"/>
  <c r="AC118" i="151" s="1"/>
  <c r="AC120" i="151" s="1"/>
  <c r="AC122" i="151" s="1"/>
  <c r="AH108" i="152"/>
  <c r="AH110" i="152" s="1"/>
  <c r="V117" i="151"/>
  <c r="V118" i="151" s="1"/>
  <c r="V121" i="151" s="1"/>
  <c r="F108" i="156"/>
  <c r="F110" i="156" s="1"/>
  <c r="AI117" i="155"/>
  <c r="AI118" i="155" s="1"/>
  <c r="AI120" i="155" s="1"/>
  <c r="AI122" i="155" s="1"/>
  <c r="AI121" i="155"/>
  <c r="AF117" i="159"/>
  <c r="AF118" i="159" s="1"/>
  <c r="AF120" i="159" s="1"/>
  <c r="AF122" i="159" s="1"/>
  <c r="AF108" i="157"/>
  <c r="AF110" i="157" s="1"/>
  <c r="AM97" i="154"/>
  <c r="AM105" i="154" s="1"/>
  <c r="AM108" i="154" s="1"/>
  <c r="AM110" i="154" s="1"/>
  <c r="AM106" i="154"/>
  <c r="W117" i="153"/>
  <c r="W118" i="153" s="1"/>
  <c r="W121" i="153" s="1"/>
  <c r="AN108" i="157"/>
  <c r="AN110" i="157" s="1"/>
  <c r="AA117" i="155"/>
  <c r="AA118" i="155" s="1"/>
  <c r="AA120" i="155" s="1"/>
  <c r="AA122" i="155" s="1"/>
  <c r="T121" i="155"/>
  <c r="T120" i="155"/>
  <c r="T122" i="155" s="1"/>
  <c r="T117" i="155"/>
  <c r="T118" i="155" s="1"/>
  <c r="AP108" i="154"/>
  <c r="AP110" i="154" s="1"/>
  <c r="U120" i="151"/>
  <c r="U122" i="151" s="1"/>
  <c r="U117" i="151"/>
  <c r="U118" i="151" s="1"/>
  <c r="U121" i="151" s="1"/>
  <c r="AQ97" i="153"/>
  <c r="AQ105" i="153" s="1"/>
  <c r="AQ108" i="153" s="1"/>
  <c r="AQ110" i="153" s="1"/>
  <c r="AQ106" i="153"/>
  <c r="AC121" i="156"/>
  <c r="AC120" i="156"/>
  <c r="AC122" i="156" s="1"/>
  <c r="AC117" i="156"/>
  <c r="AC118" i="156" s="1"/>
  <c r="AD120" i="156"/>
  <c r="AD122" i="156" s="1"/>
  <c r="AD117" i="156"/>
  <c r="AD118" i="156" s="1"/>
  <c r="AD121" i="156"/>
  <c r="AL117" i="158"/>
  <c r="AL118" i="158" s="1"/>
  <c r="AL121" i="158" s="1"/>
  <c r="AB121" i="155"/>
  <c r="AB117" i="155"/>
  <c r="AB118" i="155" s="1"/>
  <c r="AB120" i="155"/>
  <c r="AB122" i="155" s="1"/>
  <c r="S117" i="151"/>
  <c r="S118" i="151" s="1"/>
  <c r="S121" i="151" s="1"/>
  <c r="Y108" i="160"/>
  <c r="Y110" i="160" s="1"/>
  <c r="I117" i="159"/>
  <c r="I118" i="159" s="1"/>
  <c r="I121" i="159" s="1"/>
  <c r="AK120" i="159"/>
  <c r="AK122" i="159" s="1"/>
  <c r="AK117" i="159"/>
  <c r="AK118" i="159" s="1"/>
  <c r="AK121" i="159"/>
  <c r="AR117" i="159"/>
  <c r="AR118" i="159" s="1"/>
  <c r="AR120" i="159" s="1"/>
  <c r="AR122" i="159" s="1"/>
  <c r="Z120" i="151"/>
  <c r="Z122" i="151" s="1"/>
  <c r="Z117" i="151"/>
  <c r="Z118" i="151" s="1"/>
  <c r="Z121" i="151" s="1"/>
  <c r="H97" i="160"/>
  <c r="H106" i="160"/>
  <c r="AN117" i="159"/>
  <c r="AN118" i="159" s="1"/>
  <c r="AN120" i="159" s="1"/>
  <c r="AN122" i="159" s="1"/>
  <c r="AD121" i="158"/>
  <c r="AD120" i="158"/>
  <c r="AD122" i="158" s="1"/>
  <c r="AD117" i="158"/>
  <c r="AD118" i="158" s="1"/>
  <c r="L106" i="156"/>
  <c r="L97" i="156"/>
  <c r="N123" i="155"/>
  <c r="N99" i="155"/>
  <c r="N109" i="155" s="1"/>
  <c r="N105" i="155"/>
  <c r="D137" i="156"/>
  <c r="D138" i="156" s="1"/>
  <c r="E97" i="156"/>
  <c r="AI117" i="156"/>
  <c r="AI118" i="156" s="1"/>
  <c r="AI121" i="156" s="1"/>
  <c r="AK117" i="155"/>
  <c r="AK118" i="155" s="1"/>
  <c r="AK121" i="155" s="1"/>
  <c r="AN108" i="154"/>
  <c r="AN110" i="154" s="1"/>
  <c r="AO117" i="154"/>
  <c r="AO118" i="154" s="1"/>
  <c r="AO121" i="154" s="1"/>
  <c r="AP106" i="154"/>
  <c r="AN121" i="155"/>
  <c r="AN120" i="155"/>
  <c r="AN122" i="155" s="1"/>
  <c r="AN117" i="155"/>
  <c r="AN118" i="155" s="1"/>
  <c r="AN97" i="152"/>
  <c r="AN105" i="152" s="1"/>
  <c r="AN108" i="152" s="1"/>
  <c r="AN110" i="152" s="1"/>
  <c r="AN106" i="152"/>
  <c r="AG97" i="153"/>
  <c r="AG105" i="153" s="1"/>
  <c r="AG108" i="153" s="1"/>
  <c r="AG110" i="153" s="1"/>
  <c r="AG106" i="153"/>
  <c r="O123" i="151"/>
  <c r="O99" i="151"/>
  <c r="O109" i="151" s="1"/>
  <c r="J105" i="152"/>
  <c r="J108" i="152" s="1"/>
  <c r="H106" i="153"/>
  <c r="H97" i="153"/>
  <c r="I97" i="153"/>
  <c r="I106" i="153"/>
  <c r="F123" i="153"/>
  <c r="F99" i="153"/>
  <c r="F109" i="153" s="1"/>
  <c r="Z106" i="153"/>
  <c r="Z97" i="153"/>
  <c r="Z105" i="153" s="1"/>
  <c r="L106" i="153"/>
  <c r="L97" i="153"/>
  <c r="AL120" i="151"/>
  <c r="AL122" i="151" s="1"/>
  <c r="AL117" i="151"/>
  <c r="AL118" i="151" s="1"/>
  <c r="AL121" i="151"/>
  <c r="AJ117" i="151"/>
  <c r="AJ118" i="151" s="1"/>
  <c r="AJ121" i="151" s="1"/>
  <c r="AR94" i="160"/>
  <c r="AF94" i="160"/>
  <c r="U94" i="160"/>
  <c r="L94" i="160"/>
  <c r="S94" i="160"/>
  <c r="AO94" i="160"/>
  <c r="R94" i="160"/>
  <c r="AN94" i="160"/>
  <c r="K94" i="160"/>
  <c r="AL94" i="160"/>
  <c r="J94" i="160"/>
  <c r="AD94" i="160"/>
  <c r="I94" i="160"/>
  <c r="AC94" i="160"/>
  <c r="AB94" i="160"/>
  <c r="T94" i="160"/>
  <c r="Y106" i="160"/>
  <c r="AM94" i="160"/>
  <c r="AG94" i="160"/>
  <c r="F106" i="160"/>
  <c r="F108" i="160" s="1"/>
  <c r="F110" i="160" s="1"/>
  <c r="AI94" i="160"/>
  <c r="G106" i="159"/>
  <c r="G97" i="159"/>
  <c r="M99" i="159"/>
  <c r="M109" i="159" s="1"/>
  <c r="P99" i="158"/>
  <c r="P109" i="158" s="1"/>
  <c r="H99" i="159"/>
  <c r="H109" i="159" s="1"/>
  <c r="O97" i="158"/>
  <c r="O106" i="158"/>
  <c r="AQ94" i="158"/>
  <c r="AA94" i="158"/>
  <c r="K94" i="158"/>
  <c r="AO94" i="158"/>
  <c r="Y94" i="158"/>
  <c r="I94" i="158"/>
  <c r="AM94" i="158"/>
  <c r="W94" i="158"/>
  <c r="G94" i="158"/>
  <c r="AJ94" i="158"/>
  <c r="T94" i="158"/>
  <c r="AI94" i="158"/>
  <c r="S94" i="158"/>
  <c r="AG94" i="158"/>
  <c r="Q94" i="158"/>
  <c r="Z94" i="158"/>
  <c r="F94" i="158"/>
  <c r="P106" i="157"/>
  <c r="P108" i="157" s="1"/>
  <c r="P110" i="157" s="1"/>
  <c r="T106" i="156"/>
  <c r="T97" i="156"/>
  <c r="AO108" i="156"/>
  <c r="AO110" i="156" s="1"/>
  <c r="O97" i="155"/>
  <c r="O106" i="155"/>
  <c r="F123" i="155"/>
  <c r="F99" i="155"/>
  <c r="F109" i="155" s="1"/>
  <c r="J106" i="157"/>
  <c r="J97" i="157"/>
  <c r="AI108" i="157"/>
  <c r="AI110" i="157" s="1"/>
  <c r="M123" i="157"/>
  <c r="M99" i="157"/>
  <c r="M109" i="157" s="1"/>
  <c r="K106" i="155"/>
  <c r="N114" i="157"/>
  <c r="F114" i="157"/>
  <c r="N113" i="157"/>
  <c r="N115" i="157" s="1"/>
  <c r="F113" i="157"/>
  <c r="D121" i="157"/>
  <c r="M114" i="157"/>
  <c r="E114" i="157"/>
  <c r="M113" i="157"/>
  <c r="E113" i="157"/>
  <c r="R114" i="157"/>
  <c r="J114" i="157"/>
  <c r="R113" i="157"/>
  <c r="J113" i="157"/>
  <c r="J115" i="157" s="1"/>
  <c r="P114" i="157"/>
  <c r="H114" i="157"/>
  <c r="P113" i="157"/>
  <c r="H113" i="157"/>
  <c r="S114" i="157"/>
  <c r="S113" i="157"/>
  <c r="Q114" i="157"/>
  <c r="Q113" i="157"/>
  <c r="Q115" i="157" s="1"/>
  <c r="O114" i="157"/>
  <c r="O113" i="157"/>
  <c r="O115" i="157" s="1"/>
  <c r="L114" i="157"/>
  <c r="L113" i="157"/>
  <c r="L115" i="157" s="1"/>
  <c r="K114" i="157"/>
  <c r="K113" i="157"/>
  <c r="I114" i="157"/>
  <c r="I113" i="157"/>
  <c r="I115" i="157" s="1"/>
  <c r="G114" i="157"/>
  <c r="G113" i="157"/>
  <c r="G115" i="157" s="1"/>
  <c r="AC117" i="155"/>
  <c r="AC118" i="155" s="1"/>
  <c r="AC121" i="155" s="1"/>
  <c r="E99" i="155"/>
  <c r="E109" i="155" s="1"/>
  <c r="L115" i="153"/>
  <c r="I115" i="153"/>
  <c r="L108" i="155"/>
  <c r="L110" i="155" s="1"/>
  <c r="Z94" i="154"/>
  <c r="AD94" i="154"/>
  <c r="I94" i="154"/>
  <c r="AP108" i="155"/>
  <c r="AP110" i="155" s="1"/>
  <c r="AL117" i="153"/>
  <c r="AL118" i="153" s="1"/>
  <c r="AL121" i="153" s="1"/>
  <c r="H106" i="154"/>
  <c r="G123" i="151"/>
  <c r="D129" i="151" s="1"/>
  <c r="G99" i="151"/>
  <c r="G109" i="151" s="1"/>
  <c r="AP106" i="152"/>
  <c r="AP108" i="152" s="1"/>
  <c r="AP110" i="152" s="1"/>
  <c r="AF106" i="151"/>
  <c r="AF108" i="151" s="1"/>
  <c r="AF110" i="151" s="1"/>
  <c r="O123" i="153"/>
  <c r="O99" i="153"/>
  <c r="O109" i="153" s="1"/>
  <c r="O110" i="153" s="1"/>
  <c r="Q97" i="153"/>
  <c r="Q106" i="153"/>
  <c r="AH106" i="153"/>
  <c r="AH97" i="153"/>
  <c r="AH105" i="153" s="1"/>
  <c r="T97" i="153"/>
  <c r="T106" i="153"/>
  <c r="AN108" i="151"/>
  <c r="AN110" i="151" s="1"/>
  <c r="R114" i="151"/>
  <c r="J114" i="151"/>
  <c r="R113" i="151"/>
  <c r="J113" i="151"/>
  <c r="J115" i="151" s="1"/>
  <c r="P114" i="151"/>
  <c r="H114" i="151"/>
  <c r="P113" i="151"/>
  <c r="P115" i="151" s="1"/>
  <c r="H113" i="151"/>
  <c r="H115" i="151" s="1"/>
  <c r="D121" i="151"/>
  <c r="M114" i="151"/>
  <c r="E114" i="151"/>
  <c r="M113" i="151"/>
  <c r="M115" i="151" s="1"/>
  <c r="E113" i="151"/>
  <c r="S114" i="151"/>
  <c r="F114" i="151"/>
  <c r="I113" i="151"/>
  <c r="I115" i="151" s="1"/>
  <c r="O114" i="151"/>
  <c r="F113" i="151"/>
  <c r="Q114" i="151"/>
  <c r="G113" i="151"/>
  <c r="G115" i="151" s="1"/>
  <c r="S113" i="151"/>
  <c r="N114" i="151"/>
  <c r="Q113" i="151"/>
  <c r="Q115" i="151" s="1"/>
  <c r="L114" i="151"/>
  <c r="O113" i="151"/>
  <c r="O115" i="151" s="1"/>
  <c r="G114" i="151"/>
  <c r="K114" i="151"/>
  <c r="N113" i="151"/>
  <c r="N115" i="151" s="1"/>
  <c r="I114" i="151"/>
  <c r="L113" i="151"/>
  <c r="K113" i="151"/>
  <c r="K115" i="151" s="1"/>
  <c r="AD117" i="151"/>
  <c r="AD118" i="151" s="1"/>
  <c r="AD121" i="151" s="1"/>
  <c r="AB108" i="151"/>
  <c r="AB110" i="151" s="1"/>
  <c r="W97" i="155"/>
  <c r="W106" i="155"/>
  <c r="P123" i="157"/>
  <c r="P99" i="157"/>
  <c r="P109" i="157" s="1"/>
  <c r="D137" i="157"/>
  <c r="D138" i="157" s="1"/>
  <c r="E97" i="157"/>
  <c r="N114" i="156"/>
  <c r="F114" i="156"/>
  <c r="N113" i="156"/>
  <c r="N115" i="156" s="1"/>
  <c r="F113" i="156"/>
  <c r="D121" i="156"/>
  <c r="M114" i="156"/>
  <c r="E114" i="156"/>
  <c r="M113" i="156"/>
  <c r="E113" i="156"/>
  <c r="E115" i="156" s="1"/>
  <c r="R114" i="156"/>
  <c r="J114" i="156"/>
  <c r="R113" i="156"/>
  <c r="J113" i="156"/>
  <c r="P114" i="156"/>
  <c r="H114" i="156"/>
  <c r="P113" i="156"/>
  <c r="H113" i="156"/>
  <c r="H115" i="156" s="1"/>
  <c r="I114" i="156"/>
  <c r="I113" i="156"/>
  <c r="I115" i="156" s="1"/>
  <c r="G114" i="156"/>
  <c r="G113" i="156"/>
  <c r="G115" i="156" s="1"/>
  <c r="S114" i="156"/>
  <c r="S113" i="156"/>
  <c r="Q114" i="156"/>
  <c r="Q113" i="156"/>
  <c r="Q115" i="156" s="1"/>
  <c r="O114" i="156"/>
  <c r="O113" i="156"/>
  <c r="O115" i="156" s="1"/>
  <c r="L114" i="156"/>
  <c r="L113" i="156"/>
  <c r="L115" i="156" s="1"/>
  <c r="K114" i="156"/>
  <c r="K113" i="156"/>
  <c r="AG108" i="159"/>
  <c r="AG110" i="159" s="1"/>
  <c r="AC108" i="159"/>
  <c r="AC110" i="159" s="1"/>
  <c r="N108" i="158"/>
  <c r="AH106" i="158"/>
  <c r="AH97" i="158"/>
  <c r="AH105" i="158" s="1"/>
  <c r="AB106" i="156"/>
  <c r="AB97" i="156"/>
  <c r="AB105" i="156" s="1"/>
  <c r="J106" i="156"/>
  <c r="J97" i="156"/>
  <c r="G97" i="155"/>
  <c r="G106" i="155"/>
  <c r="X99" i="156"/>
  <c r="X109" i="156" s="1"/>
  <c r="R97" i="157"/>
  <c r="R106" i="157"/>
  <c r="AQ97" i="157"/>
  <c r="AQ105" i="157" s="1"/>
  <c r="AQ106" i="157"/>
  <c r="O97" i="157"/>
  <c r="O106" i="157"/>
  <c r="N123" i="156"/>
  <c r="N99" i="156"/>
  <c r="N109" i="156" s="1"/>
  <c r="AM121" i="155"/>
  <c r="AM120" i="155"/>
  <c r="AM122" i="155" s="1"/>
  <c r="AM117" i="155"/>
  <c r="AM118" i="155" s="1"/>
  <c r="U117" i="155"/>
  <c r="U118" i="155" s="1"/>
  <c r="U121" i="155" s="1"/>
  <c r="S114" i="155"/>
  <c r="K114" i="155"/>
  <c r="S113" i="155"/>
  <c r="S115" i="155" s="1"/>
  <c r="K113" i="155"/>
  <c r="K115" i="155" s="1"/>
  <c r="R114" i="155"/>
  <c r="J114" i="155"/>
  <c r="R113" i="155"/>
  <c r="J113" i="155"/>
  <c r="J115" i="155" s="1"/>
  <c r="D121" i="155"/>
  <c r="M114" i="155"/>
  <c r="E114" i="155"/>
  <c r="M113" i="155"/>
  <c r="M115" i="155" s="1"/>
  <c r="E113" i="155"/>
  <c r="I114" i="155"/>
  <c r="N113" i="155"/>
  <c r="H114" i="155"/>
  <c r="L113" i="155"/>
  <c r="G114" i="155"/>
  <c r="I113" i="155"/>
  <c r="I115" i="155" s="1"/>
  <c r="Q114" i="155"/>
  <c r="F114" i="155"/>
  <c r="H113" i="155"/>
  <c r="P114" i="155"/>
  <c r="G113" i="155"/>
  <c r="G115" i="155" s="1"/>
  <c r="O114" i="155"/>
  <c r="Q113" i="155"/>
  <c r="F113" i="155"/>
  <c r="F115" i="155" s="1"/>
  <c r="N114" i="155"/>
  <c r="P113" i="155"/>
  <c r="P115" i="155" s="1"/>
  <c r="L114" i="155"/>
  <c r="O113" i="155"/>
  <c r="O115" i="155" s="1"/>
  <c r="M108" i="154"/>
  <c r="M110" i="154" s="1"/>
  <c r="K97" i="154"/>
  <c r="K106" i="154"/>
  <c r="AL97" i="154"/>
  <c r="AL105" i="154" s="1"/>
  <c r="AL108" i="154" s="1"/>
  <c r="AL110" i="154" s="1"/>
  <c r="AL106" i="154"/>
  <c r="AH108" i="155"/>
  <c r="AH110" i="155" s="1"/>
  <c r="AD120" i="153"/>
  <c r="AD122" i="153" s="1"/>
  <c r="AD117" i="153"/>
  <c r="AD118" i="153" s="1"/>
  <c r="AD121" i="153"/>
  <c r="R123" i="152"/>
  <c r="R99" i="152"/>
  <c r="R109" i="152" s="1"/>
  <c r="Q99" i="154"/>
  <c r="Q109" i="154" s="1"/>
  <c r="U106" i="152"/>
  <c r="X106" i="151"/>
  <c r="AC97" i="153"/>
  <c r="AC105" i="153" s="1"/>
  <c r="AC108" i="153" s="1"/>
  <c r="AC110" i="153" s="1"/>
  <c r="AC106" i="153"/>
  <c r="AP106" i="153"/>
  <c r="AP97" i="153"/>
  <c r="AP105" i="153" s="1"/>
  <c r="AP108" i="153" s="1"/>
  <c r="AP110" i="153" s="1"/>
  <c r="AB97" i="153"/>
  <c r="AB105" i="153" s="1"/>
  <c r="AB108" i="153" s="1"/>
  <c r="AB110" i="153" s="1"/>
  <c r="AB106" i="153"/>
  <c r="AH108" i="151"/>
  <c r="AH110" i="151" s="1"/>
  <c r="X105" i="151"/>
  <c r="X108" i="151" s="1"/>
  <c r="X110" i="151" s="1"/>
  <c r="T121" i="151"/>
  <c r="T117" i="151"/>
  <c r="T118" i="151" s="1"/>
  <c r="T120" i="151" s="1"/>
  <c r="T122" i="151" s="1"/>
  <c r="AI108" i="151"/>
  <c r="AI110" i="151" s="1"/>
  <c r="V97" i="154"/>
  <c r="V106" i="154"/>
  <c r="Z106" i="160"/>
  <c r="Z97" i="160"/>
  <c r="Z105" i="160" s="1"/>
  <c r="AP117" i="159"/>
  <c r="AP118" i="159" s="1"/>
  <c r="AP121" i="159" s="1"/>
  <c r="AH97" i="160"/>
  <c r="AH105" i="160" s="1"/>
  <c r="AH108" i="160" s="1"/>
  <c r="AH110" i="160" s="1"/>
  <c r="AH106" i="160"/>
  <c r="AB121" i="159"/>
  <c r="AB120" i="159"/>
  <c r="AB122" i="159" s="1"/>
  <c r="AB117" i="159"/>
  <c r="AB118" i="159" s="1"/>
  <c r="AD106" i="159"/>
  <c r="AD97" i="159"/>
  <c r="AD105" i="159" s="1"/>
  <c r="AM120" i="159"/>
  <c r="AM122" i="159" s="1"/>
  <c r="AM117" i="159"/>
  <c r="AM118" i="159" s="1"/>
  <c r="AM121" i="159" s="1"/>
  <c r="K97" i="159"/>
  <c r="K106" i="159"/>
  <c r="AF108" i="158"/>
  <c r="AF110" i="158" s="1"/>
  <c r="AP106" i="158"/>
  <c r="AP97" i="158"/>
  <c r="AP105" i="158" s="1"/>
  <c r="AL117" i="157"/>
  <c r="AL118" i="157" s="1"/>
  <c r="AL120" i="157" s="1"/>
  <c r="AL122" i="157" s="1"/>
  <c r="U105" i="157"/>
  <c r="L106" i="158"/>
  <c r="L108" i="158" s="1"/>
  <c r="L110" i="158" s="1"/>
  <c r="AO106" i="157"/>
  <c r="M117" i="156"/>
  <c r="M118" i="156" s="1"/>
  <c r="M121" i="156" s="1"/>
  <c r="AJ97" i="156"/>
  <c r="AJ105" i="156" s="1"/>
  <c r="AJ108" i="156" s="1"/>
  <c r="AJ110" i="156" s="1"/>
  <c r="AJ106" i="156"/>
  <c r="R106" i="156"/>
  <c r="R97" i="156"/>
  <c r="Z97" i="157"/>
  <c r="Z105" i="157" s="1"/>
  <c r="Z108" i="157" s="1"/>
  <c r="Z110" i="157" s="1"/>
  <c r="Z106" i="157"/>
  <c r="L97" i="157"/>
  <c r="L106" i="157"/>
  <c r="AC106" i="157"/>
  <c r="AC108" i="157" s="1"/>
  <c r="AC110" i="157" s="1"/>
  <c r="I99" i="157"/>
  <c r="I109" i="157" s="1"/>
  <c r="P108" i="156"/>
  <c r="P110" i="156" s="1"/>
  <c r="Y97" i="155"/>
  <c r="Y105" i="155" s="1"/>
  <c r="Y106" i="155"/>
  <c r="X97" i="155"/>
  <c r="X106" i="155"/>
  <c r="AA106" i="156"/>
  <c r="AA97" i="156"/>
  <c r="AA105" i="156" s="1"/>
  <c r="AA108" i="156" s="1"/>
  <c r="AA110" i="156" s="1"/>
  <c r="AQ97" i="156"/>
  <c r="AQ105" i="156" s="1"/>
  <c r="AQ106" i="156"/>
  <c r="D122" i="157"/>
  <c r="M110" i="155"/>
  <c r="D122" i="155"/>
  <c r="AF121" i="155"/>
  <c r="AF120" i="155"/>
  <c r="AF122" i="155" s="1"/>
  <c r="AF117" i="155"/>
  <c r="AF118" i="155" s="1"/>
  <c r="AD108" i="155"/>
  <c r="AD110" i="155" s="1"/>
  <c r="D137" i="154"/>
  <c r="D138" i="154" s="1"/>
  <c r="E97" i="154"/>
  <c r="AE94" i="154"/>
  <c r="O94" i="154"/>
  <c r="AR94" i="154"/>
  <c r="AB94" i="154"/>
  <c r="N94" i="154"/>
  <c r="AQ94" i="154"/>
  <c r="AA94" i="154"/>
  <c r="L94" i="154"/>
  <c r="AI94" i="154"/>
  <c r="S94" i="154"/>
  <c r="F94" i="154"/>
  <c r="AH94" i="154"/>
  <c r="R94" i="154"/>
  <c r="Y94" i="154"/>
  <c r="W94" i="154"/>
  <c r="Q105" i="154"/>
  <c r="Q108" i="154" s="1"/>
  <c r="T94" i="154"/>
  <c r="V108" i="153"/>
  <c r="V110" i="153" s="1"/>
  <c r="M114" i="154"/>
  <c r="E114" i="154"/>
  <c r="M113" i="154"/>
  <c r="E113" i="154"/>
  <c r="E115" i="154" s="1"/>
  <c r="L114" i="154"/>
  <c r="L113" i="154"/>
  <c r="L115" i="154" s="1"/>
  <c r="R114" i="154"/>
  <c r="J114" i="154"/>
  <c r="R113" i="154"/>
  <c r="J113" i="154"/>
  <c r="J115" i="154" s="1"/>
  <c r="D121" i="154"/>
  <c r="Q114" i="154"/>
  <c r="I114" i="154"/>
  <c r="Q113" i="154"/>
  <c r="I113" i="154"/>
  <c r="I115" i="154" s="1"/>
  <c r="K114" i="154"/>
  <c r="N113" i="154"/>
  <c r="N115" i="154" s="1"/>
  <c r="H114" i="154"/>
  <c r="K113" i="154"/>
  <c r="G114" i="154"/>
  <c r="H113" i="154"/>
  <c r="F114" i="154"/>
  <c r="G113" i="154"/>
  <c r="S114" i="154"/>
  <c r="F113" i="154"/>
  <c r="F115" i="154" s="1"/>
  <c r="P114" i="154"/>
  <c r="S113" i="154"/>
  <c r="O114" i="154"/>
  <c r="P113" i="154"/>
  <c r="N114" i="154"/>
  <c r="O113" i="154"/>
  <c r="L94" i="152"/>
  <c r="AL94" i="152"/>
  <c r="AG94" i="152"/>
  <c r="T94" i="152"/>
  <c r="G94" i="152"/>
  <c r="AR94" i="152"/>
  <c r="AE94" i="152"/>
  <c r="S94" i="152"/>
  <c r="F94" i="152"/>
  <c r="AQ94" i="152"/>
  <c r="AD94" i="152"/>
  <c r="Q94" i="152"/>
  <c r="AO94" i="152"/>
  <c r="AB94" i="152"/>
  <c r="O94" i="152"/>
  <c r="AM94" i="152"/>
  <c r="AA94" i="152"/>
  <c r="N94" i="152"/>
  <c r="Y94" i="152"/>
  <c r="Z94" i="152"/>
  <c r="AK108" i="153"/>
  <c r="AK110" i="153" s="1"/>
  <c r="V94" i="152"/>
  <c r="AH106" i="152"/>
  <c r="L114" i="152"/>
  <c r="L113" i="152"/>
  <c r="L115" i="152" s="1"/>
  <c r="S114" i="152"/>
  <c r="K114" i="152"/>
  <c r="S113" i="152"/>
  <c r="K113" i="152"/>
  <c r="K115" i="152" s="1"/>
  <c r="R114" i="152"/>
  <c r="J114" i="152"/>
  <c r="R113" i="152"/>
  <c r="R115" i="152" s="1"/>
  <c r="J113" i="152"/>
  <c r="J115" i="152" s="1"/>
  <c r="Q114" i="152"/>
  <c r="F114" i="152"/>
  <c r="I113" i="152"/>
  <c r="P114" i="152"/>
  <c r="E114" i="152"/>
  <c r="H113" i="152"/>
  <c r="D121" i="152"/>
  <c r="N114" i="152"/>
  <c r="Q113" i="152"/>
  <c r="Q115" i="152" s="1"/>
  <c r="F113" i="152"/>
  <c r="F115" i="152" s="1"/>
  <c r="M114" i="152"/>
  <c r="P113" i="152"/>
  <c r="P115" i="152" s="1"/>
  <c r="E113" i="152"/>
  <c r="E115" i="152" s="1"/>
  <c r="I114" i="152"/>
  <c r="O113" i="152"/>
  <c r="O115" i="152" s="1"/>
  <c r="H114" i="152"/>
  <c r="N113" i="152"/>
  <c r="O114" i="152"/>
  <c r="G114" i="152"/>
  <c r="M113" i="152"/>
  <c r="M115" i="152" s="1"/>
  <c r="G113" i="152"/>
  <c r="P106" i="151"/>
  <c r="M106" i="153"/>
  <c r="M97" i="153"/>
  <c r="AN106" i="153"/>
  <c r="AN97" i="153"/>
  <c r="AN105" i="153" s="1"/>
  <c r="AN108" i="153" s="1"/>
  <c r="AN110" i="153" s="1"/>
  <c r="G123" i="153"/>
  <c r="G99" i="153"/>
  <c r="G109" i="153" s="1"/>
  <c r="G110" i="153" s="1"/>
  <c r="AJ97" i="153"/>
  <c r="AJ105" i="153" s="1"/>
  <c r="AJ106" i="153"/>
  <c r="AG108" i="151"/>
  <c r="AG110" i="151" s="1"/>
  <c r="D122" i="151"/>
  <c r="N108" i="151"/>
  <c r="N110" i="151" s="1"/>
  <c r="L108" i="151"/>
  <c r="L110" i="151" s="1"/>
  <c r="AJ121" i="159"/>
  <c r="AJ117" i="159"/>
  <c r="AJ118" i="159" s="1"/>
  <c r="AJ120" i="159" s="1"/>
  <c r="AJ122" i="159" s="1"/>
  <c r="T117" i="159"/>
  <c r="T118" i="159" s="1"/>
  <c r="T121" i="159" s="1"/>
  <c r="M106" i="159"/>
  <c r="AK106" i="158"/>
  <c r="AK108" i="158" s="1"/>
  <c r="AK110" i="158" s="1"/>
  <c r="S97" i="159"/>
  <c r="S106" i="159"/>
  <c r="X110" i="158"/>
  <c r="Z97" i="159"/>
  <c r="Z105" i="159" s="1"/>
  <c r="Z106" i="159"/>
  <c r="D137" i="158"/>
  <c r="D138" i="158" s="1"/>
  <c r="E97" i="158"/>
  <c r="N99" i="158"/>
  <c r="N109" i="158" s="1"/>
  <c r="N114" i="158"/>
  <c r="F114" i="158"/>
  <c r="N113" i="158"/>
  <c r="F113" i="158"/>
  <c r="F115" i="158" s="1"/>
  <c r="M114" i="158"/>
  <c r="E114" i="158"/>
  <c r="M113" i="158"/>
  <c r="E113" i="158"/>
  <c r="D121" i="158"/>
  <c r="R114" i="158"/>
  <c r="J114" i="158"/>
  <c r="R113" i="158"/>
  <c r="R115" i="158" s="1"/>
  <c r="J113" i="158"/>
  <c r="P114" i="158"/>
  <c r="H114" i="158"/>
  <c r="P113" i="158"/>
  <c r="H113" i="158"/>
  <c r="H115" i="158" s="1"/>
  <c r="L114" i="158"/>
  <c r="L113" i="158"/>
  <c r="K114" i="158"/>
  <c r="K113" i="158"/>
  <c r="I114" i="158"/>
  <c r="I113" i="158"/>
  <c r="G114" i="158"/>
  <c r="G113" i="158"/>
  <c r="G115" i="158" s="1"/>
  <c r="S114" i="158"/>
  <c r="S113" i="158"/>
  <c r="Q114" i="158"/>
  <c r="Q113" i="158"/>
  <c r="O114" i="158"/>
  <c r="O113" i="158"/>
  <c r="AR106" i="156"/>
  <c r="AR97" i="156"/>
  <c r="AR105" i="156" s="1"/>
  <c r="AR108" i="156" s="1"/>
  <c r="AR110" i="156" s="1"/>
  <c r="Z106" i="156"/>
  <c r="Z97" i="156"/>
  <c r="Z105" i="156" s="1"/>
  <c r="AH106" i="157"/>
  <c r="AH97" i="157"/>
  <c r="AH105" i="157" s="1"/>
  <c r="T97" i="157"/>
  <c r="T106" i="157"/>
  <c r="AF106" i="156"/>
  <c r="AF108" i="156" s="1"/>
  <c r="AF110" i="156" s="1"/>
  <c r="H110" i="156"/>
  <c r="N106" i="156"/>
  <c r="N108" i="156" s="1"/>
  <c r="N110" i="156" s="1"/>
  <c r="Q123" i="155"/>
  <c r="Q99" i="155"/>
  <c r="Q109" i="155" s="1"/>
  <c r="K123" i="155"/>
  <c r="K99" i="155"/>
  <c r="K109" i="155" s="1"/>
  <c r="K106" i="156"/>
  <c r="K97" i="156"/>
  <c r="AM97" i="156"/>
  <c r="AM105" i="156" s="1"/>
  <c r="AM106" i="156"/>
  <c r="F123" i="156"/>
  <c r="F99" i="156"/>
  <c r="F109" i="156" s="1"/>
  <c r="L99" i="158"/>
  <c r="L109" i="158" s="1"/>
  <c r="E105" i="155"/>
  <c r="E108" i="155" s="1"/>
  <c r="E110" i="155" s="1"/>
  <c r="AO106" i="155"/>
  <c r="AO108" i="155" s="1"/>
  <c r="AO110" i="155" s="1"/>
  <c r="H99" i="154"/>
  <c r="H109" i="154" s="1"/>
  <c r="H123" i="154"/>
  <c r="H105" i="154"/>
  <c r="H108" i="154" s="1"/>
  <c r="H110" i="154" s="1"/>
  <c r="J94" i="154"/>
  <c r="G94" i="154"/>
  <c r="N110" i="153"/>
  <c r="D122" i="154"/>
  <c r="H97" i="152"/>
  <c r="H106" i="152"/>
  <c r="I94" i="152"/>
  <c r="AP117" i="151"/>
  <c r="AP118" i="151" s="1"/>
  <c r="AP121" i="151" s="1"/>
  <c r="AK106" i="152"/>
  <c r="AK108" i="152" s="1"/>
  <c r="AK110" i="152" s="1"/>
  <c r="X106" i="153"/>
  <c r="X97" i="153"/>
  <c r="D137" i="153"/>
  <c r="D138" i="153" s="1"/>
  <c r="E97" i="153"/>
  <c r="AR106" i="153"/>
  <c r="AR97" i="153"/>
  <c r="AR105" i="153" s="1"/>
  <c r="AR108" i="153" s="1"/>
  <c r="AR110" i="153" s="1"/>
  <c r="U105" i="152"/>
  <c r="G105" i="151"/>
  <c r="F121" i="151"/>
  <c r="F117" i="151"/>
  <c r="F118" i="151" s="1"/>
  <c r="AM106" i="151"/>
  <c r="AM108" i="151" s="1"/>
  <c r="AM110" i="151" s="1"/>
  <c r="R106" i="158"/>
  <c r="R97" i="158"/>
  <c r="AQ117" i="160"/>
  <c r="AQ118" i="160" s="1"/>
  <c r="AQ120" i="160" s="1"/>
  <c r="AQ122" i="160" s="1"/>
  <c r="AQ121" i="160"/>
  <c r="AE106" i="160"/>
  <c r="AE108" i="160" s="1"/>
  <c r="AE110" i="160" s="1"/>
  <c r="AL97" i="155"/>
  <c r="AL105" i="155" s="1"/>
  <c r="AL108" i="155" s="1"/>
  <c r="AL110" i="155" s="1"/>
  <c r="AL106" i="155"/>
  <c r="I123" i="155"/>
  <c r="I99" i="155"/>
  <c r="I109" i="155" s="1"/>
  <c r="W97" i="156"/>
  <c r="W106" i="156"/>
  <c r="O97" i="156"/>
  <c r="O106" i="156"/>
  <c r="S106" i="156"/>
  <c r="S97" i="156"/>
  <c r="AG105" i="155"/>
  <c r="AG106" i="155"/>
  <c r="N106" i="155"/>
  <c r="V120" i="155"/>
  <c r="V122" i="155" s="1"/>
  <c r="V121" i="155"/>
  <c r="V117" i="155"/>
  <c r="V118" i="155" s="1"/>
  <c r="P97" i="154"/>
  <c r="P106" i="154"/>
  <c r="F105" i="153"/>
  <c r="AM106" i="153"/>
  <c r="AM108" i="153" s="1"/>
  <c r="AM110" i="153" s="1"/>
  <c r="K106" i="152"/>
  <c r="K97" i="152"/>
  <c r="P97" i="152"/>
  <c r="P106" i="152"/>
  <c r="U120" i="153"/>
  <c r="U122" i="153" s="1"/>
  <c r="U117" i="153"/>
  <c r="U118" i="153" s="1"/>
  <c r="U121" i="153"/>
  <c r="AA121" i="153"/>
  <c r="AA120" i="153"/>
  <c r="AA122" i="153" s="1"/>
  <c r="AA117" i="153"/>
  <c r="AA118" i="153" s="1"/>
  <c r="D122" i="152"/>
  <c r="P106" i="153"/>
  <c r="P97" i="153"/>
  <c r="AF106" i="153"/>
  <c r="AF97" i="153"/>
  <c r="AF105" i="153" s="1"/>
  <c r="E99" i="151"/>
  <c r="E109" i="151" s="1"/>
  <c r="E110" i="151" s="1"/>
  <c r="AE106" i="151"/>
  <c r="AE97" i="158"/>
  <c r="AE105" i="158" s="1"/>
  <c r="AE106" i="158"/>
  <c r="AO108" i="157"/>
  <c r="AO110" i="157" s="1"/>
  <c r="X117" i="159"/>
  <c r="X118" i="159" s="1"/>
  <c r="X120" i="159" s="1"/>
  <c r="X122" i="159" s="1"/>
  <c r="M97" i="160"/>
  <c r="M106" i="160"/>
  <c r="F123" i="160"/>
  <c r="F99" i="160"/>
  <c r="F109" i="160" s="1"/>
  <c r="V106" i="159"/>
  <c r="V97" i="159"/>
  <c r="M105" i="159"/>
  <c r="R97" i="159"/>
  <c r="R106" i="159"/>
  <c r="N105" i="160"/>
  <c r="N108" i="160" s="1"/>
  <c r="N110" i="160" s="1"/>
  <c r="P106" i="159"/>
  <c r="P108" i="159" s="1"/>
  <c r="P110" i="159" s="1"/>
  <c r="AB97" i="157"/>
  <c r="AB105" i="157" s="1"/>
  <c r="AB106" i="157"/>
  <c r="I106" i="156"/>
  <c r="U106" i="157"/>
  <c r="O94" i="160"/>
  <c r="F106" i="159"/>
  <c r="F97" i="159"/>
  <c r="AO106" i="159"/>
  <c r="AO108" i="159" s="1"/>
  <c r="AO110" i="159" s="1"/>
  <c r="P114" i="159"/>
  <c r="H114" i="159"/>
  <c r="P113" i="159"/>
  <c r="P115" i="159" s="1"/>
  <c r="H113" i="159"/>
  <c r="D121" i="159"/>
  <c r="M114" i="159"/>
  <c r="E114" i="159"/>
  <c r="M113" i="159"/>
  <c r="M115" i="159" s="1"/>
  <c r="E113" i="159"/>
  <c r="E115" i="159" s="1"/>
  <c r="L114" i="159"/>
  <c r="R113" i="159"/>
  <c r="R115" i="159" s="1"/>
  <c r="G113" i="159"/>
  <c r="K114" i="159"/>
  <c r="Q113" i="159"/>
  <c r="F113" i="159"/>
  <c r="Q114" i="159"/>
  <c r="F114" i="159"/>
  <c r="K113" i="159"/>
  <c r="G114" i="159"/>
  <c r="S114" i="159"/>
  <c r="S113" i="159"/>
  <c r="S115" i="159" s="1"/>
  <c r="O114" i="159"/>
  <c r="N113" i="159"/>
  <c r="N114" i="159"/>
  <c r="L113" i="159"/>
  <c r="L115" i="159" s="1"/>
  <c r="J114" i="159"/>
  <c r="J113" i="159"/>
  <c r="J115" i="159" s="1"/>
  <c r="R114" i="159"/>
  <c r="I114" i="159"/>
  <c r="O113" i="159"/>
  <c r="O115" i="159" s="1"/>
  <c r="I113" i="159"/>
  <c r="L99" i="159"/>
  <c r="L109" i="159" s="1"/>
  <c r="V106" i="158"/>
  <c r="V108" i="158" s="1"/>
  <c r="V110" i="158" s="1"/>
  <c r="AI97" i="159"/>
  <c r="AI105" i="159" s="1"/>
  <c r="AI106" i="159"/>
  <c r="H105" i="158"/>
  <c r="AR94" i="158"/>
  <c r="AN94" i="158"/>
  <c r="U94" i="158"/>
  <c r="AN106" i="157"/>
  <c r="M105" i="158"/>
  <c r="M108" i="158" s="1"/>
  <c r="M110" i="158" s="1"/>
  <c r="Q106" i="157"/>
  <c r="I105" i="157"/>
  <c r="Q97" i="156"/>
  <c r="Q106" i="156"/>
  <c r="AP106" i="156"/>
  <c r="AP97" i="156"/>
  <c r="AP105" i="156" s="1"/>
  <c r="AP108" i="156" s="1"/>
  <c r="AP110" i="156" s="1"/>
  <c r="AE94" i="157"/>
  <c r="G94" i="157"/>
  <c r="Y94" i="157"/>
  <c r="K94" i="157"/>
  <c r="AJ94" i="157"/>
  <c r="N94" i="157"/>
  <c r="P106" i="156"/>
  <c r="D122" i="156"/>
  <c r="AL106" i="156"/>
  <c r="AL108" i="156" s="1"/>
  <c r="AL110" i="156" s="1"/>
  <c r="F106" i="156"/>
  <c r="U106" i="156"/>
  <c r="U108" i="156" s="1"/>
  <c r="U110" i="156" s="1"/>
  <c r="AE97" i="156"/>
  <c r="AE105" i="156" s="1"/>
  <c r="AE106" i="156"/>
  <c r="H117" i="155"/>
  <c r="H118" i="155" s="1"/>
  <c r="H121" i="155" s="1"/>
  <c r="Q106" i="155"/>
  <c r="Q108" i="155" s="1"/>
  <c r="Q110" i="155" s="1"/>
  <c r="D122" i="153"/>
  <c r="F106" i="155"/>
  <c r="F108" i="155" s="1"/>
  <c r="F110" i="155" s="1"/>
  <c r="AC94" i="154"/>
  <c r="X94" i="154"/>
  <c r="U106" i="154"/>
  <c r="U108" i="154" s="1"/>
  <c r="U110" i="154" s="1"/>
  <c r="AJ106" i="154"/>
  <c r="AJ108" i="154" s="1"/>
  <c r="AJ110" i="154" s="1"/>
  <c r="R115" i="153"/>
  <c r="P110" i="155"/>
  <c r="E94" i="152"/>
  <c r="X94" i="152"/>
  <c r="N123" i="153"/>
  <c r="N99" i="153"/>
  <c r="N109" i="153" s="1"/>
  <c r="J106" i="153"/>
  <c r="J97" i="153"/>
  <c r="H105" i="151"/>
  <c r="H108" i="151" s="1"/>
  <c r="H110" i="151" s="1"/>
  <c r="I108" i="151"/>
  <c r="I110" i="151" s="1"/>
  <c r="H99" i="151"/>
  <c r="H109" i="151" s="1"/>
  <c r="AI94" i="152"/>
  <c r="O106" i="151"/>
  <c r="O108" i="151" s="1"/>
  <c r="O110" i="151" s="1"/>
  <c r="O97" i="159"/>
  <c r="O106" i="159"/>
  <c r="D137" i="159"/>
  <c r="D138" i="159" s="1"/>
  <c r="E97" i="159"/>
  <c r="X120" i="157"/>
  <c r="X122" i="157" s="1"/>
  <c r="X117" i="157"/>
  <c r="X118" i="157" s="1"/>
  <c r="X121" i="157"/>
  <c r="AK117" i="156"/>
  <c r="AK118" i="156" s="1"/>
  <c r="AK121" i="156" s="1"/>
  <c r="AG97" i="156"/>
  <c r="AG105" i="156" s="1"/>
  <c r="AG108" i="156" s="1"/>
  <c r="AG110" i="156" s="1"/>
  <c r="AG106" i="156"/>
  <c r="AA97" i="157"/>
  <c r="AA105" i="157" s="1"/>
  <c r="AA108" i="157" s="1"/>
  <c r="AA110" i="157" s="1"/>
  <c r="AA106" i="157"/>
  <c r="AN121" i="156"/>
  <c r="AN117" i="156"/>
  <c r="AN118" i="156" s="1"/>
  <c r="AN120" i="156" s="1"/>
  <c r="AN122" i="156" s="1"/>
  <c r="X97" i="160"/>
  <c r="X105" i="160" s="1"/>
  <c r="X106" i="160"/>
  <c r="D122" i="160"/>
  <c r="AL97" i="159"/>
  <c r="AL105" i="159" s="1"/>
  <c r="AL108" i="159" s="1"/>
  <c r="AL110" i="159" s="1"/>
  <c r="AL106" i="159"/>
  <c r="Y106" i="159"/>
  <c r="Y108" i="159" s="1"/>
  <c r="Y110" i="159" s="1"/>
  <c r="P123" i="159"/>
  <c r="P99" i="159"/>
  <c r="P109" i="159" s="1"/>
  <c r="AP106" i="160"/>
  <c r="AP97" i="160"/>
  <c r="AP105" i="160" s="1"/>
  <c r="AP108" i="160" s="1"/>
  <c r="AP110" i="160" s="1"/>
  <c r="E97" i="160"/>
  <c r="D137" i="160"/>
  <c r="D138" i="160" s="1"/>
  <c r="E106" i="160"/>
  <c r="J99" i="159"/>
  <c r="J109" i="159" s="1"/>
  <c r="AK97" i="160"/>
  <c r="AK105" i="160" s="1"/>
  <c r="AK108" i="160" s="1"/>
  <c r="AK110" i="160" s="1"/>
  <c r="AK106" i="160"/>
  <c r="L105" i="159"/>
  <c r="L108" i="159" s="1"/>
  <c r="L110" i="159" s="1"/>
  <c r="N106" i="159"/>
  <c r="N97" i="159"/>
  <c r="J105" i="159"/>
  <c r="J108" i="159" s="1"/>
  <c r="AH97" i="159"/>
  <c r="AH105" i="159" s="1"/>
  <c r="AH106" i="159"/>
  <c r="AA97" i="159"/>
  <c r="AA105" i="159" s="1"/>
  <c r="AA108" i="159" s="1"/>
  <c r="AA110" i="159" s="1"/>
  <c r="AA106" i="159"/>
  <c r="P105" i="158"/>
  <c r="P108" i="158" s="1"/>
  <c r="P110" i="158" s="1"/>
  <c r="H106" i="158"/>
  <c r="D122" i="158"/>
  <c r="Q108" i="157"/>
  <c r="Q110" i="157" s="1"/>
  <c r="I123" i="156"/>
  <c r="I99" i="156"/>
  <c r="I109" i="156" s="1"/>
  <c r="I105" i="156"/>
  <c r="I108" i="156" s="1"/>
  <c r="I110" i="156" s="1"/>
  <c r="AH106" i="156"/>
  <c r="AH97" i="156"/>
  <c r="AH105" i="156" s="1"/>
  <c r="AH108" i="156" s="1"/>
  <c r="AH110" i="156" s="1"/>
  <c r="AM97" i="157"/>
  <c r="AM105" i="157" s="1"/>
  <c r="AM106" i="157"/>
  <c r="AP97" i="157"/>
  <c r="AP105" i="157" s="1"/>
  <c r="AP106" i="157"/>
  <c r="X106" i="156"/>
  <c r="X108" i="156" s="1"/>
  <c r="X110" i="156" s="1"/>
  <c r="AA94" i="160"/>
  <c r="P94" i="160"/>
  <c r="AE97" i="159"/>
  <c r="AE105" i="159" s="1"/>
  <c r="AE106" i="159"/>
  <c r="Q94" i="160"/>
  <c r="G94" i="160"/>
  <c r="W94" i="160"/>
  <c r="V106" i="160"/>
  <c r="V108" i="160" s="1"/>
  <c r="V110" i="160" s="1"/>
  <c r="AJ106" i="160"/>
  <c r="AJ108" i="160" s="1"/>
  <c r="AJ110" i="160" s="1"/>
  <c r="S114" i="160"/>
  <c r="K114" i="160"/>
  <c r="S113" i="160"/>
  <c r="K113" i="160"/>
  <c r="K115" i="160" s="1"/>
  <c r="R114" i="160"/>
  <c r="J114" i="160"/>
  <c r="Q114" i="160"/>
  <c r="I114" i="160"/>
  <c r="Q113" i="160"/>
  <c r="Q115" i="160" s="1"/>
  <c r="I113" i="160"/>
  <c r="P114" i="160"/>
  <c r="H114" i="160"/>
  <c r="P113" i="160"/>
  <c r="P115" i="160" s="1"/>
  <c r="O114" i="160"/>
  <c r="G114" i="160"/>
  <c r="O113" i="160"/>
  <c r="G113" i="160"/>
  <c r="G115" i="160" s="1"/>
  <c r="N114" i="160"/>
  <c r="F114" i="160"/>
  <c r="N113" i="160"/>
  <c r="N115" i="160" s="1"/>
  <c r="F113" i="160"/>
  <c r="F115" i="160" s="1"/>
  <c r="D121" i="160"/>
  <c r="L113" i="160"/>
  <c r="L115" i="160" s="1"/>
  <c r="J113" i="160"/>
  <c r="M114" i="160"/>
  <c r="H113" i="160"/>
  <c r="L114" i="160"/>
  <c r="E113" i="160"/>
  <c r="E114" i="160"/>
  <c r="R113" i="160"/>
  <c r="M113" i="160"/>
  <c r="W106" i="159"/>
  <c r="W97" i="159"/>
  <c r="D122" i="159"/>
  <c r="L106" i="159"/>
  <c r="H106" i="159"/>
  <c r="H108" i="159" s="1"/>
  <c r="H110" i="159" s="1"/>
  <c r="M106" i="158"/>
  <c r="Q123" i="159"/>
  <c r="Q99" i="159"/>
  <c r="Q109" i="159" s="1"/>
  <c r="Q110" i="159" s="1"/>
  <c r="AQ97" i="159"/>
  <c r="AQ105" i="159" s="1"/>
  <c r="AQ108" i="159" s="1"/>
  <c r="AQ110" i="159" s="1"/>
  <c r="AQ106" i="159"/>
  <c r="AB94" i="158"/>
  <c r="J94" i="158"/>
  <c r="AC94" i="158"/>
  <c r="I106" i="157"/>
  <c r="AF106" i="157"/>
  <c r="AD106" i="157"/>
  <c r="AD108" i="157" s="1"/>
  <c r="AD110" i="157" s="1"/>
  <c r="G97" i="156"/>
  <c r="G106" i="156"/>
  <c r="Y108" i="156"/>
  <c r="Y110" i="156" s="1"/>
  <c r="AE97" i="155"/>
  <c r="AE105" i="155" s="1"/>
  <c r="AE108" i="155" s="1"/>
  <c r="AE110" i="155" s="1"/>
  <c r="AE106" i="155"/>
  <c r="H94" i="157"/>
  <c r="AG94" i="157"/>
  <c r="S94" i="157"/>
  <c r="AR94" i="157"/>
  <c r="V94" i="157"/>
  <c r="M106" i="157"/>
  <c r="M108" i="157" s="1"/>
  <c r="M110" i="157" s="1"/>
  <c r="F99" i="157"/>
  <c r="F109" i="157" s="1"/>
  <c r="F110" i="157" s="1"/>
  <c r="W94" i="157"/>
  <c r="I106" i="155"/>
  <c r="I108" i="155" s="1"/>
  <c r="I110" i="155" s="1"/>
  <c r="AK94" i="154"/>
  <c r="AF94" i="154"/>
  <c r="G115" i="153"/>
  <c r="AE106" i="153"/>
  <c r="AE108" i="153" s="1"/>
  <c r="AE110" i="153" s="1"/>
  <c r="AN106" i="154"/>
  <c r="F106" i="153"/>
  <c r="M94" i="152"/>
  <c r="AF94" i="152"/>
  <c r="R106" i="152"/>
  <c r="R108" i="152" s="1"/>
  <c r="R110" i="152" s="1"/>
  <c r="K105" i="153"/>
  <c r="K108" i="153" s="1"/>
  <c r="K110" i="153" s="1"/>
  <c r="AI106" i="153"/>
  <c r="AI108" i="153" s="1"/>
  <c r="AI110" i="153" s="1"/>
  <c r="Y94" i="153"/>
  <c r="AO94" i="153"/>
  <c r="R94" i="153"/>
  <c r="P99" i="151"/>
  <c r="P109" i="151" s="1"/>
  <c r="P105" i="151"/>
  <c r="P108" i="151" s="1"/>
  <c r="P110" i="151" s="1"/>
  <c r="G106" i="151"/>
  <c r="F30" i="149"/>
  <c r="D30" i="149"/>
  <c r="H30" i="149"/>
  <c r="Q117" i="155" l="1"/>
  <c r="Q118" i="155" s="1"/>
  <c r="Q121" i="155" s="1"/>
  <c r="G121" i="153"/>
  <c r="G117" i="153"/>
  <c r="G118" i="153" s="1"/>
  <c r="G120" i="153"/>
  <c r="G122" i="153" s="1"/>
  <c r="AD117" i="157"/>
  <c r="AD118" i="157" s="1"/>
  <c r="AD120" i="157" s="1"/>
  <c r="AD122" i="157" s="1"/>
  <c r="AD121" i="157"/>
  <c r="Q117" i="159"/>
  <c r="Q118" i="159" s="1"/>
  <c r="Q121" i="159" s="1"/>
  <c r="V121" i="160"/>
  <c r="V117" i="160"/>
  <c r="V118" i="160" s="1"/>
  <c r="V120" i="160" s="1"/>
  <c r="V122" i="160" s="1"/>
  <c r="X117" i="156"/>
  <c r="X118" i="156" s="1"/>
  <c r="X121" i="156" s="1"/>
  <c r="Y120" i="159"/>
  <c r="Y122" i="159" s="1"/>
  <c r="Y117" i="159"/>
  <c r="Y118" i="159" s="1"/>
  <c r="Y121" i="159"/>
  <c r="AC117" i="157"/>
  <c r="AC118" i="157" s="1"/>
  <c r="AC121" i="157" s="1"/>
  <c r="AF120" i="151"/>
  <c r="AF122" i="151" s="1"/>
  <c r="AF117" i="151"/>
  <c r="AF118" i="151" s="1"/>
  <c r="AF121" i="151"/>
  <c r="AP120" i="152"/>
  <c r="AP122" i="152" s="1"/>
  <c r="AP117" i="152"/>
  <c r="AP118" i="152" s="1"/>
  <c r="AP121" i="152" s="1"/>
  <c r="AJ120" i="160"/>
  <c r="AJ122" i="160" s="1"/>
  <c r="AJ117" i="160"/>
  <c r="AJ118" i="160" s="1"/>
  <c r="AJ121" i="160" s="1"/>
  <c r="AK117" i="152"/>
  <c r="AK118" i="152" s="1"/>
  <c r="AK121" i="152" s="1"/>
  <c r="U117" i="154"/>
  <c r="U118" i="154" s="1"/>
  <c r="U121" i="154" s="1"/>
  <c r="N120" i="156"/>
  <c r="N122" i="156" s="1"/>
  <c r="N117" i="156"/>
  <c r="N118" i="156" s="1"/>
  <c r="N121" i="156"/>
  <c r="H117" i="159"/>
  <c r="H118" i="159" s="1"/>
  <c r="H121" i="159" s="1"/>
  <c r="U117" i="156"/>
  <c r="U118" i="156" s="1"/>
  <c r="U121" i="156" s="1"/>
  <c r="L117" i="158"/>
  <c r="L118" i="158" s="1"/>
  <c r="L121" i="158" s="1"/>
  <c r="M120" i="151"/>
  <c r="M122" i="151" s="1"/>
  <c r="P117" i="157"/>
  <c r="P118" i="157" s="1"/>
  <c r="P121" i="157" s="1"/>
  <c r="R117" i="152"/>
  <c r="R118" i="152" s="1"/>
  <c r="R121" i="152" s="1"/>
  <c r="F117" i="157"/>
  <c r="F118" i="157" s="1"/>
  <c r="F121" i="157" s="1"/>
  <c r="O117" i="151"/>
  <c r="O118" i="151" s="1"/>
  <c r="O121" i="151" s="1"/>
  <c r="P117" i="159"/>
  <c r="P118" i="159" s="1"/>
  <c r="P121" i="159" s="1"/>
  <c r="E117" i="151"/>
  <c r="E118" i="151" s="1"/>
  <c r="E121" i="151"/>
  <c r="AM121" i="153"/>
  <c r="AM120" i="153"/>
  <c r="AM122" i="153" s="1"/>
  <c r="AM117" i="153"/>
  <c r="AM118" i="153" s="1"/>
  <c r="AO120" i="155"/>
  <c r="AO122" i="155" s="1"/>
  <c r="AO117" i="155"/>
  <c r="AO118" i="155" s="1"/>
  <c r="AO121" i="155" s="1"/>
  <c r="F117" i="160"/>
  <c r="F118" i="160" s="1"/>
  <c r="F121" i="160" s="1"/>
  <c r="AI117" i="153"/>
  <c r="AI118" i="153" s="1"/>
  <c r="AI121" i="153" s="1"/>
  <c r="AJ117" i="154"/>
  <c r="AJ118" i="154" s="1"/>
  <c r="AJ121" i="154" s="1"/>
  <c r="AE121" i="160"/>
  <c r="AE120" i="160"/>
  <c r="AE122" i="160" s="1"/>
  <c r="AE117" i="160"/>
  <c r="AE118" i="160" s="1"/>
  <c r="I117" i="155"/>
  <c r="I118" i="155" s="1"/>
  <c r="I121" i="155" s="1"/>
  <c r="V117" i="158"/>
  <c r="V118" i="158" s="1"/>
  <c r="V121" i="158" s="1"/>
  <c r="AF117" i="156"/>
  <c r="AF118" i="156" s="1"/>
  <c r="AF121" i="156" s="1"/>
  <c r="AK117" i="158"/>
  <c r="AK118" i="158" s="1"/>
  <c r="AK121" i="158" s="1"/>
  <c r="M121" i="157"/>
  <c r="M117" i="157"/>
  <c r="M118" i="157" s="1"/>
  <c r="F117" i="155"/>
  <c r="F118" i="155" s="1"/>
  <c r="F120" i="155"/>
  <c r="F122" i="155" s="1"/>
  <c r="F121" i="155"/>
  <c r="AL117" i="156"/>
  <c r="AL118" i="156" s="1"/>
  <c r="AL121" i="156" s="1"/>
  <c r="AO117" i="159"/>
  <c r="AO118" i="159" s="1"/>
  <c r="AO121" i="159" s="1"/>
  <c r="AO120" i="159"/>
  <c r="AO122" i="159" s="1"/>
  <c r="AE117" i="153"/>
  <c r="AE118" i="153" s="1"/>
  <c r="AE121" i="153" s="1"/>
  <c r="AM121" i="151"/>
  <c r="AM117" i="151"/>
  <c r="AM118" i="151" s="1"/>
  <c r="AM120" i="151"/>
  <c r="AM122" i="151" s="1"/>
  <c r="O121" i="153"/>
  <c r="O120" i="153"/>
  <c r="O122" i="153" s="1"/>
  <c r="O117" i="153"/>
  <c r="O118" i="153" s="1"/>
  <c r="K121" i="153"/>
  <c r="K117" i="153"/>
  <c r="K118" i="153" s="1"/>
  <c r="K120" i="153" s="1"/>
  <c r="K122" i="153" s="1"/>
  <c r="S97" i="157"/>
  <c r="S106" i="157"/>
  <c r="AH117" i="156"/>
  <c r="AH118" i="156" s="1"/>
  <c r="AH121" i="156" s="1"/>
  <c r="AL117" i="159"/>
  <c r="AL118" i="159" s="1"/>
  <c r="AL121" i="159" s="1"/>
  <c r="N97" i="157"/>
  <c r="N106" i="157"/>
  <c r="AR97" i="158"/>
  <c r="AR105" i="158" s="1"/>
  <c r="AR108" i="158" s="1"/>
  <c r="AR110" i="158" s="1"/>
  <c r="AR106" i="158"/>
  <c r="E123" i="158"/>
  <c r="E99" i="158"/>
  <c r="E109" i="158" s="1"/>
  <c r="AK117" i="153"/>
  <c r="AK118" i="153" s="1"/>
  <c r="AK120" i="153" s="1"/>
  <c r="AK122" i="153" s="1"/>
  <c r="AO97" i="152"/>
  <c r="AO105" i="152" s="1"/>
  <c r="AO106" i="152"/>
  <c r="G97" i="152"/>
  <c r="G106" i="152"/>
  <c r="Y97" i="154"/>
  <c r="Y105" i="154" s="1"/>
  <c r="Y106" i="154"/>
  <c r="AQ97" i="154"/>
  <c r="AQ105" i="154" s="1"/>
  <c r="AQ108" i="154" s="1"/>
  <c r="AQ110" i="154" s="1"/>
  <c r="AQ106" i="154"/>
  <c r="Z117" i="157"/>
  <c r="Z118" i="157" s="1"/>
  <c r="Z120" i="157" s="1"/>
  <c r="Z122" i="157" s="1"/>
  <c r="AC120" i="153"/>
  <c r="AC122" i="153" s="1"/>
  <c r="AC117" i="153"/>
  <c r="AC118" i="153" s="1"/>
  <c r="AC121" i="153"/>
  <c r="M117" i="154"/>
  <c r="M118" i="154" s="1"/>
  <c r="M121" i="154" s="1"/>
  <c r="W99" i="155"/>
  <c r="W109" i="155" s="1"/>
  <c r="W105" i="155"/>
  <c r="W108" i="155" s="1"/>
  <c r="W110" i="155" s="1"/>
  <c r="Z97" i="154"/>
  <c r="Z105" i="154" s="1"/>
  <c r="Z106" i="154"/>
  <c r="O123" i="155"/>
  <c r="O105" i="155"/>
  <c r="O108" i="155" s="1"/>
  <c r="O99" i="155"/>
  <c r="O109" i="155" s="1"/>
  <c r="AG97" i="158"/>
  <c r="AG105" i="158" s="1"/>
  <c r="AG108" i="158" s="1"/>
  <c r="AG110" i="158" s="1"/>
  <c r="AG106" i="158"/>
  <c r="I106" i="158"/>
  <c r="I97" i="158"/>
  <c r="AM97" i="160"/>
  <c r="AM105" i="160" s="1"/>
  <c r="AM106" i="160"/>
  <c r="AL97" i="160"/>
  <c r="AL105" i="160" s="1"/>
  <c r="AL106" i="160"/>
  <c r="AF97" i="160"/>
  <c r="AF105" i="160" s="1"/>
  <c r="AF108" i="160" s="1"/>
  <c r="AF110" i="160" s="1"/>
  <c r="AF106" i="160"/>
  <c r="AG120" i="153"/>
  <c r="AG122" i="153" s="1"/>
  <c r="AG117" i="153"/>
  <c r="AG118" i="153" s="1"/>
  <c r="AG121" i="153"/>
  <c r="AN121" i="154"/>
  <c r="AN117" i="154"/>
  <c r="AN118" i="154" s="1"/>
  <c r="AN120" i="154" s="1"/>
  <c r="AN122" i="154" s="1"/>
  <c r="H123" i="160"/>
  <c r="H105" i="160"/>
  <c r="H108" i="160" s="1"/>
  <c r="H99" i="160"/>
  <c r="H109" i="160" s="1"/>
  <c r="M117" i="151"/>
  <c r="M118" i="151" s="1"/>
  <c r="M121" i="151" s="1"/>
  <c r="AN117" i="157"/>
  <c r="AN118" i="157" s="1"/>
  <c r="AN120" i="157" s="1"/>
  <c r="AN122" i="157" s="1"/>
  <c r="AF117" i="157"/>
  <c r="AF118" i="157" s="1"/>
  <c r="AF120" i="157" s="1"/>
  <c r="AF122" i="157" s="1"/>
  <c r="F117" i="156"/>
  <c r="F118" i="156" s="1"/>
  <c r="F121" i="156"/>
  <c r="AH117" i="152"/>
  <c r="AH118" i="152" s="1"/>
  <c r="AH121" i="152" s="1"/>
  <c r="AE121" i="151"/>
  <c r="AE120" i="151"/>
  <c r="AE122" i="151" s="1"/>
  <c r="AE117" i="151"/>
  <c r="AE118" i="151" s="1"/>
  <c r="K110" i="155"/>
  <c r="AK97" i="154"/>
  <c r="AK105" i="154" s="1"/>
  <c r="AK108" i="154" s="1"/>
  <c r="AK110" i="154" s="1"/>
  <c r="AK106" i="154"/>
  <c r="AG97" i="157"/>
  <c r="AG105" i="157" s="1"/>
  <c r="AG106" i="157"/>
  <c r="J115" i="160"/>
  <c r="O115" i="160"/>
  <c r="P97" i="160"/>
  <c r="P106" i="160"/>
  <c r="E123" i="160"/>
  <c r="E99" i="160"/>
  <c r="E109" i="160" s="1"/>
  <c r="E105" i="160"/>
  <c r="E108" i="160" s="1"/>
  <c r="E110" i="160" s="1"/>
  <c r="D137" i="152"/>
  <c r="D138" i="152" s="1"/>
  <c r="E97" i="152"/>
  <c r="E106" i="152"/>
  <c r="AE108" i="156"/>
  <c r="AE110" i="156" s="1"/>
  <c r="AJ97" i="157"/>
  <c r="AJ105" i="157" s="1"/>
  <c r="AJ106" i="157"/>
  <c r="Q123" i="156"/>
  <c r="Q99" i="156"/>
  <c r="Q109" i="156" s="1"/>
  <c r="Q105" i="156"/>
  <c r="Q108" i="156" s="1"/>
  <c r="Q110" i="156" s="1"/>
  <c r="H108" i="158"/>
  <c r="H110" i="158" s="1"/>
  <c r="G115" i="159"/>
  <c r="H115" i="159"/>
  <c r="H120" i="159" s="1"/>
  <c r="H122" i="159" s="1"/>
  <c r="O97" i="160"/>
  <c r="O106" i="160"/>
  <c r="R123" i="159"/>
  <c r="R105" i="159"/>
  <c r="R108" i="159" s="1"/>
  <c r="R99" i="159"/>
  <c r="R109" i="159" s="1"/>
  <c r="X121" i="159"/>
  <c r="AF108" i="153"/>
  <c r="AF110" i="153" s="1"/>
  <c r="S123" i="156"/>
  <c r="S99" i="156"/>
  <c r="S109" i="156" s="1"/>
  <c r="S105" i="156"/>
  <c r="S108" i="156" s="1"/>
  <c r="S110" i="156" s="1"/>
  <c r="AP120" i="151"/>
  <c r="AP122" i="151" s="1"/>
  <c r="AH108" i="157"/>
  <c r="AH110" i="157" s="1"/>
  <c r="Q115" i="158"/>
  <c r="K115" i="158"/>
  <c r="J115" i="158"/>
  <c r="L117" i="151"/>
  <c r="L118" i="151" s="1"/>
  <c r="L121" i="151" s="1"/>
  <c r="I115" i="152"/>
  <c r="S115" i="152"/>
  <c r="Z97" i="152"/>
  <c r="Z105" i="152" s="1"/>
  <c r="Z106" i="152"/>
  <c r="Q97" i="152"/>
  <c r="Q106" i="152"/>
  <c r="T97" i="152"/>
  <c r="T106" i="152"/>
  <c r="S115" i="154"/>
  <c r="K115" i="154"/>
  <c r="M115" i="154"/>
  <c r="R97" i="154"/>
  <c r="R106" i="154"/>
  <c r="N97" i="154"/>
  <c r="N106" i="154"/>
  <c r="Y108" i="155"/>
  <c r="Y110" i="155" s="1"/>
  <c r="R123" i="156"/>
  <c r="R99" i="156"/>
  <c r="R109" i="156" s="1"/>
  <c r="R105" i="156"/>
  <c r="R108" i="156" s="1"/>
  <c r="AF121" i="158"/>
  <c r="AF117" i="158"/>
  <c r="AF118" i="158" s="1"/>
  <c r="AF120" i="158" s="1"/>
  <c r="AF122" i="158" s="1"/>
  <c r="Z108" i="160"/>
  <c r="Z110" i="160" s="1"/>
  <c r="X117" i="151"/>
  <c r="X118" i="151" s="1"/>
  <c r="X120" i="151" s="1"/>
  <c r="X122" i="151" s="1"/>
  <c r="X121" i="151"/>
  <c r="N115" i="155"/>
  <c r="R115" i="155"/>
  <c r="R120" i="155" s="1"/>
  <c r="R122" i="155" s="1"/>
  <c r="U120" i="155"/>
  <c r="U122" i="155" s="1"/>
  <c r="O123" i="157"/>
  <c r="O99" i="157"/>
  <c r="O109" i="157" s="1"/>
  <c r="O105" i="157"/>
  <c r="O108" i="157" s="1"/>
  <c r="J123" i="156"/>
  <c r="J99" i="156"/>
  <c r="J109" i="156" s="1"/>
  <c r="J105" i="156"/>
  <c r="J108" i="156" s="1"/>
  <c r="N110" i="158"/>
  <c r="AB117" i="151"/>
  <c r="AB118" i="151" s="1"/>
  <c r="AB121" i="151" s="1"/>
  <c r="AB120" i="151"/>
  <c r="AB122" i="151" s="1"/>
  <c r="R115" i="151"/>
  <c r="L117" i="155"/>
  <c r="L118" i="155" s="1"/>
  <c r="L121" i="155" s="1"/>
  <c r="AO117" i="156"/>
  <c r="AO118" i="156" s="1"/>
  <c r="AO121" i="156" s="1"/>
  <c r="S97" i="158"/>
  <c r="S106" i="158"/>
  <c r="Y106" i="158"/>
  <c r="Y97" i="158"/>
  <c r="Y105" i="158" s="1"/>
  <c r="K97" i="160"/>
  <c r="K106" i="160"/>
  <c r="AR97" i="160"/>
  <c r="AR105" i="160" s="1"/>
  <c r="AR106" i="160"/>
  <c r="I123" i="153"/>
  <c r="I105" i="153"/>
  <c r="I108" i="153" s="1"/>
  <c r="I99" i="153"/>
  <c r="I109" i="153" s="1"/>
  <c r="AO120" i="154"/>
  <c r="AO122" i="154" s="1"/>
  <c r="E123" i="156"/>
  <c r="E99" i="156"/>
  <c r="E109" i="156" s="1"/>
  <c r="E105" i="156"/>
  <c r="E108" i="156" s="1"/>
  <c r="E110" i="156" s="1"/>
  <c r="AR121" i="159"/>
  <c r="AF121" i="159"/>
  <c r="AC121" i="151"/>
  <c r="AQ121" i="155"/>
  <c r="AA117" i="157"/>
  <c r="AA118" i="157" s="1"/>
  <c r="AA121" i="157" s="1"/>
  <c r="M108" i="159"/>
  <c r="M110" i="159" s="1"/>
  <c r="AL120" i="155"/>
  <c r="AL122" i="155" s="1"/>
  <c r="AL117" i="155"/>
  <c r="AL118" i="155" s="1"/>
  <c r="AL121" i="155"/>
  <c r="G97" i="154"/>
  <c r="G106" i="154"/>
  <c r="N117" i="151"/>
  <c r="N118" i="151" s="1"/>
  <c r="N121" i="151" s="1"/>
  <c r="AN117" i="153"/>
  <c r="AN118" i="153" s="1"/>
  <c r="AN121" i="153" s="1"/>
  <c r="Y97" i="152"/>
  <c r="Y105" i="152" s="1"/>
  <c r="Y106" i="152"/>
  <c r="AD97" i="152"/>
  <c r="AD105" i="152" s="1"/>
  <c r="AD106" i="152"/>
  <c r="AG97" i="152"/>
  <c r="AG105" i="152" s="1"/>
  <c r="AG108" i="152" s="1"/>
  <c r="AG110" i="152" s="1"/>
  <c r="AG106" i="152"/>
  <c r="AH97" i="154"/>
  <c r="AH105" i="154" s="1"/>
  <c r="AH106" i="154"/>
  <c r="AB97" i="154"/>
  <c r="AB105" i="154" s="1"/>
  <c r="AB106" i="154"/>
  <c r="P121" i="156"/>
  <c r="P117" i="156"/>
  <c r="P118" i="156" s="1"/>
  <c r="AH117" i="151"/>
  <c r="AH118" i="151" s="1"/>
  <c r="AH120" i="151" s="1"/>
  <c r="AH122" i="151" s="1"/>
  <c r="H115" i="155"/>
  <c r="H120" i="155" s="1"/>
  <c r="H122" i="155" s="1"/>
  <c r="AC117" i="159"/>
  <c r="AC118" i="159" s="1"/>
  <c r="AC120" i="159" s="1"/>
  <c r="AC122" i="159" s="1"/>
  <c r="AC121" i="159"/>
  <c r="F115" i="151"/>
  <c r="F120" i="151" s="1"/>
  <c r="F122" i="151" s="1"/>
  <c r="Q123" i="153"/>
  <c r="Q105" i="153"/>
  <c r="Q108" i="153" s="1"/>
  <c r="Q110" i="153" s="1"/>
  <c r="Q99" i="153"/>
  <c r="Q109" i="153" s="1"/>
  <c r="AI121" i="157"/>
  <c r="AI117" i="157"/>
  <c r="AI118" i="157" s="1"/>
  <c r="AI120" i="157" s="1"/>
  <c r="AI122" i="157" s="1"/>
  <c r="T99" i="156"/>
  <c r="T109" i="156" s="1"/>
  <c r="T105" i="156"/>
  <c r="T108" i="156" s="1"/>
  <c r="AI97" i="158"/>
  <c r="AI105" i="158" s="1"/>
  <c r="AI106" i="158"/>
  <c r="AO106" i="158"/>
  <c r="AO97" i="158"/>
  <c r="AO105" i="158" s="1"/>
  <c r="AO108" i="158" s="1"/>
  <c r="AO110" i="158" s="1"/>
  <c r="T97" i="160"/>
  <c r="T105" i="160" s="1"/>
  <c r="T106" i="160"/>
  <c r="AN97" i="160"/>
  <c r="AN105" i="160" s="1"/>
  <c r="AN108" i="160" s="1"/>
  <c r="AN110" i="160" s="1"/>
  <c r="AN106" i="160"/>
  <c r="L123" i="153"/>
  <c r="L99" i="153"/>
  <c r="L109" i="153" s="1"/>
  <c r="L105" i="153"/>
  <c r="L108" i="153" s="1"/>
  <c r="H123" i="153"/>
  <c r="H99" i="153"/>
  <c r="H109" i="153" s="1"/>
  <c r="H105" i="153"/>
  <c r="H108" i="153" s="1"/>
  <c r="H110" i="153" s="1"/>
  <c r="AN121" i="152"/>
  <c r="AN117" i="152"/>
  <c r="AN118" i="152" s="1"/>
  <c r="AN120" i="152" s="1"/>
  <c r="AN122" i="152" s="1"/>
  <c r="AF97" i="154"/>
  <c r="AF105" i="154" s="1"/>
  <c r="AF108" i="154" s="1"/>
  <c r="AF110" i="154" s="1"/>
  <c r="AF106" i="154"/>
  <c r="W99" i="159"/>
  <c r="W109" i="159" s="1"/>
  <c r="W105" i="159"/>
  <c r="W108" i="159" s="1"/>
  <c r="N123" i="159"/>
  <c r="N99" i="159"/>
  <c r="N109" i="159" s="1"/>
  <c r="N105" i="159"/>
  <c r="N108" i="159" s="1"/>
  <c r="X97" i="152"/>
  <c r="X106" i="152"/>
  <c r="E117" i="155"/>
  <c r="E118" i="155" s="1"/>
  <c r="E121" i="155" s="1"/>
  <c r="G123" i="155"/>
  <c r="D129" i="155" s="1"/>
  <c r="G99" i="155"/>
  <c r="G109" i="155" s="1"/>
  <c r="G105" i="155"/>
  <c r="G108" i="155" s="1"/>
  <c r="G110" i="155" s="1"/>
  <c r="P120" i="151"/>
  <c r="P122" i="151" s="1"/>
  <c r="P117" i="151"/>
  <c r="P118" i="151" s="1"/>
  <c r="P121" i="151" s="1"/>
  <c r="AA97" i="160"/>
  <c r="AA105" i="160" s="1"/>
  <c r="AA106" i="160"/>
  <c r="AP117" i="160"/>
  <c r="AP118" i="160" s="1"/>
  <c r="AP121" i="160" s="1"/>
  <c r="I121" i="151"/>
  <c r="I117" i="151"/>
  <c r="I118" i="151" s="1"/>
  <c r="I120" i="151" s="1"/>
  <c r="I122" i="151" s="1"/>
  <c r="P117" i="155"/>
  <c r="P118" i="155" s="1"/>
  <c r="P121" i="155" s="1"/>
  <c r="K97" i="157"/>
  <c r="K106" i="157"/>
  <c r="I108" i="157"/>
  <c r="I110" i="157" s="1"/>
  <c r="F108" i="153"/>
  <c r="F110" i="153" s="1"/>
  <c r="E123" i="153"/>
  <c r="E99" i="153"/>
  <c r="E109" i="153" s="1"/>
  <c r="E105" i="153"/>
  <c r="E108" i="153" s="1"/>
  <c r="E110" i="153" s="1"/>
  <c r="M97" i="152"/>
  <c r="M106" i="152"/>
  <c r="W106" i="157"/>
  <c r="W97" i="157"/>
  <c r="AC97" i="158"/>
  <c r="AC105" i="158" s="1"/>
  <c r="AC106" i="158"/>
  <c r="R115" i="160"/>
  <c r="W97" i="160"/>
  <c r="W105" i="160" s="1"/>
  <c r="W106" i="160"/>
  <c r="E123" i="159"/>
  <c r="E99" i="159"/>
  <c r="E109" i="159" s="1"/>
  <c r="E105" i="159"/>
  <c r="E108" i="159" s="1"/>
  <c r="H117" i="151"/>
  <c r="H118" i="151" s="1"/>
  <c r="H120" i="151" s="1"/>
  <c r="H122" i="151" s="1"/>
  <c r="Y97" i="157"/>
  <c r="Y105" i="157" s="1"/>
  <c r="Y108" i="157" s="1"/>
  <c r="Y110" i="157" s="1"/>
  <c r="Y106" i="157"/>
  <c r="AI108" i="159"/>
  <c r="AI110" i="159" s="1"/>
  <c r="K115" i="159"/>
  <c r="V99" i="159"/>
  <c r="V109" i="159" s="1"/>
  <c r="V105" i="159"/>
  <c r="V108" i="159" s="1"/>
  <c r="V110" i="159" s="1"/>
  <c r="P123" i="153"/>
  <c r="P105" i="153"/>
  <c r="P108" i="153" s="1"/>
  <c r="P99" i="153"/>
  <c r="P109" i="153" s="1"/>
  <c r="I97" i="152"/>
  <c r="I106" i="152"/>
  <c r="J97" i="154"/>
  <c r="J106" i="154"/>
  <c r="Z108" i="156"/>
  <c r="Z110" i="156" s="1"/>
  <c r="S115" i="158"/>
  <c r="L115" i="158"/>
  <c r="L120" i="158" s="1"/>
  <c r="L122" i="158" s="1"/>
  <c r="N115" i="158"/>
  <c r="Z108" i="159"/>
  <c r="Z110" i="159" s="1"/>
  <c r="T120" i="159"/>
  <c r="T122" i="159" s="1"/>
  <c r="N115" i="152"/>
  <c r="N97" i="152"/>
  <c r="N106" i="152"/>
  <c r="AQ106" i="152"/>
  <c r="AQ97" i="152"/>
  <c r="AQ105" i="152" s="1"/>
  <c r="AQ108" i="152" s="1"/>
  <c r="AQ110" i="152" s="1"/>
  <c r="AL97" i="152"/>
  <c r="AL105" i="152" s="1"/>
  <c r="AL108" i="152" s="1"/>
  <c r="AL110" i="152" s="1"/>
  <c r="AL106" i="152"/>
  <c r="R115" i="154"/>
  <c r="F97" i="154"/>
  <c r="F106" i="154"/>
  <c r="AR97" i="154"/>
  <c r="AR105" i="154" s="1"/>
  <c r="AR108" i="154" s="1"/>
  <c r="AR110" i="154" s="1"/>
  <c r="AR106" i="154"/>
  <c r="AQ108" i="156"/>
  <c r="AQ110" i="156" s="1"/>
  <c r="U108" i="157"/>
  <c r="U110" i="157" s="1"/>
  <c r="K123" i="159"/>
  <c r="K105" i="159"/>
  <c r="K108" i="159" s="1"/>
  <c r="K110" i="159" s="1"/>
  <c r="K99" i="159"/>
  <c r="K109" i="159" s="1"/>
  <c r="AH121" i="155"/>
  <c r="AH120" i="155"/>
  <c r="AH122" i="155" s="1"/>
  <c r="AH117" i="155"/>
  <c r="AH118" i="155" s="1"/>
  <c r="E115" i="155"/>
  <c r="E120" i="155" s="1"/>
  <c r="AQ108" i="157"/>
  <c r="AQ110" i="157" s="1"/>
  <c r="AB108" i="156"/>
  <c r="AB110" i="156" s="1"/>
  <c r="AG121" i="159"/>
  <c r="AG117" i="159"/>
  <c r="AG118" i="159" s="1"/>
  <c r="AG120" i="159"/>
  <c r="AG122" i="159" s="1"/>
  <c r="P115" i="156"/>
  <c r="P120" i="156" s="1"/>
  <c r="P122" i="156" s="1"/>
  <c r="M115" i="156"/>
  <c r="M120" i="156" s="1"/>
  <c r="M122" i="156" s="1"/>
  <c r="E123" i="157"/>
  <c r="E99" i="157"/>
  <c r="E109" i="157" s="1"/>
  <c r="AD120" i="151"/>
  <c r="AD122" i="151" s="1"/>
  <c r="AL120" i="153"/>
  <c r="AL122" i="153" s="1"/>
  <c r="R115" i="157"/>
  <c r="F115" i="157"/>
  <c r="F120" i="157" s="1"/>
  <c r="F122" i="157" s="1"/>
  <c r="J123" i="157"/>
  <c r="J99" i="157"/>
  <c r="J109" i="157" s="1"/>
  <c r="J105" i="157"/>
  <c r="J108" i="157" s="1"/>
  <c r="J110" i="157" s="1"/>
  <c r="T97" i="158"/>
  <c r="T106" i="158"/>
  <c r="K97" i="158"/>
  <c r="K106" i="158"/>
  <c r="G123" i="159"/>
  <c r="G99" i="159"/>
  <c r="G109" i="159" s="1"/>
  <c r="G105" i="159"/>
  <c r="G108" i="159" s="1"/>
  <c r="AB97" i="160"/>
  <c r="AB105" i="160" s="1"/>
  <c r="AB106" i="160"/>
  <c r="R97" i="160"/>
  <c r="R106" i="160"/>
  <c r="AJ120" i="151"/>
  <c r="AJ122" i="151" s="1"/>
  <c r="AK120" i="155"/>
  <c r="AK122" i="155" s="1"/>
  <c r="Y121" i="160"/>
  <c r="Y117" i="160"/>
  <c r="Y118" i="160" s="1"/>
  <c r="Y120" i="160" s="1"/>
  <c r="Y122" i="160" s="1"/>
  <c r="W120" i="153"/>
  <c r="W122" i="153" s="1"/>
  <c r="J117" i="151"/>
  <c r="J118" i="151" s="1"/>
  <c r="J121" i="151" s="1"/>
  <c r="X121" i="158"/>
  <c r="X117" i="158"/>
  <c r="X118" i="158" s="1"/>
  <c r="X120" i="158"/>
  <c r="X122" i="158" s="1"/>
  <c r="M123" i="153"/>
  <c r="M99" i="153"/>
  <c r="M109" i="153" s="1"/>
  <c r="M105" i="153"/>
  <c r="M108" i="153" s="1"/>
  <c r="M110" i="153" s="1"/>
  <c r="AA106" i="152"/>
  <c r="AA97" i="152"/>
  <c r="AA105" i="152" s="1"/>
  <c r="F97" i="152"/>
  <c r="F106" i="152"/>
  <c r="L97" i="152"/>
  <c r="L106" i="152"/>
  <c r="V117" i="153"/>
  <c r="V118" i="153" s="1"/>
  <c r="V121" i="153" s="1"/>
  <c r="S97" i="154"/>
  <c r="S106" i="154"/>
  <c r="O97" i="154"/>
  <c r="O106" i="154"/>
  <c r="AA121" i="156"/>
  <c r="AA117" i="156"/>
  <c r="AA118" i="156" s="1"/>
  <c r="AA120" i="156" s="1"/>
  <c r="AA122" i="156" s="1"/>
  <c r="AJ117" i="156"/>
  <c r="AJ118" i="156" s="1"/>
  <c r="AJ121" i="156" s="1"/>
  <c r="AL121" i="157"/>
  <c r="V105" i="154"/>
  <c r="V108" i="154" s="1"/>
  <c r="V99" i="154"/>
  <c r="V109" i="154" s="1"/>
  <c r="AB117" i="153"/>
  <c r="AB118" i="153" s="1"/>
  <c r="AB121" i="153" s="1"/>
  <c r="K115" i="156"/>
  <c r="S115" i="156"/>
  <c r="AN117" i="151"/>
  <c r="AN118" i="151" s="1"/>
  <c r="AN120" i="151" s="1"/>
  <c r="AN122" i="151" s="1"/>
  <c r="AN121" i="151"/>
  <c r="K115" i="157"/>
  <c r="S115" i="157"/>
  <c r="AJ97" i="158"/>
  <c r="AJ105" i="158" s="1"/>
  <c r="AJ108" i="158" s="1"/>
  <c r="AJ110" i="158" s="1"/>
  <c r="AJ106" i="158"/>
  <c r="AA97" i="158"/>
  <c r="AA105" i="158" s="1"/>
  <c r="AA108" i="158" s="1"/>
  <c r="AA110" i="158" s="1"/>
  <c r="AA106" i="158"/>
  <c r="AC97" i="160"/>
  <c r="AC105" i="160" s="1"/>
  <c r="AC106" i="160"/>
  <c r="AO97" i="160"/>
  <c r="AO105" i="160" s="1"/>
  <c r="AO106" i="160"/>
  <c r="Z108" i="153"/>
  <c r="Z110" i="153" s="1"/>
  <c r="N108" i="155"/>
  <c r="N110" i="155" s="1"/>
  <c r="AN121" i="159"/>
  <c r="AQ117" i="153"/>
  <c r="AQ118" i="153" s="1"/>
  <c r="AQ120" i="153" s="1"/>
  <c r="AQ122" i="153" s="1"/>
  <c r="AP117" i="154"/>
  <c r="AP118" i="154" s="1"/>
  <c r="AP120" i="154" s="1"/>
  <c r="AP122" i="154" s="1"/>
  <c r="AP121" i="154"/>
  <c r="AA121" i="155"/>
  <c r="Q117" i="151"/>
  <c r="Q118" i="151" s="1"/>
  <c r="Q121" i="151" s="1"/>
  <c r="Y120" i="151"/>
  <c r="Y122" i="151" s="1"/>
  <c r="AR120" i="155"/>
  <c r="AR122" i="155" s="1"/>
  <c r="R117" i="151"/>
  <c r="R118" i="151" s="1"/>
  <c r="R121" i="151" s="1"/>
  <c r="K117" i="151"/>
  <c r="K118" i="151" s="1"/>
  <c r="K121" i="151" s="1"/>
  <c r="AI106" i="152"/>
  <c r="AI97" i="152"/>
  <c r="AI105" i="152" s="1"/>
  <c r="M123" i="160"/>
  <c r="M99" i="160"/>
  <c r="M109" i="160" s="1"/>
  <c r="M105" i="160"/>
  <c r="M108" i="160" s="1"/>
  <c r="M110" i="160" s="1"/>
  <c r="AD120" i="155"/>
  <c r="AD122" i="155" s="1"/>
  <c r="AD117" i="155"/>
  <c r="AD118" i="155" s="1"/>
  <c r="AD121" i="155" s="1"/>
  <c r="T97" i="154"/>
  <c r="T106" i="154"/>
  <c r="AH121" i="160"/>
  <c r="AH117" i="160"/>
  <c r="AH118" i="160" s="1"/>
  <c r="AH120" i="160" s="1"/>
  <c r="AH122" i="160" s="1"/>
  <c r="AI120" i="151"/>
  <c r="AI122" i="151" s="1"/>
  <c r="AI117" i="151"/>
  <c r="AI118" i="151" s="1"/>
  <c r="AI121" i="151" s="1"/>
  <c r="AL117" i="154"/>
  <c r="AL118" i="154" s="1"/>
  <c r="AL121" i="154" s="1"/>
  <c r="R123" i="157"/>
  <c r="R99" i="157"/>
  <c r="R109" i="157" s="1"/>
  <c r="R105" i="157"/>
  <c r="R108" i="157" s="1"/>
  <c r="R110" i="157" s="1"/>
  <c r="AP117" i="155"/>
  <c r="AP118" i="155" s="1"/>
  <c r="AP121" i="155" s="1"/>
  <c r="F97" i="158"/>
  <c r="F106" i="158"/>
  <c r="G106" i="158"/>
  <c r="G97" i="158"/>
  <c r="AQ97" i="158"/>
  <c r="AQ105" i="158" s="1"/>
  <c r="AQ108" i="158" s="1"/>
  <c r="AQ110" i="158" s="1"/>
  <c r="AQ106" i="158"/>
  <c r="AI97" i="160"/>
  <c r="AI105" i="160" s="1"/>
  <c r="AI106" i="160"/>
  <c r="I97" i="160"/>
  <c r="I106" i="160"/>
  <c r="S97" i="160"/>
  <c r="S106" i="160"/>
  <c r="S117" i="155"/>
  <c r="S118" i="155" s="1"/>
  <c r="S121" i="155" s="1"/>
  <c r="E105" i="157"/>
  <c r="E108" i="157" s="1"/>
  <c r="AL120" i="158"/>
  <c r="AL122" i="158" s="1"/>
  <c r="E105" i="158"/>
  <c r="E108" i="158" s="1"/>
  <c r="E110" i="158" s="1"/>
  <c r="J123" i="152"/>
  <c r="J99" i="152"/>
  <c r="J109" i="152" s="1"/>
  <c r="J110" i="152" s="1"/>
  <c r="S106" i="152"/>
  <c r="S97" i="152"/>
  <c r="G115" i="154"/>
  <c r="AE97" i="154"/>
  <c r="AE105" i="154" s="1"/>
  <c r="AE106" i="154"/>
  <c r="AP120" i="153"/>
  <c r="AP122" i="153" s="1"/>
  <c r="AP117" i="153"/>
  <c r="AP118" i="153" s="1"/>
  <c r="AP121" i="153"/>
  <c r="O123" i="159"/>
  <c r="O99" i="159"/>
  <c r="O109" i="159" s="1"/>
  <c r="O105" i="159"/>
  <c r="O108" i="159" s="1"/>
  <c r="O110" i="159" s="1"/>
  <c r="X97" i="154"/>
  <c r="X106" i="154"/>
  <c r="U97" i="158"/>
  <c r="U106" i="158"/>
  <c r="I115" i="159"/>
  <c r="I120" i="159" s="1"/>
  <c r="I122" i="159" s="1"/>
  <c r="F115" i="159"/>
  <c r="F123" i="159"/>
  <c r="F105" i="159"/>
  <c r="F108" i="159" s="1"/>
  <c r="F110" i="159" s="1"/>
  <c r="F99" i="159"/>
  <c r="F109" i="159" s="1"/>
  <c r="AE108" i="158"/>
  <c r="AE110" i="158" s="1"/>
  <c r="P123" i="152"/>
  <c r="P99" i="152"/>
  <c r="P109" i="152" s="1"/>
  <c r="P105" i="152"/>
  <c r="P108" i="152" s="1"/>
  <c r="P110" i="152" s="1"/>
  <c r="AG108" i="155"/>
  <c r="AG110" i="155" s="1"/>
  <c r="W105" i="156"/>
  <c r="W108" i="156" s="1"/>
  <c r="W99" i="156"/>
  <c r="W109" i="156" s="1"/>
  <c r="G108" i="151"/>
  <c r="G110" i="151" s="1"/>
  <c r="K123" i="156"/>
  <c r="K99" i="156"/>
  <c r="K109" i="156" s="1"/>
  <c r="K105" i="156"/>
  <c r="K108" i="156" s="1"/>
  <c r="P115" i="158"/>
  <c r="P120" i="158" s="1"/>
  <c r="P122" i="158" s="1"/>
  <c r="E115" i="158"/>
  <c r="S123" i="159"/>
  <c r="S105" i="159"/>
  <c r="S108" i="159" s="1"/>
  <c r="S110" i="159" s="1"/>
  <c r="S99" i="159"/>
  <c r="S109" i="159" s="1"/>
  <c r="H115" i="152"/>
  <c r="O97" i="152"/>
  <c r="O106" i="152"/>
  <c r="AE97" i="152"/>
  <c r="AE105" i="152" s="1"/>
  <c r="AE108" i="152" s="1"/>
  <c r="AE110" i="152" s="1"/>
  <c r="AE106" i="152"/>
  <c r="Q115" i="154"/>
  <c r="Q110" i="154"/>
  <c r="L97" i="154"/>
  <c r="L106" i="154"/>
  <c r="E123" i="154"/>
  <c r="E105" i="154"/>
  <c r="E108" i="154" s="1"/>
  <c r="E99" i="154"/>
  <c r="E109" i="154" s="1"/>
  <c r="M121" i="155"/>
  <c r="M120" i="155"/>
  <c r="M122" i="155" s="1"/>
  <c r="M117" i="155"/>
  <c r="M118" i="155" s="1"/>
  <c r="L123" i="157"/>
  <c r="L99" i="157"/>
  <c r="L109" i="157" s="1"/>
  <c r="L105" i="157"/>
  <c r="L108" i="157" s="1"/>
  <c r="AP120" i="159"/>
  <c r="AP122" i="159" s="1"/>
  <c r="Q115" i="155"/>
  <c r="Q120" i="155" s="1"/>
  <c r="Q122" i="155" s="1"/>
  <c r="J115" i="156"/>
  <c r="L115" i="151"/>
  <c r="L120" i="151" s="1"/>
  <c r="L122" i="151" s="1"/>
  <c r="T99" i="153"/>
  <c r="T109" i="153" s="1"/>
  <c r="T105" i="153"/>
  <c r="T108" i="153" s="1"/>
  <c r="T110" i="153" s="1"/>
  <c r="I97" i="154"/>
  <c r="I106" i="154"/>
  <c r="AC120" i="155"/>
  <c r="AC122" i="155" s="1"/>
  <c r="H115" i="157"/>
  <c r="E115" i="157"/>
  <c r="Z106" i="158"/>
  <c r="Z97" i="158"/>
  <c r="Z105" i="158" s="1"/>
  <c r="W97" i="158"/>
  <c r="W106" i="158"/>
  <c r="AD97" i="160"/>
  <c r="AD105" i="160" s="1"/>
  <c r="AD106" i="160"/>
  <c r="L97" i="160"/>
  <c r="L106" i="160"/>
  <c r="AI120" i="156"/>
  <c r="AI122" i="156" s="1"/>
  <c r="R117" i="155"/>
  <c r="R118" i="155" s="1"/>
  <c r="R121" i="155" s="1"/>
  <c r="V120" i="151"/>
  <c r="V122" i="151" s="1"/>
  <c r="W120" i="152"/>
  <c r="W122" i="152" s="1"/>
  <c r="Z120" i="155"/>
  <c r="Z122" i="155" s="1"/>
  <c r="AQ121" i="159"/>
  <c r="AQ117" i="159"/>
  <c r="AQ118" i="159" s="1"/>
  <c r="AQ120" i="159"/>
  <c r="AQ122" i="159" s="1"/>
  <c r="P123" i="154"/>
  <c r="P105" i="154"/>
  <c r="P108" i="154" s="1"/>
  <c r="P99" i="154"/>
  <c r="P109" i="154" s="1"/>
  <c r="AR121" i="153"/>
  <c r="AR117" i="153"/>
  <c r="AR118" i="153" s="1"/>
  <c r="AR120" i="153"/>
  <c r="AR122" i="153" s="1"/>
  <c r="N117" i="153"/>
  <c r="N118" i="153" s="1"/>
  <c r="N121" i="153" s="1"/>
  <c r="T99" i="157"/>
  <c r="T109" i="157" s="1"/>
  <c r="T105" i="157"/>
  <c r="T108" i="157" s="1"/>
  <c r="T110" i="157" s="1"/>
  <c r="AF97" i="152"/>
  <c r="AF105" i="152" s="1"/>
  <c r="AF106" i="152"/>
  <c r="H97" i="157"/>
  <c r="H106" i="157"/>
  <c r="M115" i="160"/>
  <c r="I121" i="156"/>
  <c r="I120" i="156"/>
  <c r="I122" i="156" s="1"/>
  <c r="I117" i="156"/>
  <c r="I118" i="156" s="1"/>
  <c r="P117" i="158"/>
  <c r="P118" i="158" s="1"/>
  <c r="P121" i="158" s="1"/>
  <c r="L121" i="159"/>
  <c r="L120" i="159"/>
  <c r="L122" i="159" s="1"/>
  <c r="L117" i="159"/>
  <c r="L118" i="159" s="1"/>
  <c r="R106" i="153"/>
  <c r="R97" i="153"/>
  <c r="AE117" i="155"/>
  <c r="AE118" i="155" s="1"/>
  <c r="AE121" i="155" s="1"/>
  <c r="J106" i="158"/>
  <c r="J97" i="158"/>
  <c r="G97" i="160"/>
  <c r="G106" i="160"/>
  <c r="AA117" i="159"/>
  <c r="AA118" i="159" s="1"/>
  <c r="AA121" i="159" s="1"/>
  <c r="AA120" i="159"/>
  <c r="AA122" i="159" s="1"/>
  <c r="AK117" i="160"/>
  <c r="AK118" i="160" s="1"/>
  <c r="AK121" i="160" s="1"/>
  <c r="AG121" i="156"/>
  <c r="AG120" i="156"/>
  <c r="AG122" i="156" s="1"/>
  <c r="AG117" i="156"/>
  <c r="AG118" i="156" s="1"/>
  <c r="J123" i="153"/>
  <c r="J99" i="153"/>
  <c r="J109" i="153" s="1"/>
  <c r="J105" i="153"/>
  <c r="J108" i="153" s="1"/>
  <c r="G106" i="157"/>
  <c r="G97" i="157"/>
  <c r="M121" i="158"/>
  <c r="M117" i="158"/>
  <c r="M118" i="158" s="1"/>
  <c r="AO121" i="157"/>
  <c r="AO117" i="157"/>
  <c r="AO118" i="157" s="1"/>
  <c r="AO120" i="157" s="1"/>
  <c r="AO122" i="157" s="1"/>
  <c r="J117" i="155"/>
  <c r="J118" i="155" s="1"/>
  <c r="J121" i="155" s="1"/>
  <c r="O123" i="156"/>
  <c r="O105" i="156"/>
  <c r="O108" i="156" s="1"/>
  <c r="O110" i="156" s="1"/>
  <c r="O99" i="156"/>
  <c r="O109" i="156" s="1"/>
  <c r="X105" i="153"/>
  <c r="X108" i="153" s="1"/>
  <c r="X99" i="153"/>
  <c r="X109" i="153" s="1"/>
  <c r="H121" i="154"/>
  <c r="H120" i="154"/>
  <c r="H122" i="154" s="1"/>
  <c r="H117" i="154"/>
  <c r="H118" i="154" s="1"/>
  <c r="AO97" i="153"/>
  <c r="AO105" i="153" s="1"/>
  <c r="AO108" i="153" s="1"/>
  <c r="AO110" i="153" s="1"/>
  <c r="AO106" i="153"/>
  <c r="Y121" i="156"/>
  <c r="Y120" i="156"/>
  <c r="Y122" i="156" s="1"/>
  <c r="Y117" i="156"/>
  <c r="Y118" i="156" s="1"/>
  <c r="AB97" i="158"/>
  <c r="AB105" i="158" s="1"/>
  <c r="AB106" i="158"/>
  <c r="E115" i="160"/>
  <c r="Q97" i="160"/>
  <c r="Q106" i="160"/>
  <c r="AP108" i="157"/>
  <c r="AP110" i="157" s="1"/>
  <c r="Q117" i="157"/>
  <c r="Q118" i="157" s="1"/>
  <c r="Q121" i="157" s="1"/>
  <c r="X108" i="160"/>
  <c r="X110" i="160" s="1"/>
  <c r="AE106" i="157"/>
  <c r="AE97" i="157"/>
  <c r="AE105" i="157" s="1"/>
  <c r="AB108" i="157"/>
  <c r="AB110" i="157" s="1"/>
  <c r="H123" i="152"/>
  <c r="H99" i="152"/>
  <c r="H109" i="152" s="1"/>
  <c r="H105" i="152"/>
  <c r="H108" i="152" s="1"/>
  <c r="H110" i="152" s="1"/>
  <c r="AM108" i="156"/>
  <c r="AM110" i="156" s="1"/>
  <c r="H121" i="156"/>
  <c r="H117" i="156"/>
  <c r="H118" i="156" s="1"/>
  <c r="H120" i="156" s="1"/>
  <c r="H122" i="156" s="1"/>
  <c r="AR121" i="156"/>
  <c r="AR117" i="156"/>
  <c r="AR118" i="156" s="1"/>
  <c r="AR120" i="156"/>
  <c r="AR122" i="156" s="1"/>
  <c r="AG117" i="151"/>
  <c r="AG118" i="151" s="1"/>
  <c r="AG121" i="151" s="1"/>
  <c r="AM97" i="152"/>
  <c r="AM105" i="152" s="1"/>
  <c r="AM106" i="152"/>
  <c r="O115" i="154"/>
  <c r="AI97" i="154"/>
  <c r="AI105" i="154" s="1"/>
  <c r="AI106" i="154"/>
  <c r="Y97" i="153"/>
  <c r="Y105" i="153" s="1"/>
  <c r="Y108" i="153" s="1"/>
  <c r="Y110" i="153" s="1"/>
  <c r="Y106" i="153"/>
  <c r="V97" i="157"/>
  <c r="V106" i="157"/>
  <c r="S115" i="160"/>
  <c r="AH108" i="159"/>
  <c r="AH110" i="159" s="1"/>
  <c r="AK120" i="156"/>
  <c r="AK122" i="156" s="1"/>
  <c r="AP121" i="156"/>
  <c r="AP120" i="156"/>
  <c r="AP122" i="156" s="1"/>
  <c r="AP117" i="156"/>
  <c r="AP118" i="156" s="1"/>
  <c r="N115" i="159"/>
  <c r="AR97" i="157"/>
  <c r="AR105" i="157" s="1"/>
  <c r="AR106" i="157"/>
  <c r="G123" i="156"/>
  <c r="G105" i="156"/>
  <c r="G108" i="156" s="1"/>
  <c r="G99" i="156"/>
  <c r="G109" i="156" s="1"/>
  <c r="H115" i="160"/>
  <c r="I115" i="160"/>
  <c r="AE108" i="159"/>
  <c r="AE110" i="159" s="1"/>
  <c r="AM108" i="157"/>
  <c r="AM110" i="157" s="1"/>
  <c r="J110" i="159"/>
  <c r="AC97" i="154"/>
  <c r="AC105" i="154" s="1"/>
  <c r="AC108" i="154" s="1"/>
  <c r="AC110" i="154" s="1"/>
  <c r="AC106" i="154"/>
  <c r="AN97" i="158"/>
  <c r="AN105" i="158" s="1"/>
  <c r="AN106" i="158"/>
  <c r="Q115" i="159"/>
  <c r="Q120" i="159" s="1"/>
  <c r="Q122" i="159" s="1"/>
  <c r="N117" i="160"/>
  <c r="N118" i="160" s="1"/>
  <c r="N121" i="160" s="1"/>
  <c r="K123" i="152"/>
  <c r="K105" i="152"/>
  <c r="K108" i="152" s="1"/>
  <c r="K99" i="152"/>
  <c r="K109" i="152" s="1"/>
  <c r="R123" i="158"/>
  <c r="R99" i="158"/>
  <c r="R109" i="158" s="1"/>
  <c r="R105" i="158"/>
  <c r="R108" i="158" s="1"/>
  <c r="U108" i="152"/>
  <c r="U110" i="152" s="1"/>
  <c r="O115" i="158"/>
  <c r="I115" i="158"/>
  <c r="M115" i="158"/>
  <c r="M120" i="158" s="1"/>
  <c r="M122" i="158" s="1"/>
  <c r="AJ108" i="153"/>
  <c r="AJ110" i="153" s="1"/>
  <c r="G115" i="152"/>
  <c r="V97" i="152"/>
  <c r="V106" i="152"/>
  <c r="AB97" i="152"/>
  <c r="AB105" i="152" s="1"/>
  <c r="AB106" i="152"/>
  <c r="AR97" i="152"/>
  <c r="AR105" i="152" s="1"/>
  <c r="AR106" i="152"/>
  <c r="P115" i="154"/>
  <c r="H115" i="154"/>
  <c r="W97" i="154"/>
  <c r="W106" i="154"/>
  <c r="AA97" i="154"/>
  <c r="AA105" i="154" s="1"/>
  <c r="AA106" i="154"/>
  <c r="X99" i="155"/>
  <c r="X109" i="155" s="1"/>
  <c r="X105" i="155"/>
  <c r="X108" i="155" s="1"/>
  <c r="X110" i="155" s="1"/>
  <c r="AP108" i="158"/>
  <c r="AP110" i="158" s="1"/>
  <c r="AD108" i="159"/>
  <c r="AD110" i="159" s="1"/>
  <c r="K123" i="154"/>
  <c r="K105" i="154"/>
  <c r="K108" i="154" s="1"/>
  <c r="K99" i="154"/>
  <c r="K109" i="154" s="1"/>
  <c r="L115" i="155"/>
  <c r="L120" i="155" s="1"/>
  <c r="L122" i="155" s="1"/>
  <c r="AH108" i="158"/>
  <c r="AH110" i="158" s="1"/>
  <c r="R115" i="156"/>
  <c r="F115" i="156"/>
  <c r="F120" i="156" s="1"/>
  <c r="F122" i="156" s="1"/>
  <c r="S115" i="151"/>
  <c r="S120" i="151" s="1"/>
  <c r="S122" i="151" s="1"/>
  <c r="E115" i="151"/>
  <c r="E120" i="151" s="1"/>
  <c r="AH108" i="153"/>
  <c r="AH110" i="153" s="1"/>
  <c r="AD97" i="154"/>
  <c r="AD105" i="154" s="1"/>
  <c r="AD106" i="154"/>
  <c r="P115" i="157"/>
  <c r="P120" i="157" s="1"/>
  <c r="P122" i="157" s="1"/>
  <c r="M115" i="157"/>
  <c r="M120" i="157" s="1"/>
  <c r="M122" i="157" s="1"/>
  <c r="Q97" i="158"/>
  <c r="Q106" i="158"/>
  <c r="AM97" i="158"/>
  <c r="AM105" i="158" s="1"/>
  <c r="AM108" i="158" s="1"/>
  <c r="AM110" i="158" s="1"/>
  <c r="AM106" i="158"/>
  <c r="O123" i="158"/>
  <c r="O99" i="158"/>
  <c r="O109" i="158" s="1"/>
  <c r="O105" i="158"/>
  <c r="O108" i="158" s="1"/>
  <c r="AG97" i="160"/>
  <c r="AG105" i="160" s="1"/>
  <c r="AG106" i="160"/>
  <c r="J106" i="160"/>
  <c r="J97" i="160"/>
  <c r="U97" i="160"/>
  <c r="U105" i="160" s="1"/>
  <c r="U106" i="160"/>
  <c r="L99" i="156"/>
  <c r="L109" i="156" s="1"/>
  <c r="L123" i="156"/>
  <c r="L105" i="156"/>
  <c r="L108" i="156" s="1"/>
  <c r="AM120" i="154"/>
  <c r="AM122" i="154" s="1"/>
  <c r="AM117" i="154"/>
  <c r="AM118" i="154" s="1"/>
  <c r="AM121" i="154"/>
  <c r="E122" i="151" l="1"/>
  <c r="J117" i="152"/>
  <c r="J118" i="152" s="1"/>
  <c r="J121" i="152" s="1"/>
  <c r="E122" i="155"/>
  <c r="W105" i="154"/>
  <c r="W108" i="154" s="1"/>
  <c r="W99" i="154"/>
  <c r="W109" i="154" s="1"/>
  <c r="V99" i="157"/>
  <c r="V109" i="157" s="1"/>
  <c r="V105" i="157"/>
  <c r="V108" i="157" s="1"/>
  <c r="AO117" i="153"/>
  <c r="AO118" i="153" s="1"/>
  <c r="AO120" i="153" s="1"/>
  <c r="AO122" i="153" s="1"/>
  <c r="AE121" i="152"/>
  <c r="AE117" i="152"/>
  <c r="AE118" i="152" s="1"/>
  <c r="AE120" i="152" s="1"/>
  <c r="AE122" i="152" s="1"/>
  <c r="P117" i="152"/>
  <c r="P118" i="152" s="1"/>
  <c r="P121" i="152" s="1"/>
  <c r="N120" i="155"/>
  <c r="N122" i="155" s="1"/>
  <c r="N117" i="155"/>
  <c r="N118" i="155" s="1"/>
  <c r="N121" i="155"/>
  <c r="AA117" i="158"/>
  <c r="AA118" i="158" s="1"/>
  <c r="AA120" i="158" s="1"/>
  <c r="AA122" i="158" s="1"/>
  <c r="F123" i="152"/>
  <c r="F105" i="152"/>
  <c r="F108" i="152" s="1"/>
  <c r="F99" i="152"/>
  <c r="F109" i="152" s="1"/>
  <c r="K123" i="158"/>
  <c r="K99" i="158"/>
  <c r="K109" i="158" s="1"/>
  <c r="K105" i="158"/>
  <c r="K108" i="158" s="1"/>
  <c r="K110" i="158" s="1"/>
  <c r="K117" i="159"/>
  <c r="K118" i="159" s="1"/>
  <c r="K121" i="159" s="1"/>
  <c r="AI120" i="159"/>
  <c r="AI122" i="159" s="1"/>
  <c r="AI117" i="159"/>
  <c r="AI118" i="159" s="1"/>
  <c r="AI121" i="159"/>
  <c r="AO120" i="158"/>
  <c r="AO122" i="158" s="1"/>
  <c r="AO117" i="158"/>
  <c r="AO118" i="158" s="1"/>
  <c r="AO121" i="158"/>
  <c r="D129" i="156"/>
  <c r="K123" i="160"/>
  <c r="K105" i="160"/>
  <c r="K108" i="160" s="1"/>
  <c r="K110" i="160" s="1"/>
  <c r="K99" i="160"/>
  <c r="K109" i="160" s="1"/>
  <c r="N121" i="158"/>
  <c r="N117" i="158"/>
  <c r="N118" i="158" s="1"/>
  <c r="N120" i="158" s="1"/>
  <c r="N122" i="158" s="1"/>
  <c r="R123" i="154"/>
  <c r="R99" i="154"/>
  <c r="R109" i="154" s="1"/>
  <c r="R105" i="154"/>
  <c r="R108" i="154" s="1"/>
  <c r="R110" i="154" s="1"/>
  <c r="AF117" i="153"/>
  <c r="AF118" i="153" s="1"/>
  <c r="AF121" i="153" s="1"/>
  <c r="W117" i="155"/>
  <c r="W118" i="155" s="1"/>
  <c r="W121" i="155" s="1"/>
  <c r="AD117" i="159"/>
  <c r="AD118" i="159" s="1"/>
  <c r="AD120" i="159" s="1"/>
  <c r="AD122" i="159" s="1"/>
  <c r="AG120" i="151"/>
  <c r="AG122" i="151" s="1"/>
  <c r="X117" i="160"/>
  <c r="X118" i="160" s="1"/>
  <c r="X121" i="160" s="1"/>
  <c r="G123" i="160"/>
  <c r="G99" i="160"/>
  <c r="G109" i="160" s="1"/>
  <c r="G105" i="160"/>
  <c r="G108" i="160" s="1"/>
  <c r="AF108" i="152"/>
  <c r="AF110" i="152" s="1"/>
  <c r="AD108" i="160"/>
  <c r="AD110" i="160" s="1"/>
  <c r="L110" i="157"/>
  <c r="E110" i="154"/>
  <c r="K110" i="156"/>
  <c r="I123" i="160"/>
  <c r="I105" i="160"/>
  <c r="I108" i="160" s="1"/>
  <c r="I110" i="160" s="1"/>
  <c r="I99" i="160"/>
  <c r="I109" i="160" s="1"/>
  <c r="F123" i="158"/>
  <c r="F99" i="158"/>
  <c r="F109" i="158" s="1"/>
  <c r="F105" i="158"/>
  <c r="F108" i="158" s="1"/>
  <c r="AL120" i="154"/>
  <c r="AL122" i="154" s="1"/>
  <c r="AI108" i="152"/>
  <c r="AI110" i="152" s="1"/>
  <c r="AJ120" i="156"/>
  <c r="AJ122" i="156" s="1"/>
  <c r="S123" i="154"/>
  <c r="S105" i="154"/>
  <c r="S108" i="154" s="1"/>
  <c r="S99" i="154"/>
  <c r="S109" i="154" s="1"/>
  <c r="AA108" i="152"/>
  <c r="AA110" i="152" s="1"/>
  <c r="R123" i="160"/>
  <c r="R99" i="160"/>
  <c r="R109" i="160" s="1"/>
  <c r="R105" i="160"/>
  <c r="R108" i="160" s="1"/>
  <c r="R110" i="160" s="1"/>
  <c r="AB117" i="156"/>
  <c r="AB118" i="156" s="1"/>
  <c r="AB120" i="156" s="1"/>
  <c r="AB122" i="156" s="1"/>
  <c r="Z120" i="159"/>
  <c r="Z122" i="159" s="1"/>
  <c r="Z121" i="159"/>
  <c r="Z117" i="159"/>
  <c r="Z118" i="159" s="1"/>
  <c r="I123" i="152"/>
  <c r="I99" i="152"/>
  <c r="I109" i="152" s="1"/>
  <c r="I105" i="152"/>
  <c r="I108" i="152" s="1"/>
  <c r="D129" i="159"/>
  <c r="K123" i="157"/>
  <c r="K105" i="157"/>
  <c r="K108" i="157" s="1"/>
  <c r="K99" i="157"/>
  <c r="K109" i="157" s="1"/>
  <c r="L110" i="153"/>
  <c r="AH121" i="151"/>
  <c r="AB108" i="154"/>
  <c r="AB110" i="154" s="1"/>
  <c r="Y108" i="152"/>
  <c r="Y110" i="152" s="1"/>
  <c r="AA120" i="157"/>
  <c r="AA122" i="157" s="1"/>
  <c r="Y108" i="158"/>
  <c r="Y110" i="158" s="1"/>
  <c r="J110" i="156"/>
  <c r="R110" i="156"/>
  <c r="Z108" i="152"/>
  <c r="Z110" i="152" s="1"/>
  <c r="H117" i="158"/>
  <c r="H118" i="158" s="1"/>
  <c r="H121" i="158" s="1"/>
  <c r="E123" i="152"/>
  <c r="E99" i="152"/>
  <c r="E109" i="152" s="1"/>
  <c r="E105" i="152"/>
  <c r="E108" i="152" s="1"/>
  <c r="E110" i="152" s="1"/>
  <c r="AF121" i="157"/>
  <c r="H110" i="160"/>
  <c r="Z121" i="157"/>
  <c r="G123" i="152"/>
  <c r="G99" i="152"/>
  <c r="G109" i="152" s="1"/>
  <c r="G105" i="152"/>
  <c r="G108" i="152" s="1"/>
  <c r="AH120" i="156"/>
  <c r="AH122" i="156" s="1"/>
  <c r="AE120" i="153"/>
  <c r="AE122" i="153" s="1"/>
  <c r="AL120" i="156"/>
  <c r="AL122" i="156" s="1"/>
  <c r="V120" i="158"/>
  <c r="V122" i="158" s="1"/>
  <c r="F120" i="160"/>
  <c r="F122" i="160" s="1"/>
  <c r="P120" i="159"/>
  <c r="P122" i="159" s="1"/>
  <c r="U120" i="156"/>
  <c r="U122" i="156" s="1"/>
  <c r="O117" i="156"/>
  <c r="O118" i="156" s="1"/>
  <c r="O121" i="156" s="1"/>
  <c r="Q123" i="158"/>
  <c r="Q105" i="158"/>
  <c r="Q108" i="158" s="1"/>
  <c r="Q110" i="158" s="1"/>
  <c r="Q99" i="158"/>
  <c r="Q109" i="158" s="1"/>
  <c r="AP117" i="158"/>
  <c r="AP118" i="158" s="1"/>
  <c r="AP121" i="158" s="1"/>
  <c r="AJ121" i="153"/>
  <c r="AJ117" i="153"/>
  <c r="AJ118" i="153" s="1"/>
  <c r="AJ120" i="153" s="1"/>
  <c r="AJ122" i="153" s="1"/>
  <c r="G123" i="157"/>
  <c r="G99" i="157"/>
  <c r="G109" i="157" s="1"/>
  <c r="G105" i="157"/>
  <c r="G108" i="157" s="1"/>
  <c r="G110" i="157" s="1"/>
  <c r="T117" i="157"/>
  <c r="T118" i="157" s="1"/>
  <c r="T121" i="157" s="1"/>
  <c r="O123" i="152"/>
  <c r="O99" i="152"/>
  <c r="O109" i="152" s="1"/>
  <c r="O105" i="152"/>
  <c r="O108" i="152" s="1"/>
  <c r="O110" i="152" s="1"/>
  <c r="Z121" i="153"/>
  <c r="Z120" i="153"/>
  <c r="Z122" i="153" s="1"/>
  <c r="Z117" i="153"/>
  <c r="Z118" i="153" s="1"/>
  <c r="AJ117" i="158"/>
  <c r="AJ118" i="158" s="1"/>
  <c r="AJ121" i="158" s="1"/>
  <c r="T105" i="158"/>
  <c r="T108" i="158" s="1"/>
  <c r="T99" i="158"/>
  <c r="T109" i="158" s="1"/>
  <c r="AQ117" i="157"/>
  <c r="AQ118" i="157" s="1"/>
  <c r="AQ121" i="157" s="1"/>
  <c r="U121" i="157"/>
  <c r="U120" i="157"/>
  <c r="U122" i="157" s="1"/>
  <c r="U117" i="157"/>
  <c r="U118" i="157" s="1"/>
  <c r="AL117" i="152"/>
  <c r="AL118" i="152" s="1"/>
  <c r="AL120" i="152" s="1"/>
  <c r="AL122" i="152" s="1"/>
  <c r="AL121" i="152"/>
  <c r="Y121" i="157"/>
  <c r="Y117" i="157"/>
  <c r="Y118" i="157" s="1"/>
  <c r="Y120" i="157" s="1"/>
  <c r="Y122" i="157" s="1"/>
  <c r="M123" i="152"/>
  <c r="M99" i="152"/>
  <c r="M109" i="152" s="1"/>
  <c r="M105" i="152"/>
  <c r="M108" i="152" s="1"/>
  <c r="M110" i="152" s="1"/>
  <c r="AF117" i="154"/>
  <c r="AF118" i="154" s="1"/>
  <c r="AF121" i="154" s="1"/>
  <c r="Q117" i="153"/>
  <c r="Q118" i="153" s="1"/>
  <c r="Q120" i="153" s="1"/>
  <c r="Q122" i="153" s="1"/>
  <c r="G123" i="154"/>
  <c r="G99" i="154"/>
  <c r="G109" i="154" s="1"/>
  <c r="G105" i="154"/>
  <c r="G108" i="154" s="1"/>
  <c r="Q117" i="156"/>
  <c r="Q118" i="156" s="1"/>
  <c r="Q121" i="156" s="1"/>
  <c r="AF117" i="160"/>
  <c r="AF118" i="160" s="1"/>
  <c r="AF121" i="160" s="1"/>
  <c r="AG117" i="158"/>
  <c r="AG118" i="158" s="1"/>
  <c r="AG121" i="158" s="1"/>
  <c r="AR121" i="158"/>
  <c r="AR120" i="158"/>
  <c r="AR122" i="158" s="1"/>
  <c r="AR117" i="158"/>
  <c r="AR118" i="158" s="1"/>
  <c r="J120" i="151"/>
  <c r="J122" i="151" s="1"/>
  <c r="AQ117" i="156"/>
  <c r="AQ118" i="156" s="1"/>
  <c r="AQ121" i="156" s="1"/>
  <c r="G120" i="155"/>
  <c r="G122" i="155" s="1"/>
  <c r="G117" i="155"/>
  <c r="G118" i="155" s="1"/>
  <c r="G121" i="155" s="1"/>
  <c r="AI108" i="158"/>
  <c r="AI110" i="158" s="1"/>
  <c r="AN120" i="153"/>
  <c r="AN122" i="153" s="1"/>
  <c r="I110" i="153"/>
  <c r="AH120" i="157"/>
  <c r="AH122" i="157" s="1"/>
  <c r="AH117" i="157"/>
  <c r="AH118" i="157" s="1"/>
  <c r="AH121" i="157"/>
  <c r="R110" i="159"/>
  <c r="E121" i="160"/>
  <c r="E120" i="160"/>
  <c r="E117" i="160"/>
  <c r="E118" i="160" s="1"/>
  <c r="AG108" i="157"/>
  <c r="AG110" i="157" s="1"/>
  <c r="AH120" i="152"/>
  <c r="AH122" i="152" s="1"/>
  <c r="M120" i="154"/>
  <c r="M122" i="154" s="1"/>
  <c r="AO108" i="152"/>
  <c r="AO110" i="152" s="1"/>
  <c r="AK120" i="158"/>
  <c r="AK122" i="158" s="1"/>
  <c r="AJ120" i="154"/>
  <c r="AJ122" i="154" s="1"/>
  <c r="O120" i="151"/>
  <c r="O122" i="151" s="1"/>
  <c r="R120" i="152"/>
  <c r="R122" i="152" s="1"/>
  <c r="Q120" i="151"/>
  <c r="Q122" i="151" s="1"/>
  <c r="AM117" i="158"/>
  <c r="AM118" i="158" s="1"/>
  <c r="AM120" i="158" s="1"/>
  <c r="AM122" i="158" s="1"/>
  <c r="AM121" i="158"/>
  <c r="V99" i="152"/>
  <c r="V109" i="152" s="1"/>
  <c r="V105" i="152"/>
  <c r="V108" i="152" s="1"/>
  <c r="V110" i="152" s="1"/>
  <c r="Y120" i="153"/>
  <c r="Y122" i="153" s="1"/>
  <c r="Y117" i="153"/>
  <c r="Y118" i="153" s="1"/>
  <c r="Y121" i="153"/>
  <c r="AM117" i="156"/>
  <c r="AM118" i="156" s="1"/>
  <c r="AM121" i="156" s="1"/>
  <c r="J123" i="158"/>
  <c r="J99" i="158"/>
  <c r="J109" i="158" s="1"/>
  <c r="J105" i="158"/>
  <c r="J108" i="158" s="1"/>
  <c r="J110" i="158" s="1"/>
  <c r="I123" i="154"/>
  <c r="I99" i="154"/>
  <c r="I109" i="154" s="1"/>
  <c r="I105" i="154"/>
  <c r="I108" i="154" s="1"/>
  <c r="U105" i="158"/>
  <c r="U108" i="158" s="1"/>
  <c r="U110" i="158" s="1"/>
  <c r="U99" i="158"/>
  <c r="U109" i="158" s="1"/>
  <c r="E117" i="158"/>
  <c r="E118" i="158" s="1"/>
  <c r="E121" i="158" s="1"/>
  <c r="T99" i="154"/>
  <c r="T109" i="154" s="1"/>
  <c r="T105" i="154"/>
  <c r="T108" i="154" s="1"/>
  <c r="T110" i="154" s="1"/>
  <c r="L110" i="156"/>
  <c r="AG108" i="160"/>
  <c r="AG110" i="160" s="1"/>
  <c r="X121" i="155"/>
  <c r="X120" i="155"/>
  <c r="X122" i="155" s="1"/>
  <c r="X117" i="155"/>
  <c r="X118" i="155" s="1"/>
  <c r="K110" i="152"/>
  <c r="AN108" i="158"/>
  <c r="AN110" i="158" s="1"/>
  <c r="H117" i="152"/>
  <c r="H118" i="152" s="1"/>
  <c r="H120" i="152" s="1"/>
  <c r="H122" i="152" s="1"/>
  <c r="Q120" i="157"/>
  <c r="Q122" i="157" s="1"/>
  <c r="AB108" i="158"/>
  <c r="AB110" i="158" s="1"/>
  <c r="AK120" i="160"/>
  <c r="AK122" i="160" s="1"/>
  <c r="W105" i="158"/>
  <c r="W108" i="158" s="1"/>
  <c r="W99" i="158"/>
  <c r="W109" i="158" s="1"/>
  <c r="T121" i="153"/>
  <c r="T117" i="153"/>
  <c r="T118" i="153" s="1"/>
  <c r="T120" i="153"/>
  <c r="T122" i="153" s="1"/>
  <c r="AE120" i="158"/>
  <c r="AE122" i="158" s="1"/>
  <c r="AE117" i="158"/>
  <c r="AE118" i="158" s="1"/>
  <c r="AE121" i="158"/>
  <c r="AI108" i="160"/>
  <c r="AI110" i="160" s="1"/>
  <c r="AP120" i="155"/>
  <c r="AP122" i="155" s="1"/>
  <c r="AB120" i="153"/>
  <c r="AB122" i="153" s="1"/>
  <c r="V120" i="153"/>
  <c r="V122" i="153" s="1"/>
  <c r="M117" i="153"/>
  <c r="M118" i="153" s="1"/>
  <c r="M120" i="153" s="1"/>
  <c r="M122" i="153" s="1"/>
  <c r="AB108" i="160"/>
  <c r="AB110" i="160" s="1"/>
  <c r="J117" i="157"/>
  <c r="J118" i="157" s="1"/>
  <c r="J120" i="157" s="1"/>
  <c r="J122" i="157" s="1"/>
  <c r="J121" i="157"/>
  <c r="AQ121" i="152"/>
  <c r="AQ120" i="152"/>
  <c r="AQ122" i="152" s="1"/>
  <c r="AQ117" i="152"/>
  <c r="AQ118" i="152" s="1"/>
  <c r="P110" i="153"/>
  <c r="W108" i="160"/>
  <c r="W110" i="160" s="1"/>
  <c r="E117" i="153"/>
  <c r="E118" i="153" s="1"/>
  <c r="E120" i="153" s="1"/>
  <c r="P120" i="155"/>
  <c r="P122" i="155" s="1"/>
  <c r="AP120" i="160"/>
  <c r="AP122" i="160" s="1"/>
  <c r="X105" i="152"/>
  <c r="X108" i="152" s="1"/>
  <c r="X99" i="152"/>
  <c r="X109" i="152" s="1"/>
  <c r="AH108" i="154"/>
  <c r="AH110" i="154" s="1"/>
  <c r="O110" i="158"/>
  <c r="AH120" i="158"/>
  <c r="AH122" i="158" s="1"/>
  <c r="AH117" i="158"/>
  <c r="AH118" i="158" s="1"/>
  <c r="AH121" i="158"/>
  <c r="AR108" i="152"/>
  <c r="AR110" i="152" s="1"/>
  <c r="G110" i="156"/>
  <c r="AI108" i="154"/>
  <c r="AI110" i="154" s="1"/>
  <c r="J110" i="153"/>
  <c r="AE120" i="155"/>
  <c r="AE122" i="155" s="1"/>
  <c r="P110" i="154"/>
  <c r="Z108" i="158"/>
  <c r="Z110" i="158" s="1"/>
  <c r="L123" i="154"/>
  <c r="L99" i="154"/>
  <c r="L109" i="154" s="1"/>
  <c r="L105" i="154"/>
  <c r="L108" i="154" s="1"/>
  <c r="L110" i="154" s="1"/>
  <c r="G117" i="151"/>
  <c r="G118" i="151" s="1"/>
  <c r="G121" i="151" s="1"/>
  <c r="X99" i="154"/>
  <c r="X109" i="154" s="1"/>
  <c r="X105" i="154"/>
  <c r="X108" i="154" s="1"/>
  <c r="X110" i="154" s="1"/>
  <c r="AE108" i="154"/>
  <c r="AE110" i="154" s="1"/>
  <c r="E110" i="157"/>
  <c r="AQ121" i="153"/>
  <c r="AO108" i="160"/>
  <c r="AO110" i="160" s="1"/>
  <c r="G110" i="159"/>
  <c r="H121" i="151"/>
  <c r="N110" i="159"/>
  <c r="T110" i="156"/>
  <c r="S123" i="158"/>
  <c r="S99" i="158"/>
  <c r="S109" i="158" s="1"/>
  <c r="S105" i="158"/>
  <c r="S108" i="158" s="1"/>
  <c r="S110" i="158" s="1"/>
  <c r="R120" i="151"/>
  <c r="R122" i="151" s="1"/>
  <c r="O110" i="157"/>
  <c r="Y117" i="155"/>
  <c r="Y118" i="155" s="1"/>
  <c r="Y121" i="155" s="1"/>
  <c r="AN121" i="157"/>
  <c r="AL108" i="160"/>
  <c r="AL110" i="160" s="1"/>
  <c r="O110" i="155"/>
  <c r="AK121" i="153"/>
  <c r="N123" i="157"/>
  <c r="N99" i="157"/>
  <c r="N109" i="157" s="1"/>
  <c r="N105" i="157"/>
  <c r="N108" i="157" s="1"/>
  <c r="S123" i="157"/>
  <c r="D129" i="157" s="1"/>
  <c r="S105" i="157"/>
  <c r="S108" i="157" s="1"/>
  <c r="S99" i="157"/>
  <c r="S109" i="157" s="1"/>
  <c r="I120" i="155"/>
  <c r="I122" i="155" s="1"/>
  <c r="U120" i="154"/>
  <c r="U122" i="154" s="1"/>
  <c r="K120" i="151"/>
  <c r="K122" i="151" s="1"/>
  <c r="X120" i="156"/>
  <c r="X122" i="156" s="1"/>
  <c r="S117" i="159"/>
  <c r="S118" i="159" s="1"/>
  <c r="S120" i="159" s="1"/>
  <c r="S122" i="159" s="1"/>
  <c r="N120" i="151"/>
  <c r="N122" i="151" s="1"/>
  <c r="Z117" i="160"/>
  <c r="Z118" i="160" s="1"/>
  <c r="Z121" i="160" s="1"/>
  <c r="T99" i="152"/>
  <c r="T109" i="152" s="1"/>
  <c r="T105" i="152"/>
  <c r="T108" i="152" s="1"/>
  <c r="T110" i="152" s="1"/>
  <c r="S121" i="156"/>
  <c r="S120" i="156"/>
  <c r="S122" i="156" s="1"/>
  <c r="S117" i="156"/>
  <c r="S118" i="156" s="1"/>
  <c r="AK117" i="154"/>
  <c r="AK118" i="154" s="1"/>
  <c r="AK121" i="154" s="1"/>
  <c r="AQ117" i="154"/>
  <c r="AQ118" i="154" s="1"/>
  <c r="AQ121" i="154"/>
  <c r="AQ120" i="154"/>
  <c r="AQ122" i="154" s="1"/>
  <c r="S120" i="155"/>
  <c r="S122" i="155" s="1"/>
  <c r="Q123" i="160"/>
  <c r="Q99" i="160"/>
  <c r="Q109" i="160" s="1"/>
  <c r="Q105" i="160"/>
  <c r="Q108" i="160" s="1"/>
  <c r="AC121" i="154"/>
  <c r="AC117" i="154"/>
  <c r="AC118" i="154" s="1"/>
  <c r="AC120" i="154"/>
  <c r="AC122" i="154" s="1"/>
  <c r="AH121" i="159"/>
  <c r="AH117" i="159"/>
  <c r="AH118" i="159" s="1"/>
  <c r="AH120" i="159"/>
  <c r="AH122" i="159" s="1"/>
  <c r="O121" i="159"/>
  <c r="O120" i="159"/>
  <c r="O122" i="159" s="1"/>
  <c r="O117" i="159"/>
  <c r="O118" i="159" s="1"/>
  <c r="AQ117" i="158"/>
  <c r="AQ118" i="158" s="1"/>
  <c r="AQ120" i="158" s="1"/>
  <c r="AQ122" i="158" s="1"/>
  <c r="AQ121" i="158"/>
  <c r="AR121" i="154"/>
  <c r="AR120" i="154"/>
  <c r="AR122" i="154" s="1"/>
  <c r="AR117" i="154"/>
  <c r="AR118" i="154" s="1"/>
  <c r="Z121" i="156"/>
  <c r="Z117" i="156"/>
  <c r="Z118" i="156" s="1"/>
  <c r="Z120" i="156" s="1"/>
  <c r="Z122" i="156" s="1"/>
  <c r="AB108" i="152"/>
  <c r="AB110" i="152" s="1"/>
  <c r="X110" i="153"/>
  <c r="N120" i="153"/>
  <c r="N122" i="153" s="1"/>
  <c r="W110" i="156"/>
  <c r="S123" i="152"/>
  <c r="S99" i="152"/>
  <c r="S109" i="152" s="1"/>
  <c r="S105" i="152"/>
  <c r="S108" i="152" s="1"/>
  <c r="S110" i="152" s="1"/>
  <c r="G123" i="158"/>
  <c r="D129" i="158" s="1"/>
  <c r="G105" i="158"/>
  <c r="G108" i="158" s="1"/>
  <c r="G99" i="158"/>
  <c r="G109" i="158" s="1"/>
  <c r="M121" i="160"/>
  <c r="M120" i="160"/>
  <c r="M122" i="160" s="1"/>
  <c r="M117" i="160"/>
  <c r="M118" i="160" s="1"/>
  <c r="AC108" i="160"/>
  <c r="AC110" i="160" s="1"/>
  <c r="V110" i="154"/>
  <c r="L123" i="152"/>
  <c r="L99" i="152"/>
  <c r="L109" i="152" s="1"/>
  <c r="L105" i="152"/>
  <c r="L108" i="152" s="1"/>
  <c r="L110" i="152" s="1"/>
  <c r="N123" i="152"/>
  <c r="N99" i="152"/>
  <c r="N109" i="152" s="1"/>
  <c r="N105" i="152"/>
  <c r="N108" i="152" s="1"/>
  <c r="AC108" i="158"/>
  <c r="AC110" i="158" s="1"/>
  <c r="F117" i="153"/>
  <c r="F118" i="153" s="1"/>
  <c r="F121" i="153"/>
  <c r="F120" i="153"/>
  <c r="F122" i="153" s="1"/>
  <c r="AA108" i="160"/>
  <c r="AA110" i="160" s="1"/>
  <c r="H117" i="153"/>
  <c r="H118" i="153" s="1"/>
  <c r="H121" i="153" s="1"/>
  <c r="M117" i="159"/>
  <c r="M118" i="159" s="1"/>
  <c r="M120" i="159" s="1"/>
  <c r="M122" i="159" s="1"/>
  <c r="E117" i="156"/>
  <c r="E118" i="156" s="1"/>
  <c r="E121" i="156" s="1"/>
  <c r="AR108" i="160"/>
  <c r="AR110" i="160" s="1"/>
  <c r="AO120" i="156"/>
  <c r="AO122" i="156" s="1"/>
  <c r="N123" i="154"/>
  <c r="N105" i="154"/>
  <c r="N108" i="154" s="1"/>
  <c r="N99" i="154"/>
  <c r="N109" i="154" s="1"/>
  <c r="O123" i="160"/>
  <c r="O99" i="160"/>
  <c r="O109" i="160" s="1"/>
  <c r="O105" i="160"/>
  <c r="O108" i="160" s="1"/>
  <c r="O110" i="160" s="1"/>
  <c r="AJ108" i="157"/>
  <c r="AJ110" i="157" s="1"/>
  <c r="K120" i="155"/>
  <c r="K122" i="155" s="1"/>
  <c r="K117" i="155"/>
  <c r="K118" i="155" s="1"/>
  <c r="K121" i="155"/>
  <c r="AM108" i="160"/>
  <c r="AM110" i="160" s="1"/>
  <c r="AL120" i="159"/>
  <c r="AL122" i="159" s="1"/>
  <c r="AF120" i="156"/>
  <c r="AF122" i="156" s="1"/>
  <c r="AI120" i="153"/>
  <c r="AI122" i="153" s="1"/>
  <c r="AK120" i="152"/>
  <c r="AK122" i="152" s="1"/>
  <c r="AC120" i="157"/>
  <c r="AC122" i="157" s="1"/>
  <c r="J123" i="160"/>
  <c r="J105" i="160"/>
  <c r="J108" i="160" s="1"/>
  <c r="J110" i="160" s="1"/>
  <c r="J99" i="160"/>
  <c r="J109" i="160" s="1"/>
  <c r="AE117" i="159"/>
  <c r="AE118" i="159" s="1"/>
  <c r="AE121" i="159" s="1"/>
  <c r="Q117" i="154"/>
  <c r="Q118" i="154" s="1"/>
  <c r="Q120" i="154" s="1"/>
  <c r="Q122" i="154" s="1"/>
  <c r="Q121" i="154"/>
  <c r="F120" i="159"/>
  <c r="F122" i="159" s="1"/>
  <c r="F117" i="159"/>
  <c r="F118" i="159" s="1"/>
  <c r="F121" i="159" s="1"/>
  <c r="R117" i="157"/>
  <c r="R118" i="157" s="1"/>
  <c r="R120" i="157" s="1"/>
  <c r="R122" i="157" s="1"/>
  <c r="V117" i="159"/>
  <c r="V118" i="159" s="1"/>
  <c r="V120" i="159" s="1"/>
  <c r="V122" i="159" s="1"/>
  <c r="AN117" i="160"/>
  <c r="AN118" i="160" s="1"/>
  <c r="AN120" i="160" s="1"/>
  <c r="AN122" i="160" s="1"/>
  <c r="AG121" i="152"/>
  <c r="AG120" i="152"/>
  <c r="AG122" i="152" s="1"/>
  <c r="AG117" i="152"/>
  <c r="AG118" i="152" s="1"/>
  <c r="AD108" i="154"/>
  <c r="AD110" i="154" s="1"/>
  <c r="AA108" i="154"/>
  <c r="AA110" i="154" s="1"/>
  <c r="U117" i="152"/>
  <c r="U118" i="152" s="1"/>
  <c r="U120" i="152" s="1"/>
  <c r="U122" i="152" s="1"/>
  <c r="U121" i="152"/>
  <c r="N120" i="160"/>
  <c r="N122" i="160" s="1"/>
  <c r="J117" i="159"/>
  <c r="J118" i="159" s="1"/>
  <c r="J121" i="159" s="1"/>
  <c r="AB117" i="157"/>
  <c r="AB118" i="157" s="1"/>
  <c r="AB120" i="157" s="1"/>
  <c r="AB122" i="157" s="1"/>
  <c r="AP117" i="157"/>
  <c r="AP118" i="157" s="1"/>
  <c r="AP121" i="157" s="1"/>
  <c r="U108" i="160"/>
  <c r="U110" i="160" s="1"/>
  <c r="AH117" i="153"/>
  <c r="AH118" i="153" s="1"/>
  <c r="AH121" i="153" s="1"/>
  <c r="AH120" i="153"/>
  <c r="AH122" i="153" s="1"/>
  <c r="K110" i="154"/>
  <c r="R110" i="158"/>
  <c r="AM121" i="157"/>
  <c r="AM117" i="157"/>
  <c r="AM118" i="157" s="1"/>
  <c r="AM120" i="157" s="1"/>
  <c r="AM122" i="157" s="1"/>
  <c r="AR108" i="157"/>
  <c r="AR110" i="157" s="1"/>
  <c r="AM108" i="152"/>
  <c r="AM110" i="152" s="1"/>
  <c r="AE108" i="157"/>
  <c r="AE110" i="157" s="1"/>
  <c r="R123" i="153"/>
  <c r="D129" i="153" s="1"/>
  <c r="R99" i="153"/>
  <c r="R109" i="153" s="1"/>
  <c r="R105" i="153"/>
  <c r="R108" i="153" s="1"/>
  <c r="R110" i="153" s="1"/>
  <c r="H99" i="157"/>
  <c r="H109" i="157" s="1"/>
  <c r="H123" i="157"/>
  <c r="H105" i="157"/>
  <c r="H108" i="157" s="1"/>
  <c r="H110" i="157" s="1"/>
  <c r="L123" i="160"/>
  <c r="L99" i="160"/>
  <c r="L109" i="160" s="1"/>
  <c r="L105" i="160"/>
  <c r="L108" i="160" s="1"/>
  <c r="L110" i="160" s="1"/>
  <c r="AG121" i="155"/>
  <c r="AG120" i="155"/>
  <c r="AG122" i="155" s="1"/>
  <c r="AG117" i="155"/>
  <c r="AG118" i="155" s="1"/>
  <c r="S123" i="160"/>
  <c r="S105" i="160"/>
  <c r="S108" i="160" s="1"/>
  <c r="S110" i="160" s="1"/>
  <c r="S99" i="160"/>
  <c r="S109" i="160" s="1"/>
  <c r="O123" i="154"/>
  <c r="O99" i="154"/>
  <c r="O109" i="154" s="1"/>
  <c r="O105" i="154"/>
  <c r="O108" i="154" s="1"/>
  <c r="F123" i="154"/>
  <c r="D129" i="154" s="1"/>
  <c r="F105" i="154"/>
  <c r="F108" i="154" s="1"/>
  <c r="F99" i="154"/>
  <c r="F109" i="154" s="1"/>
  <c r="J123" i="154"/>
  <c r="J99" i="154"/>
  <c r="J109" i="154" s="1"/>
  <c r="J105" i="154"/>
  <c r="J108" i="154" s="1"/>
  <c r="J110" i="154" s="1"/>
  <c r="E110" i="159"/>
  <c r="W99" i="157"/>
  <c r="W109" i="157" s="1"/>
  <c r="W105" i="157"/>
  <c r="W108" i="157" s="1"/>
  <c r="W110" i="157" s="1"/>
  <c r="I120" i="157"/>
  <c r="I122" i="157" s="1"/>
  <c r="I117" i="157"/>
  <c r="I118" i="157" s="1"/>
  <c r="I121" i="157" s="1"/>
  <c r="W110" i="159"/>
  <c r="T108" i="160"/>
  <c r="T110" i="160" s="1"/>
  <c r="AD108" i="152"/>
  <c r="AD110" i="152" s="1"/>
  <c r="Q123" i="152"/>
  <c r="Q99" i="152"/>
  <c r="Q109" i="152" s="1"/>
  <c r="Q105" i="152"/>
  <c r="Q108" i="152" s="1"/>
  <c r="Q110" i="152" s="1"/>
  <c r="AE121" i="156"/>
  <c r="AE117" i="156"/>
  <c r="AE118" i="156" s="1"/>
  <c r="AE120" i="156"/>
  <c r="AE122" i="156" s="1"/>
  <c r="P123" i="160"/>
  <c r="D129" i="160" s="1"/>
  <c r="P99" i="160"/>
  <c r="P109" i="160" s="1"/>
  <c r="P105" i="160"/>
  <c r="P108" i="160" s="1"/>
  <c r="P110" i="160" s="1"/>
  <c r="I123" i="158"/>
  <c r="I99" i="158"/>
  <c r="I109" i="158" s="1"/>
  <c r="I105" i="158"/>
  <c r="I108" i="158" s="1"/>
  <c r="I110" i="158" s="1"/>
  <c r="Z108" i="154"/>
  <c r="Z110" i="154" s="1"/>
  <c r="Y108" i="154"/>
  <c r="Y110" i="154" s="1"/>
  <c r="J120" i="155"/>
  <c r="J122" i="155" s="1"/>
  <c r="F29" i="149"/>
  <c r="H29" i="149"/>
  <c r="D29" i="149"/>
  <c r="E122" i="153" l="1"/>
  <c r="P117" i="160"/>
  <c r="P118" i="160" s="1"/>
  <c r="P121" i="160" s="1"/>
  <c r="R117" i="153"/>
  <c r="R118" i="153" s="1"/>
  <c r="R121" i="153" s="1"/>
  <c r="T120" i="152"/>
  <c r="T122" i="152" s="1"/>
  <c r="T117" i="152"/>
  <c r="T118" i="152" s="1"/>
  <c r="T121" i="152"/>
  <c r="T117" i="156"/>
  <c r="T118" i="156" s="1"/>
  <c r="T121" i="156" s="1"/>
  <c r="K120" i="152"/>
  <c r="K122" i="152" s="1"/>
  <c r="K117" i="152"/>
  <c r="K118" i="152" s="1"/>
  <c r="K121" i="152" s="1"/>
  <c r="G117" i="157"/>
  <c r="G118" i="157" s="1"/>
  <c r="G121" i="157" s="1"/>
  <c r="I120" i="160"/>
  <c r="I122" i="160" s="1"/>
  <c r="I117" i="160"/>
  <c r="I118" i="160" s="1"/>
  <c r="I121" i="160" s="1"/>
  <c r="R117" i="154"/>
  <c r="R118" i="154" s="1"/>
  <c r="R121" i="154" s="1"/>
  <c r="R120" i="154"/>
  <c r="R122" i="154" s="1"/>
  <c r="K117" i="160"/>
  <c r="K118" i="160" s="1"/>
  <c r="K120" i="160" s="1"/>
  <c r="K122" i="160" s="1"/>
  <c r="K121" i="160"/>
  <c r="AD121" i="152"/>
  <c r="AD120" i="152"/>
  <c r="AD122" i="152" s="1"/>
  <c r="AD117" i="152"/>
  <c r="AD118" i="152" s="1"/>
  <c r="O110" i="154"/>
  <c r="R117" i="158"/>
  <c r="R118" i="158" s="1"/>
  <c r="R121" i="158"/>
  <c r="R120" i="158"/>
  <c r="R122" i="158" s="1"/>
  <c r="AP120" i="157"/>
  <c r="AP122" i="157" s="1"/>
  <c r="R121" i="157"/>
  <c r="N110" i="154"/>
  <c r="M121" i="159"/>
  <c r="AA117" i="160"/>
  <c r="AA118" i="160" s="1"/>
  <c r="AA120" i="160" s="1"/>
  <c r="AA122" i="160" s="1"/>
  <c r="AA121" i="160"/>
  <c r="W120" i="156"/>
  <c r="W122" i="156" s="1"/>
  <c r="W117" i="156"/>
  <c r="W118" i="156" s="1"/>
  <c r="W121" i="156" s="1"/>
  <c r="Q110" i="160"/>
  <c r="AK120" i="154"/>
  <c r="AK122" i="154" s="1"/>
  <c r="N110" i="157"/>
  <c r="Y120" i="155"/>
  <c r="Y122" i="155" s="1"/>
  <c r="N117" i="159"/>
  <c r="N118" i="159" s="1"/>
  <c r="N120" i="159" s="1"/>
  <c r="N122" i="159" s="1"/>
  <c r="Z117" i="158"/>
  <c r="Z118" i="158" s="1"/>
  <c r="Z121" i="158" s="1"/>
  <c r="E121" i="153"/>
  <c r="M121" i="153"/>
  <c r="AB117" i="158"/>
  <c r="AB118" i="158" s="1"/>
  <c r="AB120" i="158"/>
  <c r="AB122" i="158" s="1"/>
  <c r="AB121" i="158"/>
  <c r="E120" i="158"/>
  <c r="I120" i="153"/>
  <c r="I122" i="153" s="1"/>
  <c r="I117" i="153"/>
  <c r="I118" i="153" s="1"/>
  <c r="I121" i="153"/>
  <c r="AQ120" i="156"/>
  <c r="AQ122" i="156" s="1"/>
  <c r="AG120" i="158"/>
  <c r="AG122" i="158" s="1"/>
  <c r="G110" i="154"/>
  <c r="AF120" i="154"/>
  <c r="AF122" i="154" s="1"/>
  <c r="AQ120" i="157"/>
  <c r="AQ122" i="157" s="1"/>
  <c r="H120" i="158"/>
  <c r="H122" i="158" s="1"/>
  <c r="Y120" i="152"/>
  <c r="Y122" i="152" s="1"/>
  <c r="Y117" i="152"/>
  <c r="Y118" i="152" s="1"/>
  <c r="Y121" i="152" s="1"/>
  <c r="I110" i="152"/>
  <c r="AB121" i="156"/>
  <c r="K120" i="159"/>
  <c r="K122" i="159" s="1"/>
  <c r="F110" i="152"/>
  <c r="AO121" i="153"/>
  <c r="T117" i="160"/>
  <c r="T118" i="160" s="1"/>
  <c r="T121" i="160" s="1"/>
  <c r="J121" i="158"/>
  <c r="J120" i="158"/>
  <c r="J122" i="158" s="1"/>
  <c r="J117" i="158"/>
  <c r="J118" i="158" s="1"/>
  <c r="E122" i="160"/>
  <c r="O120" i="152"/>
  <c r="O122" i="152" s="1"/>
  <c r="O117" i="152"/>
  <c r="O118" i="152" s="1"/>
  <c r="O121" i="152" s="1"/>
  <c r="Q120" i="158"/>
  <c r="Q122" i="158" s="1"/>
  <c r="Q117" i="158"/>
  <c r="Q118" i="158" s="1"/>
  <c r="Q121" i="158"/>
  <c r="AB117" i="154"/>
  <c r="AB118" i="154" s="1"/>
  <c r="AB121" i="154"/>
  <c r="AB120" i="154"/>
  <c r="AB122" i="154" s="1"/>
  <c r="R121" i="160"/>
  <c r="R117" i="160"/>
  <c r="R118" i="160" s="1"/>
  <c r="R120" i="160" s="1"/>
  <c r="R122" i="160" s="1"/>
  <c r="AI117" i="152"/>
  <c r="AI118" i="152" s="1"/>
  <c r="AI121" i="152" s="1"/>
  <c r="K117" i="156"/>
  <c r="K118" i="156" s="1"/>
  <c r="K120" i="156" s="1"/>
  <c r="K122" i="156" s="1"/>
  <c r="G120" i="151"/>
  <c r="V117" i="152"/>
  <c r="V118" i="152" s="1"/>
  <c r="V120" i="152" s="1"/>
  <c r="V122" i="152" s="1"/>
  <c r="AI117" i="158"/>
  <c r="AI118" i="158" s="1"/>
  <c r="AI121" i="158" s="1"/>
  <c r="AF120" i="160"/>
  <c r="AF122" i="160" s="1"/>
  <c r="M117" i="152"/>
  <c r="M118" i="152" s="1"/>
  <c r="M121" i="152"/>
  <c r="M120" i="152"/>
  <c r="M122" i="152" s="1"/>
  <c r="T110" i="158"/>
  <c r="H121" i="160"/>
  <c r="H117" i="160"/>
  <c r="H118" i="160" s="1"/>
  <c r="H120" i="160" s="1"/>
  <c r="H122" i="160" s="1"/>
  <c r="E120" i="154"/>
  <c r="E117" i="154"/>
  <c r="E118" i="154" s="1"/>
  <c r="E121" i="154" s="1"/>
  <c r="X120" i="160"/>
  <c r="X122" i="160" s="1"/>
  <c r="W120" i="155"/>
  <c r="W122" i="155" s="1"/>
  <c r="J120" i="152"/>
  <c r="J122" i="152" s="1"/>
  <c r="W120" i="157"/>
  <c r="W122" i="157" s="1"/>
  <c r="W117" i="157"/>
  <c r="W118" i="157" s="1"/>
  <c r="W121" i="157" s="1"/>
  <c r="J117" i="160"/>
  <c r="J118" i="160" s="1"/>
  <c r="J121" i="160" s="1"/>
  <c r="X117" i="154"/>
  <c r="X118" i="154" s="1"/>
  <c r="X121" i="154" s="1"/>
  <c r="E120" i="159"/>
  <c r="E117" i="159"/>
  <c r="E118" i="159" s="1"/>
  <c r="E121" i="159" s="1"/>
  <c r="K121" i="154"/>
  <c r="K117" i="154"/>
  <c r="K118" i="154" s="1"/>
  <c r="K120" i="154" s="1"/>
  <c r="K122" i="154" s="1"/>
  <c r="Y117" i="154"/>
  <c r="Y118" i="154" s="1"/>
  <c r="Y120" i="154" s="1"/>
  <c r="Y122" i="154" s="1"/>
  <c r="X121" i="153"/>
  <c r="X120" i="153"/>
  <c r="X122" i="153" s="1"/>
  <c r="X117" i="153"/>
  <c r="X118" i="153" s="1"/>
  <c r="Z120" i="160"/>
  <c r="Z122" i="160" s="1"/>
  <c r="O120" i="157"/>
  <c r="O122" i="157" s="1"/>
  <c r="O117" i="157"/>
  <c r="O118" i="157" s="1"/>
  <c r="O121" i="157" s="1"/>
  <c r="G121" i="159"/>
  <c r="G117" i="159"/>
  <c r="G118" i="159" s="1"/>
  <c r="G120" i="159" s="1"/>
  <c r="G122" i="159" s="1"/>
  <c r="O120" i="158"/>
  <c r="O122" i="158" s="1"/>
  <c r="O117" i="158"/>
  <c r="O118" i="158" s="1"/>
  <c r="O121" i="158"/>
  <c r="Z117" i="154"/>
  <c r="Z118" i="154" s="1"/>
  <c r="Z121" i="154" s="1"/>
  <c r="AM121" i="152"/>
  <c r="AM120" i="152"/>
  <c r="AM122" i="152" s="1"/>
  <c r="AM117" i="152"/>
  <c r="AM118" i="152" s="1"/>
  <c r="AB121" i="157"/>
  <c r="AN121" i="160"/>
  <c r="AE120" i="159"/>
  <c r="AE122" i="159" s="1"/>
  <c r="AJ121" i="157"/>
  <c r="AJ117" i="157"/>
  <c r="AJ118" i="157" s="1"/>
  <c r="AJ120" i="157" s="1"/>
  <c r="AJ122" i="157" s="1"/>
  <c r="AR117" i="160"/>
  <c r="AR118" i="160" s="1"/>
  <c r="AR120" i="160" s="1"/>
  <c r="AR122" i="160" s="1"/>
  <c r="G110" i="158"/>
  <c r="AB117" i="152"/>
  <c r="AB118" i="152" s="1"/>
  <c r="AB121" i="152" s="1"/>
  <c r="AO121" i="160"/>
  <c r="AO120" i="160"/>
  <c r="AO122" i="160" s="1"/>
  <c r="AO117" i="160"/>
  <c r="AO118" i="160" s="1"/>
  <c r="J117" i="153"/>
  <c r="J118" i="153" s="1"/>
  <c r="J121" i="153" s="1"/>
  <c r="AH117" i="154"/>
  <c r="AH118" i="154" s="1"/>
  <c r="AH121" i="154" s="1"/>
  <c r="H121" i="152"/>
  <c r="AG121" i="160"/>
  <c r="AG120" i="160"/>
  <c r="AG122" i="160" s="1"/>
  <c r="AG117" i="160"/>
  <c r="AG118" i="160" s="1"/>
  <c r="Q121" i="153"/>
  <c r="AJ120" i="158"/>
  <c r="AJ122" i="158" s="1"/>
  <c r="O120" i="156"/>
  <c r="O122" i="156" s="1"/>
  <c r="Z117" i="152"/>
  <c r="Z118" i="152" s="1"/>
  <c r="Z121" i="152" s="1"/>
  <c r="L121" i="153"/>
  <c r="L120" i="153"/>
  <c r="L122" i="153" s="1"/>
  <c r="L117" i="153"/>
  <c r="L118" i="153" s="1"/>
  <c r="F110" i="158"/>
  <c r="L120" i="157"/>
  <c r="L122" i="157" s="1"/>
  <c r="L117" i="157"/>
  <c r="L118" i="157" s="1"/>
  <c r="L121" i="157" s="1"/>
  <c r="AA121" i="158"/>
  <c r="P120" i="152"/>
  <c r="P122" i="152" s="1"/>
  <c r="V110" i="157"/>
  <c r="E121" i="152"/>
  <c r="E120" i="152"/>
  <c r="E117" i="152"/>
  <c r="E118" i="152" s="1"/>
  <c r="R121" i="156"/>
  <c r="R120" i="156"/>
  <c r="R122" i="156" s="1"/>
  <c r="R117" i="156"/>
  <c r="R118" i="156" s="1"/>
  <c r="AA121" i="152"/>
  <c r="AA120" i="152"/>
  <c r="AA122" i="152" s="1"/>
  <c r="AA117" i="152"/>
  <c r="AA118" i="152" s="1"/>
  <c r="AD121" i="160"/>
  <c r="AD120" i="160"/>
  <c r="AD122" i="160" s="1"/>
  <c r="AD117" i="160"/>
  <c r="AD118" i="160" s="1"/>
  <c r="K121" i="158"/>
  <c r="K117" i="158"/>
  <c r="K118" i="158" s="1"/>
  <c r="K120" i="158"/>
  <c r="K122" i="158" s="1"/>
  <c r="AG120" i="157"/>
  <c r="AG122" i="157" s="1"/>
  <c r="AG117" i="157"/>
  <c r="AG118" i="157" s="1"/>
  <c r="AG121" i="157" s="1"/>
  <c r="L117" i="160"/>
  <c r="L118" i="160" s="1"/>
  <c r="L121" i="160" s="1"/>
  <c r="L120" i="152"/>
  <c r="L122" i="152" s="1"/>
  <c r="L117" i="152"/>
  <c r="L118" i="152" s="1"/>
  <c r="L121" i="152"/>
  <c r="P121" i="154"/>
  <c r="P117" i="154"/>
  <c r="P118" i="154" s="1"/>
  <c r="P120" i="154"/>
  <c r="P122" i="154" s="1"/>
  <c r="J121" i="154"/>
  <c r="J117" i="154"/>
  <c r="J118" i="154" s="1"/>
  <c r="J120" i="154" s="1"/>
  <c r="J122" i="154" s="1"/>
  <c r="S117" i="160"/>
  <c r="S118" i="160" s="1"/>
  <c r="S121" i="160" s="1"/>
  <c r="O117" i="155"/>
  <c r="O118" i="155" s="1"/>
  <c r="O121" i="155" s="1"/>
  <c r="AI121" i="154"/>
  <c r="AI120" i="154"/>
  <c r="AI122" i="154" s="1"/>
  <c r="AI117" i="154"/>
  <c r="AI118" i="154" s="1"/>
  <c r="L121" i="156"/>
  <c r="L117" i="156"/>
  <c r="L118" i="156" s="1"/>
  <c r="L120" i="156"/>
  <c r="L122" i="156" s="1"/>
  <c r="AC121" i="160"/>
  <c r="AC117" i="160"/>
  <c r="AC118" i="160" s="1"/>
  <c r="AC120" i="160"/>
  <c r="AC122" i="160" s="1"/>
  <c r="AL117" i="160"/>
  <c r="AL118" i="160" s="1"/>
  <c r="AL121" i="160" s="1"/>
  <c r="E121" i="157"/>
  <c r="E120" i="157"/>
  <c r="E117" i="157"/>
  <c r="E118" i="157" s="1"/>
  <c r="G117" i="156"/>
  <c r="G118" i="156" s="1"/>
  <c r="G121" i="156" s="1"/>
  <c r="P121" i="153"/>
  <c r="P120" i="153"/>
  <c r="P122" i="153" s="1"/>
  <c r="P117" i="153"/>
  <c r="P118" i="153" s="1"/>
  <c r="T121" i="154"/>
  <c r="T117" i="154"/>
  <c r="T118" i="154" s="1"/>
  <c r="T120" i="154" s="1"/>
  <c r="T122" i="154" s="1"/>
  <c r="AM120" i="156"/>
  <c r="AM122" i="156" s="1"/>
  <c r="Q120" i="156"/>
  <c r="Q122" i="156" s="1"/>
  <c r="T120" i="157"/>
  <c r="T122" i="157" s="1"/>
  <c r="AP120" i="158"/>
  <c r="AP122" i="158" s="1"/>
  <c r="J121" i="156"/>
  <c r="J117" i="156"/>
  <c r="J118" i="156" s="1"/>
  <c r="J120" i="156" s="1"/>
  <c r="J122" i="156" s="1"/>
  <c r="K110" i="157"/>
  <c r="AF117" i="152"/>
  <c r="AF118" i="152" s="1"/>
  <c r="AF120" i="152" s="1"/>
  <c r="AF122" i="152" s="1"/>
  <c r="AD121" i="159"/>
  <c r="AF120" i="153"/>
  <c r="AF122" i="153" s="1"/>
  <c r="W117" i="159"/>
  <c r="W118" i="159" s="1"/>
  <c r="W121" i="159" s="1"/>
  <c r="AE120" i="157"/>
  <c r="AE122" i="157" s="1"/>
  <c r="AE117" i="157"/>
  <c r="AE118" i="157" s="1"/>
  <c r="AE121" i="157" s="1"/>
  <c r="I117" i="158"/>
  <c r="I118" i="158" s="1"/>
  <c r="I121" i="158" s="1"/>
  <c r="H120" i="157"/>
  <c r="H122" i="157" s="1"/>
  <c r="H117" i="157"/>
  <c r="H118" i="157" s="1"/>
  <c r="H121" i="157"/>
  <c r="AR121" i="157"/>
  <c r="AR120" i="157"/>
  <c r="AR122" i="157" s="1"/>
  <c r="AR117" i="157"/>
  <c r="AR118" i="157" s="1"/>
  <c r="J120" i="159"/>
  <c r="J122" i="159" s="1"/>
  <c r="AA120" i="154"/>
  <c r="AA122" i="154" s="1"/>
  <c r="AA117" i="154"/>
  <c r="AA118" i="154" s="1"/>
  <c r="AA121" i="154"/>
  <c r="O121" i="160"/>
  <c r="O120" i="160"/>
  <c r="O122" i="160" s="1"/>
  <c r="O117" i="160"/>
  <c r="O118" i="160" s="1"/>
  <c r="V121" i="154"/>
  <c r="V120" i="154"/>
  <c r="V122" i="154" s="1"/>
  <c r="V117" i="154"/>
  <c r="V118" i="154" s="1"/>
  <c r="S117" i="158"/>
  <c r="S118" i="158" s="1"/>
  <c r="S121" i="158" s="1"/>
  <c r="W117" i="160"/>
  <c r="W118" i="160" s="1"/>
  <c r="W121" i="160" s="1"/>
  <c r="U120" i="158"/>
  <c r="U122" i="158" s="1"/>
  <c r="U117" i="158"/>
  <c r="U118" i="158" s="1"/>
  <c r="U121" i="158" s="1"/>
  <c r="AO121" i="152"/>
  <c r="AO120" i="152"/>
  <c r="AO122" i="152" s="1"/>
  <c r="AO117" i="152"/>
  <c r="AO118" i="152" s="1"/>
  <c r="R117" i="159"/>
  <c r="R118" i="159" s="1"/>
  <c r="R121" i="159" s="1"/>
  <c r="R120" i="159"/>
  <c r="R122" i="159" s="1"/>
  <c r="Q121" i="152"/>
  <c r="Q120" i="152"/>
  <c r="Q122" i="152" s="1"/>
  <c r="Q117" i="152"/>
  <c r="Q118" i="152" s="1"/>
  <c r="U117" i="160"/>
  <c r="U118" i="160" s="1"/>
  <c r="U121" i="160" s="1"/>
  <c r="AD121" i="154"/>
  <c r="AD120" i="154"/>
  <c r="AD122" i="154" s="1"/>
  <c r="AD117" i="154"/>
  <c r="AD118" i="154" s="1"/>
  <c r="V121" i="159"/>
  <c r="E120" i="156"/>
  <c r="H120" i="153"/>
  <c r="H122" i="153" s="1"/>
  <c r="AC121" i="158"/>
  <c r="AC117" i="158"/>
  <c r="AC118" i="158" s="1"/>
  <c r="AC120" i="158"/>
  <c r="AC122" i="158" s="1"/>
  <c r="S121" i="152"/>
  <c r="S120" i="152"/>
  <c r="S122" i="152" s="1"/>
  <c r="S117" i="152"/>
  <c r="S118" i="152" s="1"/>
  <c r="S121" i="159"/>
  <c r="L117" i="154"/>
  <c r="L118" i="154" s="1"/>
  <c r="L120" i="154" s="1"/>
  <c r="L122" i="154" s="1"/>
  <c r="X110" i="152"/>
  <c r="F110" i="154"/>
  <c r="AM117" i="160"/>
  <c r="AM118" i="160" s="1"/>
  <c r="AM121" i="160" s="1"/>
  <c r="N110" i="152"/>
  <c r="S110" i="157"/>
  <c r="AE120" i="154"/>
  <c r="AE122" i="154" s="1"/>
  <c r="AE117" i="154"/>
  <c r="AE118" i="154" s="1"/>
  <c r="AE121" i="154"/>
  <c r="AR117" i="152"/>
  <c r="AR118" i="152" s="1"/>
  <c r="AR120" i="152" s="1"/>
  <c r="AR122" i="152" s="1"/>
  <c r="AR121" i="152"/>
  <c r="AB117" i="160"/>
  <c r="AB118" i="160" s="1"/>
  <c r="AB121" i="160"/>
  <c r="AB120" i="160"/>
  <c r="AB122" i="160" s="1"/>
  <c r="AI117" i="160"/>
  <c r="AI118" i="160" s="1"/>
  <c r="AI121" i="160" s="1"/>
  <c r="W110" i="158"/>
  <c r="AN117" i="158"/>
  <c r="AN118" i="158" s="1"/>
  <c r="AN121" i="158" s="1"/>
  <c r="I110" i="154"/>
  <c r="G110" i="152"/>
  <c r="D129" i="152"/>
  <c r="Y117" i="158"/>
  <c r="Y118" i="158" s="1"/>
  <c r="Y120" i="158" s="1"/>
  <c r="Y122" i="158" s="1"/>
  <c r="Y121" i="158"/>
  <c r="S110" i="154"/>
  <c r="G110" i="160"/>
  <c r="W110" i="154"/>
  <c r="H28" i="149"/>
  <c r="F28" i="149"/>
  <c r="D28" i="149"/>
  <c r="H27" i="149"/>
  <c r="F27" i="149"/>
  <c r="D27" i="149"/>
  <c r="F117" i="152" l="1"/>
  <c r="F118" i="152" s="1"/>
  <c r="F121" i="152" s="1"/>
  <c r="O117" i="154"/>
  <c r="O118" i="154" s="1"/>
  <c r="O120" i="154" s="1"/>
  <c r="O122" i="154" s="1"/>
  <c r="O121" i="154"/>
  <c r="G117" i="152"/>
  <c r="G118" i="152" s="1"/>
  <c r="G120" i="152" s="1"/>
  <c r="G122" i="152" s="1"/>
  <c r="G121" i="152"/>
  <c r="AI120" i="160"/>
  <c r="AI122" i="160" s="1"/>
  <c r="X117" i="152"/>
  <c r="X118" i="152" s="1"/>
  <c r="X121" i="152" s="1"/>
  <c r="X120" i="152"/>
  <c r="X122" i="152" s="1"/>
  <c r="I120" i="158"/>
  <c r="I122" i="158" s="1"/>
  <c r="S120" i="160"/>
  <c r="S122" i="160" s="1"/>
  <c r="L120" i="160"/>
  <c r="L122" i="160" s="1"/>
  <c r="J120" i="153"/>
  <c r="J122" i="153" s="1"/>
  <c r="AB120" i="152"/>
  <c r="AB122" i="152" s="1"/>
  <c r="Z120" i="154"/>
  <c r="Z122" i="154" s="1"/>
  <c r="J120" i="160"/>
  <c r="J122" i="160" s="1"/>
  <c r="AI120" i="158"/>
  <c r="AI122" i="158" s="1"/>
  <c r="K121" i="156"/>
  <c r="E122" i="158"/>
  <c r="Z120" i="158"/>
  <c r="Z122" i="158" s="1"/>
  <c r="Q117" i="160"/>
  <c r="Q118" i="160" s="1"/>
  <c r="Q121" i="160" s="1"/>
  <c r="N120" i="154"/>
  <c r="N122" i="154" s="1"/>
  <c r="N117" i="154"/>
  <c r="N118" i="154" s="1"/>
  <c r="N121" i="154" s="1"/>
  <c r="G120" i="157"/>
  <c r="G122" i="157" s="1"/>
  <c r="T120" i="156"/>
  <c r="T122" i="156" s="1"/>
  <c r="R120" i="153"/>
  <c r="R122" i="153" s="1"/>
  <c r="F117" i="154"/>
  <c r="F118" i="154" s="1"/>
  <c r="F121" i="154" s="1"/>
  <c r="I117" i="154"/>
  <c r="I118" i="154" s="1"/>
  <c r="I120" i="154" s="1"/>
  <c r="I122" i="154" s="1"/>
  <c r="L121" i="154"/>
  <c r="S120" i="158"/>
  <c r="S122" i="158" s="1"/>
  <c r="AF121" i="152"/>
  <c r="E122" i="157"/>
  <c r="O120" i="155"/>
  <c r="G120" i="158"/>
  <c r="G122" i="158" s="1"/>
  <c r="G117" i="158"/>
  <c r="G118" i="158" s="1"/>
  <c r="G121" i="158" s="1"/>
  <c r="Y121" i="154"/>
  <c r="T120" i="158"/>
  <c r="T122" i="158" s="1"/>
  <c r="T117" i="158"/>
  <c r="T118" i="158" s="1"/>
  <c r="T121" i="158"/>
  <c r="G120" i="154"/>
  <c r="G122" i="154" s="1"/>
  <c r="G117" i="154"/>
  <c r="G118" i="154" s="1"/>
  <c r="G121" i="154"/>
  <c r="N121" i="159"/>
  <c r="T120" i="160"/>
  <c r="T122" i="160" s="1"/>
  <c r="I117" i="152"/>
  <c r="I118" i="152" s="1"/>
  <c r="I121" i="152" s="1"/>
  <c r="P120" i="160"/>
  <c r="P122" i="160" s="1"/>
  <c r="G120" i="160"/>
  <c r="G117" i="160"/>
  <c r="G118" i="160" s="1"/>
  <c r="G121" i="160" s="1"/>
  <c r="D128" i="159"/>
  <c r="C5" i="159" s="1"/>
  <c r="E122" i="159"/>
  <c r="E122" i="154"/>
  <c r="S117" i="154"/>
  <c r="S118" i="154" s="1"/>
  <c r="S121" i="154" s="1"/>
  <c r="AN120" i="158"/>
  <c r="AN122" i="158" s="1"/>
  <c r="N121" i="152"/>
  <c r="N120" i="152"/>
  <c r="N122" i="152" s="1"/>
  <c r="N117" i="152"/>
  <c r="N118" i="152" s="1"/>
  <c r="U120" i="160"/>
  <c r="U122" i="160" s="1"/>
  <c r="Z120" i="152"/>
  <c r="Z122" i="152" s="1"/>
  <c r="AR121" i="160"/>
  <c r="V121" i="152"/>
  <c r="AI120" i="152"/>
  <c r="AI122" i="152" s="1"/>
  <c r="W117" i="154"/>
  <c r="W118" i="154" s="1"/>
  <c r="W121" i="154" s="1"/>
  <c r="S117" i="157"/>
  <c r="S118" i="157" s="1"/>
  <c r="S121" i="157" s="1"/>
  <c r="K117" i="157"/>
  <c r="K118" i="157" s="1"/>
  <c r="K121" i="157" s="1"/>
  <c r="G120" i="156"/>
  <c r="G122" i="156" s="1"/>
  <c r="AL120" i="160"/>
  <c r="AL122" i="160" s="1"/>
  <c r="F121" i="158"/>
  <c r="F120" i="158"/>
  <c r="F122" i="158" s="1"/>
  <c r="F117" i="158"/>
  <c r="F118" i="158" s="1"/>
  <c r="AH120" i="154"/>
  <c r="AH122" i="154" s="1"/>
  <c r="X120" i="154"/>
  <c r="X122" i="154" s="1"/>
  <c r="G122" i="151"/>
  <c r="D128" i="151"/>
  <c r="C5" i="151" s="1"/>
  <c r="E122" i="152"/>
  <c r="W120" i="158"/>
  <c r="W122" i="158" s="1"/>
  <c r="W117" i="158"/>
  <c r="W118" i="158" s="1"/>
  <c r="W121" i="158"/>
  <c r="AM120" i="160"/>
  <c r="AM122" i="160" s="1"/>
  <c r="W120" i="160"/>
  <c r="W122" i="160" s="1"/>
  <c r="W120" i="159"/>
  <c r="W122" i="159" s="1"/>
  <c r="E122" i="156"/>
  <c r="V120" i="157"/>
  <c r="V122" i="157" s="1"/>
  <c r="V117" i="157"/>
  <c r="V118" i="157" s="1"/>
  <c r="V121" i="157"/>
  <c r="N117" i="157"/>
  <c r="N118" i="157" s="1"/>
  <c r="N120" i="157" s="1"/>
  <c r="N122" i="157" s="1"/>
  <c r="N121" i="157"/>
  <c r="D128" i="153"/>
  <c r="C5" i="153" s="1"/>
  <c r="K120" i="157" l="1"/>
  <c r="W120" i="154"/>
  <c r="W122" i="154" s="1"/>
  <c r="I120" i="152"/>
  <c r="I122" i="152" s="1"/>
  <c r="Q120" i="160"/>
  <c r="Q122" i="160" s="1"/>
  <c r="I121" i="154"/>
  <c r="C6" i="159"/>
  <c r="I125" i="159"/>
  <c r="E124" i="159"/>
  <c r="P125" i="159"/>
  <c r="H125" i="159"/>
  <c r="L125" i="159"/>
  <c r="Q125" i="159"/>
  <c r="F125" i="159"/>
  <c r="J125" i="159"/>
  <c r="O125" i="159"/>
  <c r="S125" i="159"/>
  <c r="K125" i="159"/>
  <c r="M125" i="159"/>
  <c r="N125" i="159"/>
  <c r="E125" i="159"/>
  <c r="R125" i="159"/>
  <c r="G125" i="159"/>
  <c r="O122" i="155"/>
  <c r="D128" i="155"/>
  <c r="C5" i="155" s="1"/>
  <c r="D128" i="156"/>
  <c r="C5" i="156" s="1"/>
  <c r="S120" i="157"/>
  <c r="S122" i="157" s="1"/>
  <c r="D128" i="158"/>
  <c r="C5" i="158" s="1"/>
  <c r="S120" i="154"/>
  <c r="S122" i="154" s="1"/>
  <c r="F120" i="154"/>
  <c r="F120" i="152"/>
  <c r="C6" i="153"/>
  <c r="E124" i="153"/>
  <c r="S125" i="153"/>
  <c r="K125" i="153"/>
  <c r="O125" i="153"/>
  <c r="N125" i="153"/>
  <c r="G125" i="153"/>
  <c r="Q125" i="153"/>
  <c r="F125" i="153"/>
  <c r="E125" i="153"/>
  <c r="D131" i="153" s="1"/>
  <c r="M125" i="153"/>
  <c r="H125" i="153"/>
  <c r="R125" i="153"/>
  <c r="I125" i="153"/>
  <c r="P125" i="153"/>
  <c r="J125" i="153"/>
  <c r="L125" i="153"/>
  <c r="C6" i="151"/>
  <c r="Q125" i="151"/>
  <c r="M125" i="151"/>
  <c r="E124" i="151"/>
  <c r="S125" i="151"/>
  <c r="K125" i="151"/>
  <c r="R125" i="151"/>
  <c r="J125" i="151"/>
  <c r="F125" i="151"/>
  <c r="L125" i="151"/>
  <c r="N125" i="151"/>
  <c r="O125" i="151"/>
  <c r="H125" i="151"/>
  <c r="E125" i="151"/>
  <c r="I125" i="151"/>
  <c r="P125" i="151"/>
  <c r="G125" i="151"/>
  <c r="G122" i="160"/>
  <c r="D128" i="160"/>
  <c r="C5" i="160" s="1"/>
  <c r="H26" i="149"/>
  <c r="F26" i="149"/>
  <c r="D26" i="149"/>
  <c r="F124" i="159" l="1"/>
  <c r="G124" i="159" s="1"/>
  <c r="H124" i="159" s="1"/>
  <c r="I124" i="159" s="1"/>
  <c r="J124" i="159" s="1"/>
  <c r="K124" i="159" s="1"/>
  <c r="L124" i="159" s="1"/>
  <c r="M124" i="159" s="1"/>
  <c r="N124" i="159" s="1"/>
  <c r="O124" i="159" s="1"/>
  <c r="P124" i="159" s="1"/>
  <c r="Q124" i="159" s="1"/>
  <c r="R124" i="159" s="1"/>
  <c r="S124" i="159" s="1"/>
  <c r="T124" i="159" s="1"/>
  <c r="U124" i="159" s="1"/>
  <c r="V124" i="159" s="1"/>
  <c r="W124" i="159" s="1"/>
  <c r="X124" i="159" s="1"/>
  <c r="Y124" i="159" s="1"/>
  <c r="D139" i="159"/>
  <c r="F124" i="153"/>
  <c r="G124" i="153" s="1"/>
  <c r="H124" i="153" s="1"/>
  <c r="I124" i="153" s="1"/>
  <c r="J124" i="153" s="1"/>
  <c r="K124" i="153" s="1"/>
  <c r="L124" i="153" s="1"/>
  <c r="M124" i="153" s="1"/>
  <c r="N124" i="153" s="1"/>
  <c r="O124" i="153" s="1"/>
  <c r="P124" i="153" s="1"/>
  <c r="Q124" i="153" s="1"/>
  <c r="R124" i="153" s="1"/>
  <c r="S124" i="153" s="1"/>
  <c r="T124" i="153" s="1"/>
  <c r="U124" i="153" s="1"/>
  <c r="V124" i="153" s="1"/>
  <c r="W124" i="153" s="1"/>
  <c r="X124" i="153" s="1"/>
  <c r="Y124" i="153" s="1"/>
  <c r="F122" i="152"/>
  <c r="D128" i="152"/>
  <c r="C5" i="152" s="1"/>
  <c r="F122" i="154"/>
  <c r="D128" i="154"/>
  <c r="C5" i="154" s="1"/>
  <c r="D131" i="159"/>
  <c r="C6" i="155"/>
  <c r="E124" i="155"/>
  <c r="S125" i="155"/>
  <c r="H125" i="155"/>
  <c r="R125" i="155"/>
  <c r="J125" i="155"/>
  <c r="Q125" i="155"/>
  <c r="M125" i="155"/>
  <c r="I125" i="155"/>
  <c r="P125" i="155"/>
  <c r="F125" i="155"/>
  <c r="L125" i="155"/>
  <c r="E125" i="155"/>
  <c r="K125" i="155"/>
  <c r="G125" i="155"/>
  <c r="N125" i="155"/>
  <c r="O125" i="155"/>
  <c r="D131" i="151"/>
  <c r="F124" i="151"/>
  <c r="G124" i="151" s="1"/>
  <c r="H124" i="151" s="1"/>
  <c r="I124" i="151" s="1"/>
  <c r="J124" i="151" s="1"/>
  <c r="K124" i="151" s="1"/>
  <c r="L124" i="151" s="1"/>
  <c r="M124" i="151" s="1"/>
  <c r="N124" i="151" s="1"/>
  <c r="O124" i="151" s="1"/>
  <c r="P124" i="151" s="1"/>
  <c r="Q124" i="151" s="1"/>
  <c r="R124" i="151" s="1"/>
  <c r="S124" i="151" s="1"/>
  <c r="T124" i="151" s="1"/>
  <c r="U124" i="151" s="1"/>
  <c r="V124" i="151" s="1"/>
  <c r="W124" i="151" s="1"/>
  <c r="X124" i="151" s="1"/>
  <c r="Y124" i="151" s="1"/>
  <c r="D139" i="151"/>
  <c r="C6" i="158"/>
  <c r="E124" i="158"/>
  <c r="L125" i="158"/>
  <c r="M125" i="158"/>
  <c r="P125" i="158"/>
  <c r="N125" i="158"/>
  <c r="E125" i="158"/>
  <c r="H125" i="158"/>
  <c r="R125" i="158"/>
  <c r="I125" i="158"/>
  <c r="Q125" i="158"/>
  <c r="K125" i="158"/>
  <c r="O125" i="158"/>
  <c r="J125" i="158"/>
  <c r="S125" i="158"/>
  <c r="G125" i="158"/>
  <c r="F125" i="158"/>
  <c r="C6" i="160"/>
  <c r="E124" i="160"/>
  <c r="F125" i="160"/>
  <c r="N125" i="160"/>
  <c r="M125" i="160"/>
  <c r="E125" i="160"/>
  <c r="I125" i="160"/>
  <c r="L125" i="160"/>
  <c r="S125" i="160"/>
  <c r="P125" i="160"/>
  <c r="K125" i="160"/>
  <c r="J125" i="160"/>
  <c r="O125" i="160"/>
  <c r="R125" i="160"/>
  <c r="H125" i="160"/>
  <c r="G125" i="160"/>
  <c r="Q125" i="160"/>
  <c r="C6" i="156"/>
  <c r="E124" i="156"/>
  <c r="M125" i="156"/>
  <c r="N125" i="156"/>
  <c r="P125" i="156"/>
  <c r="F125" i="156"/>
  <c r="I125" i="156"/>
  <c r="H125" i="156"/>
  <c r="O125" i="156"/>
  <c r="S125" i="156"/>
  <c r="E125" i="156"/>
  <c r="Q125" i="156"/>
  <c r="L125" i="156"/>
  <c r="G125" i="156"/>
  <c r="K125" i="156"/>
  <c r="R125" i="156"/>
  <c r="J125" i="156"/>
  <c r="K122" i="157"/>
  <c r="D128" i="157"/>
  <c r="C5" i="157" s="1"/>
  <c r="B7" i="65"/>
  <c r="O7" i="65"/>
  <c r="E7" i="65"/>
  <c r="P7" i="65"/>
  <c r="N7" i="65"/>
  <c r="F124" i="160" l="1"/>
  <c r="G124" i="160" s="1"/>
  <c r="H124" i="160" s="1"/>
  <c r="I124" i="160" s="1"/>
  <c r="J124" i="160" s="1"/>
  <c r="K124" i="160" s="1"/>
  <c r="L124" i="160" s="1"/>
  <c r="M124" i="160" s="1"/>
  <c r="N124" i="160" s="1"/>
  <c r="O124" i="160" s="1"/>
  <c r="P124" i="160" s="1"/>
  <c r="Q124" i="160" s="1"/>
  <c r="R124" i="160" s="1"/>
  <c r="S124" i="160" s="1"/>
  <c r="T124" i="160" s="1"/>
  <c r="U124" i="160" s="1"/>
  <c r="V124" i="160" s="1"/>
  <c r="W124" i="160" s="1"/>
  <c r="X124" i="160" s="1"/>
  <c r="Y124" i="160" s="1"/>
  <c r="D139" i="160"/>
  <c r="C6" i="154"/>
  <c r="E124" i="154"/>
  <c r="M125" i="154"/>
  <c r="H125" i="154"/>
  <c r="Q125" i="154"/>
  <c r="E125" i="154"/>
  <c r="D131" i="154" s="1"/>
  <c r="K125" i="154"/>
  <c r="L125" i="154"/>
  <c r="J125" i="154"/>
  <c r="R125" i="154"/>
  <c r="P125" i="154"/>
  <c r="N125" i="154"/>
  <c r="G125" i="154"/>
  <c r="S125" i="154"/>
  <c r="O125" i="154"/>
  <c r="I125" i="154"/>
  <c r="F125" i="154"/>
  <c r="F124" i="158"/>
  <c r="G124" i="158" s="1"/>
  <c r="H124" i="158" s="1"/>
  <c r="I124" i="158" s="1"/>
  <c r="J124" i="158" s="1"/>
  <c r="K124" i="158" s="1"/>
  <c r="L124" i="158" s="1"/>
  <c r="M124" i="158" s="1"/>
  <c r="N124" i="158" s="1"/>
  <c r="O124" i="158" s="1"/>
  <c r="P124" i="158" s="1"/>
  <c r="Q124" i="158" s="1"/>
  <c r="R124" i="158" s="1"/>
  <c r="S124" i="158" s="1"/>
  <c r="T124" i="158" s="1"/>
  <c r="U124" i="158" s="1"/>
  <c r="V124" i="158" s="1"/>
  <c r="W124" i="158" s="1"/>
  <c r="X124" i="158" s="1"/>
  <c r="Y124" i="158" s="1"/>
  <c r="D139" i="158"/>
  <c r="D131" i="155"/>
  <c r="C6" i="152"/>
  <c r="E124" i="152"/>
  <c r="R125" i="152"/>
  <c r="H125" i="152"/>
  <c r="J125" i="152"/>
  <c r="P125" i="152"/>
  <c r="K125" i="152"/>
  <c r="M125" i="152"/>
  <c r="E125" i="152"/>
  <c r="L125" i="152"/>
  <c r="Q125" i="152"/>
  <c r="S125" i="152"/>
  <c r="O125" i="152"/>
  <c r="N125" i="152"/>
  <c r="G125" i="152"/>
  <c r="F125" i="152"/>
  <c r="I125" i="152"/>
  <c r="D131" i="160"/>
  <c r="D131" i="158"/>
  <c r="D139" i="153"/>
  <c r="F124" i="155"/>
  <c r="G124" i="155" s="1"/>
  <c r="H124" i="155" s="1"/>
  <c r="I124" i="155" s="1"/>
  <c r="J124" i="155" s="1"/>
  <c r="K124" i="155" s="1"/>
  <c r="L124" i="155" s="1"/>
  <c r="M124" i="155" s="1"/>
  <c r="N124" i="155" s="1"/>
  <c r="O124" i="155" s="1"/>
  <c r="P124" i="155" s="1"/>
  <c r="Q124" i="155" s="1"/>
  <c r="R124" i="155" s="1"/>
  <c r="S124" i="155" s="1"/>
  <c r="T124" i="155" s="1"/>
  <c r="U124" i="155" s="1"/>
  <c r="V124" i="155" s="1"/>
  <c r="W124" i="155" s="1"/>
  <c r="X124" i="155" s="1"/>
  <c r="Y124" i="155" s="1"/>
  <c r="D131" i="156"/>
  <c r="C6" i="157"/>
  <c r="E124" i="157"/>
  <c r="F125" i="157"/>
  <c r="P125" i="157"/>
  <c r="Q125" i="157"/>
  <c r="M125" i="157"/>
  <c r="I125" i="157"/>
  <c r="J125" i="157"/>
  <c r="R125" i="157"/>
  <c r="O125" i="157"/>
  <c r="H125" i="157"/>
  <c r="L125" i="157"/>
  <c r="E125" i="157"/>
  <c r="G125" i="157"/>
  <c r="S125" i="157"/>
  <c r="K125" i="157"/>
  <c r="N125" i="157"/>
  <c r="F124" i="156"/>
  <c r="G124" i="156" s="1"/>
  <c r="H124" i="156" s="1"/>
  <c r="I124" i="156" s="1"/>
  <c r="J124" i="156" s="1"/>
  <c r="K124" i="156" s="1"/>
  <c r="L124" i="156" s="1"/>
  <c r="M124" i="156" s="1"/>
  <c r="N124" i="156" s="1"/>
  <c r="O124" i="156" s="1"/>
  <c r="P124" i="156" s="1"/>
  <c r="Q124" i="156" s="1"/>
  <c r="R124" i="156" s="1"/>
  <c r="S124" i="156" s="1"/>
  <c r="T124" i="156" s="1"/>
  <c r="U124" i="156" s="1"/>
  <c r="V124" i="156" s="1"/>
  <c r="W124" i="156" s="1"/>
  <c r="X124" i="156" s="1"/>
  <c r="Y124" i="156" s="1"/>
  <c r="D139" i="156"/>
  <c r="N9" i="65"/>
  <c r="B9" i="65"/>
  <c r="E9" i="65"/>
  <c r="O9" i="65"/>
  <c r="P9" i="65"/>
  <c r="F124" i="157" l="1"/>
  <c r="G124" i="157" s="1"/>
  <c r="H124" i="157" s="1"/>
  <c r="I124" i="157" s="1"/>
  <c r="J124" i="157" s="1"/>
  <c r="K124" i="157" s="1"/>
  <c r="L124" i="157" s="1"/>
  <c r="M124" i="157" s="1"/>
  <c r="N124" i="157" s="1"/>
  <c r="O124" i="157" s="1"/>
  <c r="P124" i="157" s="1"/>
  <c r="Q124" i="157" s="1"/>
  <c r="R124" i="157" s="1"/>
  <c r="S124" i="157" s="1"/>
  <c r="T124" i="157" s="1"/>
  <c r="U124" i="157" s="1"/>
  <c r="V124" i="157" s="1"/>
  <c r="W124" i="157" s="1"/>
  <c r="X124" i="157" s="1"/>
  <c r="Y124" i="157" s="1"/>
  <c r="D139" i="157"/>
  <c r="D131" i="152"/>
  <c r="D139" i="155"/>
  <c r="F124" i="154"/>
  <c r="G124" i="154" s="1"/>
  <c r="H124" i="154" s="1"/>
  <c r="I124" i="154" s="1"/>
  <c r="J124" i="154" s="1"/>
  <c r="K124" i="154" s="1"/>
  <c r="L124" i="154" s="1"/>
  <c r="M124" i="154" s="1"/>
  <c r="N124" i="154" s="1"/>
  <c r="O124" i="154" s="1"/>
  <c r="P124" i="154" s="1"/>
  <c r="Q124" i="154" s="1"/>
  <c r="R124" i="154" s="1"/>
  <c r="S124" i="154" s="1"/>
  <c r="T124" i="154" s="1"/>
  <c r="U124" i="154" s="1"/>
  <c r="V124" i="154" s="1"/>
  <c r="W124" i="154" s="1"/>
  <c r="X124" i="154" s="1"/>
  <c r="Y124" i="154" s="1"/>
  <c r="D131" i="157"/>
  <c r="F124" i="152"/>
  <c r="G124" i="152" s="1"/>
  <c r="H124" i="152" s="1"/>
  <c r="I124" i="152" s="1"/>
  <c r="J124" i="152" s="1"/>
  <c r="K124" i="152" s="1"/>
  <c r="L124" i="152" s="1"/>
  <c r="M124" i="152" s="1"/>
  <c r="N124" i="152" s="1"/>
  <c r="O124" i="152" s="1"/>
  <c r="P124" i="152" s="1"/>
  <c r="Q124" i="152" s="1"/>
  <c r="R124" i="152" s="1"/>
  <c r="S124" i="152" s="1"/>
  <c r="T124" i="152" s="1"/>
  <c r="U124" i="152" s="1"/>
  <c r="V124" i="152" s="1"/>
  <c r="W124" i="152" s="1"/>
  <c r="X124" i="152" s="1"/>
  <c r="Y124" i="152" s="1"/>
  <c r="H12" i="149"/>
  <c r="H13" i="149"/>
  <c r="F12" i="149"/>
  <c r="F13" i="149"/>
  <c r="D12" i="149"/>
  <c r="D13" i="149"/>
  <c r="N11" i="65"/>
  <c r="P11" i="65"/>
  <c r="B11" i="65"/>
  <c r="E11" i="65"/>
  <c r="O11" i="65"/>
  <c r="D139" i="154" l="1"/>
  <c r="D139" i="152"/>
  <c r="P12" i="65"/>
  <c r="B12" i="65"/>
  <c r="O12" i="65"/>
  <c r="N12" i="65"/>
  <c r="E12" i="65"/>
  <c r="F24" i="149" l="1"/>
  <c r="D24" i="149"/>
  <c r="O13" i="65"/>
  <c r="N13" i="65"/>
  <c r="E13" i="65"/>
  <c r="B13" i="65"/>
  <c r="P13" i="65"/>
  <c r="D23" i="149" l="1"/>
  <c r="F22" i="149"/>
  <c r="F21" i="149"/>
  <c r="H22" i="149"/>
  <c r="H21" i="149"/>
  <c r="D22" i="149"/>
  <c r="D21" i="149"/>
  <c r="N14" i="65"/>
  <c r="P14" i="65"/>
  <c r="E14" i="65"/>
  <c r="B14" i="65"/>
  <c r="O14" i="65"/>
  <c r="O15" i="65"/>
  <c r="N15" i="65"/>
  <c r="E15" i="65"/>
  <c r="P15" i="65"/>
  <c r="B15" i="65"/>
  <c r="P16" i="65"/>
  <c r="E16" i="65"/>
  <c r="B16" i="65"/>
  <c r="N16" i="65"/>
  <c r="O16" i="65"/>
  <c r="H24" i="149" l="1"/>
  <c r="E17" i="65"/>
  <c r="O17" i="65"/>
  <c r="P17" i="65"/>
  <c r="B17" i="65"/>
  <c r="N17" i="65"/>
  <c r="F23" i="149" l="1"/>
  <c r="H23" i="149"/>
  <c r="P18" i="65"/>
  <c r="N18" i="65"/>
  <c r="O18" i="65"/>
  <c r="B18" i="65"/>
  <c r="E18" i="65"/>
  <c r="D19" i="149" l="1"/>
  <c r="D18" i="149" l="1"/>
  <c r="H18" i="149" l="1"/>
  <c r="F18" i="149"/>
  <c r="F20" i="149" l="1"/>
  <c r="H20" i="149" l="1"/>
  <c r="D20" i="149"/>
  <c r="H3" i="149" l="1"/>
  <c r="I18" i="65" l="1"/>
  <c r="H18" i="65" s="1"/>
  <c r="D18" i="65" l="1"/>
  <c r="F14" i="149"/>
  <c r="D14" i="149"/>
  <c r="H19" i="149"/>
  <c r="F19" i="149"/>
  <c r="H14" i="149"/>
  <c r="H8" i="149"/>
  <c r="F8" i="149"/>
  <c r="D8" i="149"/>
  <c r="H7" i="149"/>
  <c r="F7" i="149"/>
  <c r="D7" i="149"/>
  <c r="H6" i="149"/>
  <c r="F6" i="149"/>
  <c r="D6" i="149"/>
  <c r="H5" i="149"/>
  <c r="F5" i="149"/>
  <c r="D5" i="149"/>
  <c r="H4" i="149"/>
  <c r="I17" i="65" s="1"/>
  <c r="H17" i="65" s="1"/>
  <c r="F4" i="149"/>
  <c r="D4" i="149"/>
  <c r="F3" i="149"/>
  <c r="D3" i="149"/>
  <c r="D17" i="65" l="1"/>
  <c r="K8" i="65"/>
  <c r="K10" i="65"/>
  <c r="I7" i="65"/>
  <c r="I9" i="65"/>
  <c r="K17" i="65"/>
  <c r="K18" i="65"/>
  <c r="J17" i="65"/>
  <c r="J18" i="65"/>
  <c r="K7" i="65"/>
  <c r="K9" i="65"/>
  <c r="J8" i="65"/>
  <c r="J10" i="65"/>
  <c r="I8" i="65"/>
  <c r="I10" i="65"/>
  <c r="J9" i="65"/>
  <c r="J7" i="65"/>
  <c r="K16" i="65"/>
  <c r="K15" i="65"/>
  <c r="K11" i="65"/>
  <c r="K14" i="65"/>
  <c r="K13" i="65"/>
  <c r="K12" i="65"/>
  <c r="I16" i="65"/>
  <c r="H16" i="65" s="1"/>
  <c r="I15" i="65"/>
  <c r="H15" i="65" s="1"/>
  <c r="I14" i="65"/>
  <c r="H14" i="65" s="1"/>
  <c r="I12" i="65"/>
  <c r="H12" i="65" s="1"/>
  <c r="I11" i="65"/>
  <c r="H11" i="65" s="1"/>
  <c r="I13" i="65"/>
  <c r="H13" i="65" s="1"/>
  <c r="J15" i="65"/>
  <c r="J16" i="65"/>
  <c r="J12" i="65"/>
  <c r="J14" i="65"/>
  <c r="J11" i="65"/>
  <c r="J13" i="65"/>
  <c r="D10" i="149"/>
  <c r="H10" i="149"/>
  <c r="F9" i="149"/>
  <c r="F10" i="149"/>
  <c r="H9" i="149"/>
  <c r="F11" i="149"/>
  <c r="H11" i="149"/>
  <c r="D9" i="149"/>
  <c r="D11" i="149"/>
  <c r="H9" i="65" l="1"/>
  <c r="H7" i="65"/>
  <c r="D9" i="65"/>
  <c r="D7" i="65"/>
  <c r="D16" i="65"/>
  <c r="D13" i="65"/>
  <c r="D15" i="65"/>
  <c r="D11" i="65"/>
  <c r="D12" i="65"/>
  <c r="D14" i="65"/>
  <c r="C5" i="66" l="1"/>
  <c r="C6" i="66"/>
  <c r="C7" i="66"/>
  <c r="C13" i="66"/>
  <c r="C8" i="66"/>
  <c r="C9" i="66"/>
  <c r="C10" i="66"/>
  <c r="C11" i="66"/>
  <c r="C12" i="66"/>
  <c r="C14" i="66"/>
  <c r="F14" i="66" l="1"/>
  <c r="F9" i="66"/>
  <c r="F6" i="66"/>
  <c r="F10" i="66"/>
  <c r="D13" i="66"/>
  <c r="F11" i="66"/>
  <c r="F5" i="66"/>
  <c r="D11" i="66"/>
  <c r="D12" i="66"/>
  <c r="D8" i="66"/>
  <c r="D6" i="66"/>
  <c r="F7" i="66"/>
  <c r="D9" i="66"/>
  <c r="D5" i="66"/>
  <c r="F12" i="66"/>
  <c r="F13" i="66"/>
  <c r="D14" i="66"/>
  <c r="D7" i="66"/>
  <c r="D10" i="66"/>
  <c r="F8" i="66"/>
  <c r="E14" i="66" l="1"/>
  <c r="E12" i="66"/>
  <c r="B10" i="66"/>
  <c r="B9" i="66"/>
  <c r="B6" i="66"/>
  <c r="E8" i="66"/>
  <c r="B11" i="66"/>
  <c r="B7" i="66"/>
  <c r="B13" i="66"/>
  <c r="B14" i="66"/>
  <c r="E9" i="66"/>
  <c r="E5" i="66"/>
  <c r="B5" i="66"/>
  <c r="E10" i="66"/>
  <c r="E11" i="66"/>
  <c r="E6" i="66"/>
  <c r="E7" i="66"/>
  <c r="E13" i="66"/>
  <c r="B12" i="66"/>
  <c r="B8" i="66"/>
</calcChain>
</file>

<file path=xl/sharedStrings.xml><?xml version="1.0" encoding="utf-8"?>
<sst xmlns="http://schemas.openxmlformats.org/spreadsheetml/2006/main" count="2254" uniqueCount="392">
  <si>
    <t>Categorie</t>
  </si>
  <si>
    <t>BASISBEDRAG</t>
  </si>
  <si>
    <t>B</t>
  </si>
  <si>
    <t>Correctiebedrag</t>
  </si>
  <si>
    <t>Netto emissiefactor</t>
  </si>
  <si>
    <t>CONVERSIEFACTOREN</t>
  </si>
  <si>
    <t>Verbrandingswaarde methaan (onderwaarde)</t>
  </si>
  <si>
    <t>Verbrandingswaarde hernieuwbaar gas (onderwaarde)</t>
  </si>
  <si>
    <t>Verbrandingswaarde hernieuwbaar gas (bovenwaarde)</t>
  </si>
  <si>
    <t>kWh naar MJ</t>
  </si>
  <si>
    <t>INPUTVARIABELEN</t>
  </si>
  <si>
    <t>Inputvermogen</t>
  </si>
  <si>
    <t>Gaat het om een installatie voor hernieuwbaar gas?</t>
  </si>
  <si>
    <t>Methaangehalte hernieuwbaar gas voor gaszuivering</t>
  </si>
  <si>
    <t>Vermogen hernieuwbaargasproductie (voor zuivering)</t>
  </si>
  <si>
    <t>Outputvermogen (thermisch of hernieuwbaar gas)</t>
  </si>
  <si>
    <t>Max. elektrisch rendement</t>
  </si>
  <si>
    <t>Elektrisch rendement</t>
  </si>
  <si>
    <t>Thermisch rendement of rendement gasproductie</t>
  </si>
  <si>
    <t>Elektriciteitsderving bij warmtelevering</t>
  </si>
  <si>
    <t>Investeringskosten</t>
  </si>
  <si>
    <t>Totale investeringskosten</t>
  </si>
  <si>
    <t>Vaste O&amp;M-kosten</t>
  </si>
  <si>
    <t>Totale jaarlijkse vaste O&amp;M-kosten</t>
  </si>
  <si>
    <t>Variabele O&amp;M-kosten (incl. contractkosten)</t>
  </si>
  <si>
    <t>Energie-inhoud brandstof</t>
  </si>
  <si>
    <t>Biomassadoorzet</t>
  </si>
  <si>
    <t>Netto brandstofprijs (aan de poort, incl. risico-opslag)</t>
  </si>
  <si>
    <t>Elektriciteitsgebruik</t>
  </si>
  <si>
    <t>Gebruik van warmte</t>
  </si>
  <si>
    <t>Gebruik van biomassa</t>
  </si>
  <si>
    <t>Gebruik van elektriciteit</t>
  </si>
  <si>
    <t>Productie van elektriciteit of overig</t>
  </si>
  <si>
    <t>Investeringssubsidie t.g.v. eigen vermogen (NCW)</t>
  </si>
  <si>
    <t>Inflatie</t>
  </si>
  <si>
    <t>Rente lening</t>
  </si>
  <si>
    <t>Vereiste return on equity</t>
  </si>
  <si>
    <t>Equity share in investering incl. EIA effect</t>
  </si>
  <si>
    <t>Debt share in investering incl. EIA effect</t>
  </si>
  <si>
    <t>Vennootschapsbelasting</t>
  </si>
  <si>
    <t>Economische levensduur</t>
  </si>
  <si>
    <t>Termijn lening</t>
  </si>
  <si>
    <t xml:space="preserve">Afschrijvingstermijn </t>
  </si>
  <si>
    <t>Beleidsperiode</t>
  </si>
  <si>
    <t>Onregelmatige cashflow</t>
  </si>
  <si>
    <t>Waarde</t>
  </si>
  <si>
    <t>Eenheid</t>
  </si>
  <si>
    <t>Toelichting</t>
  </si>
  <si>
    <t>MJ/Nm3</t>
  </si>
  <si>
    <t>MJ/kWh</t>
  </si>
  <si>
    <t>Nm3/uur</t>
  </si>
  <si>
    <t>Outputvermogen (hernieuwbaar gas)</t>
  </si>
  <si>
    <t>Outputvermogen (elektrisch of overig)</t>
  </si>
  <si>
    <t>uur/jaar</t>
  </si>
  <si>
    <t>Bij een installatie voor gecombineerde opwekking, wordt de bedrijfstijd genomen als maximum van de vollasturen warmte en vollasturen elektriciteit.</t>
  </si>
  <si>
    <t>elektriciteit : warmte</t>
  </si>
  <si>
    <t>Euro (miljoen)</t>
  </si>
  <si>
    <t>Euro (duizend)</t>
  </si>
  <si>
    <t>GJ/ton</t>
  </si>
  <si>
    <t>ton/jaar</t>
  </si>
  <si>
    <t>Euro/ton</t>
  </si>
  <si>
    <t>kWh</t>
  </si>
  <si>
    <t>kg CO2/kWh</t>
  </si>
  <si>
    <t>kg CO2/ton</t>
  </si>
  <si>
    <t>Euro</t>
  </si>
  <si>
    <t>jaar</t>
  </si>
  <si>
    <t>Energieprijzen</t>
  </si>
  <si>
    <t>Jaar</t>
  </si>
  <si>
    <t>Basisbedrag</t>
  </si>
  <si>
    <t>Inflator</t>
  </si>
  <si>
    <t>index</t>
  </si>
  <si>
    <r>
      <t xml:space="preserve">Tabel: </t>
    </r>
    <r>
      <rPr>
        <sz val="11"/>
        <color theme="1"/>
        <rFont val="Georgia"/>
        <family val="1"/>
      </rPr>
      <t>Nominale kasstroom (positieve bedragen = gunstig voor de producent)</t>
    </r>
  </si>
  <si>
    <t>Positieve bedragen = gunstig voor de producent</t>
  </si>
  <si>
    <t>Investering</t>
  </si>
  <si>
    <t>Afzet hernieuwbaar gas</t>
  </si>
  <si>
    <t>kWh (HHV)</t>
  </si>
  <si>
    <t>Operationele kosten</t>
  </si>
  <si>
    <t>Marktwaarde elektriciteit</t>
  </si>
  <si>
    <t>Euro/kWh</t>
  </si>
  <si>
    <t>Marktwaarde warmte of hernieuwbaar gas</t>
  </si>
  <si>
    <t>SDE-vergoeding</t>
  </si>
  <si>
    <t>Marktinkomsten</t>
  </si>
  <si>
    <t>Inkomen totaal (nominaal)</t>
  </si>
  <si>
    <t>Kosten totaal (nominaal)</t>
  </si>
  <si>
    <t>Bruto inkomen (nominaal)</t>
  </si>
  <si>
    <t>Afschrijving</t>
  </si>
  <si>
    <t>Rente</t>
  </si>
  <si>
    <t>Aflossing</t>
  </si>
  <si>
    <t>Totale lasten lening</t>
  </si>
  <si>
    <t>Belastbaar inkomen</t>
  </si>
  <si>
    <t>Belasting bedrag</t>
  </si>
  <si>
    <t>Netto inkomen na belasting</t>
  </si>
  <si>
    <t>Project cashflow</t>
  </si>
  <si>
    <t>Equity cashflow</t>
  </si>
  <si>
    <r>
      <t xml:space="preserve">Tabel: </t>
    </r>
    <r>
      <rPr>
        <sz val="11"/>
        <color theme="1"/>
        <rFont val="Georgia"/>
        <family val="1"/>
      </rPr>
      <t>Projectparameters</t>
    </r>
  </si>
  <si>
    <t>Verdisconteerde inkomsten</t>
  </si>
  <si>
    <t>euro</t>
  </si>
  <si>
    <t>Totale investering</t>
  </si>
  <si>
    <t>DSCR (gemiddeld)</t>
  </si>
  <si>
    <t>Projectrente (WACC nominaal/reëel)</t>
  </si>
  <si>
    <t>Projectrendement (IRR)</t>
  </si>
  <si>
    <t>Rendement op eigen vermogen (IRR)</t>
  </si>
  <si>
    <t>Aandeel lening</t>
  </si>
  <si>
    <t>Aandeel equity</t>
  </si>
  <si>
    <t>Warmtekrachtverhouding</t>
  </si>
  <si>
    <t>Samengesteld aantal vollasturen</t>
  </si>
  <si>
    <t>CO2-subsidie-intensiteit</t>
  </si>
  <si>
    <t>Euro/t CO2</t>
  </si>
  <si>
    <t>Langetermijnprijs</t>
  </si>
  <si>
    <t>Productie-eenheid</t>
  </si>
  <si>
    <t>Vermogenseenheid</t>
  </si>
  <si>
    <t>kW</t>
  </si>
  <si>
    <t>Vollasturen levering (thermisch of hernieuwbaar gas)</t>
  </si>
  <si>
    <t>Vollasturen levering  (elektrisch of overig)</t>
  </si>
  <si>
    <t xml:space="preserve">Relatief elektriciteitsgebruik </t>
  </si>
  <si>
    <t>MWh/jaar</t>
  </si>
  <si>
    <t>Relatief warmtegebruik</t>
  </si>
  <si>
    <t xml:space="preserve">Warmtegebruik </t>
  </si>
  <si>
    <t>EMISSIEFACTOR</t>
  </si>
  <si>
    <t>Productie van gas</t>
  </si>
  <si>
    <t>Investeringssubsidie t.g.v. vreemd vermogen</t>
  </si>
  <si>
    <t>Terug te verdienen investering</t>
  </si>
  <si>
    <t>Terugverdientijd</t>
  </si>
  <si>
    <t>jaren</t>
  </si>
  <si>
    <t>Berekening basisbedragen</t>
  </si>
  <si>
    <t>Auteur</t>
  </si>
  <si>
    <t>Datum</t>
  </si>
  <si>
    <t>Versie</t>
  </si>
  <si>
    <t>Verantwoording</t>
  </si>
  <si>
    <t>Contactinformatie voor deze rekensheet: sde@pbl.nl.</t>
  </si>
  <si>
    <t>Kleurcodering:</t>
  </si>
  <si>
    <t>Niets invullen</t>
  </si>
  <si>
    <t>Waarde door gebruiker in te vullen</t>
  </si>
  <si>
    <t>Waterstof</t>
  </si>
  <si>
    <t>Sheet</t>
  </si>
  <si>
    <t>Productietype</t>
  </si>
  <si>
    <t>Subsidie-intensiteit</t>
  </si>
  <si>
    <t>Netlevering zon-PV (%)</t>
  </si>
  <si>
    <t xml:space="preserve">Emissiefactor  </t>
  </si>
  <si>
    <t>Vollasturen</t>
  </si>
  <si>
    <t>Warmte-kracht-verhouding</t>
  </si>
  <si>
    <r>
      <t xml:space="preserve"> [€/tCO</t>
    </r>
    <r>
      <rPr>
        <vertAlign val="subscript"/>
        <sz val="10"/>
        <color theme="0"/>
        <rFont val="Verdana"/>
        <family val="2"/>
      </rPr>
      <t>2</t>
    </r>
    <r>
      <rPr>
        <sz val="10"/>
        <color theme="0"/>
        <rFont val="Verdana"/>
        <family val="2"/>
      </rPr>
      <t>]</t>
    </r>
  </si>
  <si>
    <t>[€/eenheid]</t>
  </si>
  <si>
    <r>
      <t>[kg CO</t>
    </r>
    <r>
      <rPr>
        <vertAlign val="subscript"/>
        <sz val="10"/>
        <color theme="0"/>
        <rFont val="Verdana"/>
        <family val="2"/>
      </rPr>
      <t>2</t>
    </r>
    <r>
      <rPr>
        <sz val="10"/>
        <color theme="0"/>
        <rFont val="Verdana"/>
        <family val="2"/>
      </rPr>
      <t>/eenheid]</t>
    </r>
  </si>
  <si>
    <t>[uur/jaar]</t>
  </si>
  <si>
    <t>[W/K]</t>
  </si>
  <si>
    <t>A=(B-C)/D</t>
  </si>
  <si>
    <t>C</t>
  </si>
  <si>
    <t>D</t>
  </si>
  <si>
    <t>HERNIEUWBARE ENERGIE</t>
  </si>
  <si>
    <t>Elektriciteit (kWh)</t>
  </si>
  <si>
    <t>-</t>
  </si>
  <si>
    <t>Berekeningswijze correctiebedrag</t>
  </si>
  <si>
    <t>Bodemprijs of basisprijs</t>
  </si>
  <si>
    <t>[Methode-ID]</t>
  </si>
  <si>
    <t>A=(B-C)/D*1000</t>
  </si>
  <si>
    <t>Methode-ID</t>
  </si>
  <si>
    <t>Omschrijving</t>
  </si>
  <si>
    <t>Basis- of bodemprijs</t>
  </si>
  <si>
    <t>Formule</t>
  </si>
  <si>
    <t>Elektriciteit</t>
  </si>
  <si>
    <t>2/3 x LT_e</t>
  </si>
  <si>
    <t>LT_e</t>
  </si>
  <si>
    <t>Elektriciteit-WOL</t>
  </si>
  <si>
    <t>2/3 x LT_e x LT_PIF_WOL</t>
  </si>
  <si>
    <t>LT_e x LT_PIF_WOL</t>
  </si>
  <si>
    <t>Elektriciteit-ZonPV-netlevering</t>
  </si>
  <si>
    <t>2/3 x LT_e x LT_PIF_PV</t>
  </si>
  <si>
    <t>LT_e x LT_PIF_PV</t>
  </si>
  <si>
    <t>Elektricteit-ZonPV-niet-netlevering, klein</t>
  </si>
  <si>
    <t>2/3 x LT_e x LT_PIF_PV + EB3_e + ODE3_3 + transporttarief</t>
  </si>
  <si>
    <t>LT_e x LT_PIF_PV + EB3_e + ODE3_3 + transporttarief</t>
  </si>
  <si>
    <t>Elektricteit-ZonPV-niet-netlevering, groot</t>
  </si>
  <si>
    <t>Hernieuwbaar gas</t>
  </si>
  <si>
    <t>TTF[HHV]</t>
  </si>
  <si>
    <t>2/3 x LT_g[HHV]</t>
  </si>
  <si>
    <t>LT_g[HHV]</t>
  </si>
  <si>
    <t>Warmte, klein</t>
  </si>
  <si>
    <t>Warmte</t>
  </si>
  <si>
    <t>(TTF[LHV] + EB1 + ODE1) / 90%</t>
  </si>
  <si>
    <t>(2/3 x LT_g[LHV] + EB1 + ODE1) / 90%</t>
  </si>
  <si>
    <t>(LT_g[LHV] + EB1 + ODE1) / 90%</t>
  </si>
  <si>
    <t>Warmte, middelklein</t>
  </si>
  <si>
    <t>(TTF[LHV] + EB2 + ODE2) / 90%</t>
  </si>
  <si>
    <t>(2/3 x LT_g[LHV] + EB2 + ODE2) / 90%</t>
  </si>
  <si>
    <t>(LT_g[LHV] + EB2 + ODE2) / 90%</t>
  </si>
  <si>
    <t>Warmte, middelgroot</t>
  </si>
  <si>
    <t>(TTF[LHV] + EB3 + ODE 3) / 90%</t>
  </si>
  <si>
    <t>(2/3 x LT_g[LHV] + EB3 + ODE3) / 90%</t>
  </si>
  <si>
    <t>(LT_g[LHV] + EB3 + ODE3) / 90%</t>
  </si>
  <si>
    <t>Warmte, groot</t>
  </si>
  <si>
    <t xml:space="preserve">90% x TTF[LHV] </t>
  </si>
  <si>
    <t xml:space="preserve">90% x 2/3 x LT_g[LHV] </t>
  </si>
  <si>
    <t xml:space="preserve">90% x LT_g[LHV] </t>
  </si>
  <si>
    <t>Directe warmte</t>
  </si>
  <si>
    <t>TTF[LHV] + EB3 + ODE3</t>
  </si>
  <si>
    <t>2/3*LT_g[LHV] + EB3 + ODE3</t>
  </si>
  <si>
    <t>LT_g[LHV] + EB3 + ODE3</t>
  </si>
  <si>
    <t>WKK, klein</t>
  </si>
  <si>
    <t>WKK</t>
  </si>
  <si>
    <t>projectspecifiek</t>
  </si>
  <si>
    <t xml:space="preserve">2/3 x ( LT_e + WK x ( LT_g[LHV] + EB1 + ODE1 / 90%)/(1 + WK-factor) </t>
  </si>
  <si>
    <t xml:space="preserve">( LT_e + WK x ( LT_g[LHV] + EB1 + ODE1 / 90%)/(1 + WK-factor) </t>
  </si>
  <si>
    <t>WKK, middelklein</t>
  </si>
  <si>
    <t xml:space="preserve">2/3 x ( LT_e + WK x ( LT_g[LHV] + EB2 + ODE2 / 90%)/(1 + WK-factor) </t>
  </si>
  <si>
    <t xml:space="preserve">( LT_e + WK x ( LT_g[LHV] + EB2 + ODE2 / 90%)/(1 + WK-factor) </t>
  </si>
  <si>
    <t xml:space="preserve">WKK, middelgroot  </t>
  </si>
  <si>
    <t xml:space="preserve">2/3 x ( LT_e + WK x ( LT_g[LHV] + EB3 + ODE3 / 90%)/(1 + WK-factor) </t>
  </si>
  <si>
    <t xml:space="preserve">( LT_e + WK x ( LT_g[LHV] + EB3 + ODE3 / 90%)/(1 + WK-factor) </t>
  </si>
  <si>
    <t>CCS</t>
  </si>
  <si>
    <t>EUA</t>
  </si>
  <si>
    <t>2/3 x LT_CO2</t>
  </si>
  <si>
    <t>LT_CO2</t>
  </si>
  <si>
    <t>Code</t>
  </si>
  <si>
    <t>Berekeningswijze (alle gemiddelden zijn ongewogen)</t>
  </si>
  <si>
    <t>Elektriciteitsprijs</t>
  </si>
  <si>
    <t>€/kWh</t>
  </si>
  <si>
    <t>Langetermijnelektriciteitsprijs</t>
  </si>
  <si>
    <t>PIF_WOL</t>
  </si>
  <si>
    <t>Profiel- en onbalansfactor wind op land</t>
  </si>
  <si>
    <t>LT_PIF_WOL</t>
  </si>
  <si>
    <t>Langetermijnprofiel- en langetermijnonbalansfactor wind op land</t>
  </si>
  <si>
    <t>PIF_PV</t>
  </si>
  <si>
    <t>Profiel- en onbalansfactor zon-PV</t>
  </si>
  <si>
    <t>LT_PIF_PV</t>
  </si>
  <si>
    <t>Langetermijnprofiel- en langetermijnonbalansfactor zon-PV</t>
  </si>
  <si>
    <t>Gasprijs in bovenwaarde</t>
  </si>
  <si>
    <r>
      <t>€/kWh</t>
    </r>
    <r>
      <rPr>
        <vertAlign val="subscript"/>
        <sz val="11"/>
        <rFont val="Calibri"/>
        <family val="2"/>
      </rPr>
      <t>HHV</t>
    </r>
  </si>
  <si>
    <t>TTF[LHV]</t>
  </si>
  <si>
    <t>Gasprijs in onderwaarde</t>
  </si>
  <si>
    <r>
      <t>€/kWh</t>
    </r>
    <r>
      <rPr>
        <vertAlign val="subscript"/>
        <sz val="11"/>
        <rFont val="Calibri"/>
        <family val="2"/>
      </rPr>
      <t>LHV</t>
    </r>
  </si>
  <si>
    <t>Langetermijngasprijs in bovenwaarde</t>
  </si>
  <si>
    <t>LT_g[LHV]</t>
  </si>
  <si>
    <t>Langetermijngasprijs in onderwaarde</t>
  </si>
  <si>
    <t>Prijs CO2-emissierechten</t>
  </si>
  <si>
    <r>
      <t>€/tCO</t>
    </r>
    <r>
      <rPr>
        <vertAlign val="subscript"/>
        <sz val="11"/>
        <color theme="1"/>
        <rFont val="Calibri"/>
        <family val="2"/>
        <scheme val="minor"/>
      </rPr>
      <t>2</t>
    </r>
  </si>
  <si>
    <t>Langetermijn-CO2-prijs</t>
  </si>
  <si>
    <t>transport</t>
  </si>
  <si>
    <t>Marginale transporttarieven</t>
  </si>
  <si>
    <t>WK</t>
  </si>
  <si>
    <t>Categorie-specifiek</t>
  </si>
  <si>
    <t>EB3_e</t>
  </si>
  <si>
    <t>Energiebelasting elektriciteit, 3e schijf</t>
  </si>
  <si>
    <t>ODE3_e</t>
  </si>
  <si>
    <t>Opslag Duurzame Energie elektriciteit, 3e schijf</t>
  </si>
  <si>
    <t>EB1</t>
  </si>
  <si>
    <t>Energiebelasting gas, 1e schijf</t>
  </si>
  <si>
    <t>ODE1</t>
  </si>
  <si>
    <t>Opslag Duurzame Energie gas, 1e schijf</t>
  </si>
  <si>
    <t>EB2</t>
  </si>
  <si>
    <t>Energiebelasting gas, 2e schijf</t>
  </si>
  <si>
    <t>ODE2</t>
  </si>
  <si>
    <t>Opslag Duurzame Energie gas, 2e schijf</t>
  </si>
  <si>
    <t>EB3</t>
  </si>
  <si>
    <t>Energiebelasting gas, 3e schijf</t>
  </si>
  <si>
    <t>ODE3</t>
  </si>
  <si>
    <t>Opslag Duurzame Energie gas, 3e schijf</t>
  </si>
  <si>
    <t>Etheen</t>
  </si>
  <si>
    <t>Grondstoffen</t>
  </si>
  <si>
    <t>Recycling</t>
  </si>
  <si>
    <t>PS</t>
  </si>
  <si>
    <t>CO2-gebruik</t>
  </si>
  <si>
    <t>CCU</t>
  </si>
  <si>
    <t>Benzine</t>
  </si>
  <si>
    <t>Brandstoffen</t>
  </si>
  <si>
    <t>Benzine/diesel</t>
  </si>
  <si>
    <t>Gemiddelde EUA 1-9-2019 t/m 31-8-2020</t>
  </si>
  <si>
    <t>Gemiddelde netbeheerders 2020</t>
  </si>
  <si>
    <t>Tarief 2020</t>
  </si>
  <si>
    <t>Gemiddelde 1-1-2019 t/m 31-12-2019</t>
  </si>
  <si>
    <t>Gemiddelde EPEX 1-9-2019 t/m 31-8-2020, incl. correctie voor blokken van 6 uur of langer met een negatieve elektriciteitsprijs</t>
  </si>
  <si>
    <t>EPEX</t>
  </si>
  <si>
    <t>Gemiddelde TTF 1-9-2019 t/m 31-8-2020, cal-21</t>
  </si>
  <si>
    <t>Voorlopig correctiebedrag 2021</t>
  </si>
  <si>
    <t>Eindadvies basisbedrag SDE++ 2021</t>
  </si>
  <si>
    <t>Voorlopige GvO-waarde 2021</t>
  </si>
  <si>
    <t>Voorlopige ETS-waarde 2021 (nevenbaten indien van toepassing op project)</t>
  </si>
  <si>
    <t>(0,29 + 49 x TTF[HHV])/39.32</t>
  </si>
  <si>
    <t>(0,29 + 49 x 2/3 x LT_g[HHV])/39.32</t>
  </si>
  <si>
    <t>(0,29 + 49 x LT_g[HHV])/39.32</t>
  </si>
  <si>
    <t>Offshore elektrificatie</t>
  </si>
  <si>
    <t>PET</t>
  </si>
  <si>
    <t>ETH</t>
  </si>
  <si>
    <t>Etheen prijs</t>
  </si>
  <si>
    <t>LT_ol</t>
  </si>
  <si>
    <t>Productie van warmte of overig</t>
  </si>
  <si>
    <t>Elektriciteitsprijs na subsidieperiode (incl PIF)</t>
  </si>
  <si>
    <t>Vollasturen na subsidieperiode</t>
  </si>
  <si>
    <t>Relatief gasverbruik</t>
  </si>
  <si>
    <t>Gasverbruik</t>
  </si>
  <si>
    <t>Gebruik van gas</t>
  </si>
  <si>
    <t>€/kg</t>
  </si>
  <si>
    <t>Gemiddelde maandelijkse contractprijzen etheen 2019 (ICIS)</t>
  </si>
  <si>
    <t>2/3 x ETH</t>
  </si>
  <si>
    <t>CO2 uit ketel tuinbouw</t>
  </si>
  <si>
    <t>CO2 uit WKK tuinbouw</t>
  </si>
  <si>
    <t>kgCO2/kWh;LHV</t>
  </si>
  <si>
    <t>kgCO2/kWh;e</t>
  </si>
  <si>
    <t>ketel_co2</t>
  </si>
  <si>
    <t>wkk_co2</t>
  </si>
  <si>
    <t>(2/3 x LT_g[LHV]) / ketel_co2 x 1000 - 2/3 x 1000 x (2/3 x LT_e)/wkk_co2</t>
  </si>
  <si>
    <t>TTF[LHV] / ketel_co2 x 1000 - 2/3 x 1000 x EPEX/wkk_co2</t>
  </si>
  <si>
    <t>LT_g[LHV] / ketel_co2 x 1000 - 2/3 x  1000 x LT_e/wkk_co2</t>
  </si>
  <si>
    <t>W:E</t>
  </si>
  <si>
    <t>€/kWhLHV</t>
  </si>
  <si>
    <t>Langetermijn kale pompprijs diesel</t>
  </si>
  <si>
    <t>LT_dies</t>
  </si>
  <si>
    <t>2/3 x LT_ol</t>
  </si>
  <si>
    <t>DSCR</t>
  </si>
  <si>
    <t>LT_e x LT_PIF_PV + EB3_e + ODE3_e</t>
  </si>
  <si>
    <t>2/3 x LT_e x LT_PIF_PV + EB3_e + ODE3_e</t>
  </si>
  <si>
    <t>€/kg PET</t>
  </si>
  <si>
    <t>€/kg PS</t>
  </si>
  <si>
    <t>Gemiddelde 2020-2030 (KEV2020)</t>
  </si>
  <si>
    <t>PET glashelder virgin prijs 16 november 2020</t>
  </si>
  <si>
    <t>PS helder virgin prijs 16 november 2020</t>
  </si>
  <si>
    <t>PET prijs</t>
  </si>
  <si>
    <t>PS prijs</t>
  </si>
  <si>
    <t>2/3 x PET</t>
  </si>
  <si>
    <t>2/3 x PS</t>
  </si>
  <si>
    <t>ol</t>
  </si>
  <si>
    <t>dies</t>
  </si>
  <si>
    <t>Langetermijn kale pompprijs benzine</t>
  </si>
  <si>
    <t>Gemiddelde 1-9-2019 t/m 31-8-2020 (CBS)</t>
  </si>
  <si>
    <t>Kale pomprijs benzine</t>
  </si>
  <si>
    <t>Kale pomprijs dieselprijs</t>
  </si>
  <si>
    <t>Warmte, groot_1</t>
  </si>
  <si>
    <t>70% x TTF[LHV]</t>
  </si>
  <si>
    <t xml:space="preserve">70% x 2/3 x LT_g[LHV] </t>
  </si>
  <si>
    <t xml:space="preserve">70% x LT_g[LHV] </t>
  </si>
  <si>
    <t>Hernieuwbaar gas HHV</t>
  </si>
  <si>
    <t>[eenheid]</t>
  </si>
  <si>
    <t>Brandstofkosten (biomassa)</t>
  </si>
  <si>
    <t>Afzet warmte of overige</t>
  </si>
  <si>
    <t>Afzet elektriciteit of overige</t>
  </si>
  <si>
    <t>Prijs warmte of overige na subsidieperiode</t>
  </si>
  <si>
    <t>2,75 x TTF[LHV]</t>
  </si>
  <si>
    <t>2,75 x 2/3 x LT_g[LHV]</t>
  </si>
  <si>
    <t>2,75 x LT_g[LHV]</t>
  </si>
  <si>
    <t>Hernieuwbaar gas LHV</t>
  </si>
  <si>
    <t>2/3 x LT_g[LHV]</t>
  </si>
  <si>
    <t>LNG</t>
  </si>
  <si>
    <t>TTF[HHV] + 0,00319</t>
  </si>
  <si>
    <t>2/3 x LT_g[HHV] + 0,00319</t>
  </si>
  <si>
    <t>LT_g[HHV] + 0,00319</t>
  </si>
  <si>
    <t>EPEX x PIF_WOL</t>
  </si>
  <si>
    <t>EPEX x PIF_PV</t>
  </si>
  <si>
    <t>EPEX x PIF_PV + EB3_e + ODE3_e + transport</t>
  </si>
  <si>
    <t>EPEX x PIF_PV + EB3_e + ODE3_e</t>
  </si>
  <si>
    <t xml:space="preserve">(EPEX + (WK x (TTF[LHV] + EB1 + ODE1) / 90%) / (1 + WK-factor) </t>
  </si>
  <si>
    <t xml:space="preserve">(EPEX + (WK x (TTF[LHV] + EB2 + ODE2) / 90%) / (1 + WK-factor) </t>
  </si>
  <si>
    <t xml:space="preserve">(EPEX + (WK x (TTF[LHV] + EB3 + ODE3) / 90%) / (1 + WK-factor) </t>
  </si>
  <si>
    <t>Gemiddelde 2021-2030 (KEV2020)</t>
  </si>
  <si>
    <t>Gemiddelde emissiefactor</t>
  </si>
  <si>
    <t>[kg CO2/eenheid]</t>
  </si>
  <si>
    <t>Afzet</t>
  </si>
  <si>
    <t>Verdisconteerde afzet</t>
  </si>
  <si>
    <t>Subsidiebasis: afzet</t>
  </si>
  <si>
    <t>Zon-PV 60 kW op kleinverbruikersaansluiting</t>
  </si>
  <si>
    <t>Zon-PV 250 kW op grootverbruikersaansluiting</t>
  </si>
  <si>
    <t>Waterkracht 50 kW</t>
  </si>
  <si>
    <t xml:space="preserve">Subsidieregeling Coöperatieve Energieopwekking </t>
  </si>
  <si>
    <t>Glasoven</t>
  </si>
  <si>
    <t>Warmteopwekking luchtgestookte glasoven</t>
  </si>
  <si>
    <t>€/kWh;e</t>
  </si>
  <si>
    <t>2/3 x Glasoven</t>
  </si>
  <si>
    <t>Gebaseerd op de langetermijn gas- en elektriciteitsprijzen, het bespaarde gasverbruik en het extra elektriciteitsverbruik van een hybride glasoven tov een luchtgestookte glasoven</t>
  </si>
  <si>
    <t>Gemiddelde reële prijzen elektriciteit basislast 2021-2035 (KEV2020)</t>
  </si>
  <si>
    <t>Gemiddelde 2021-2035 (KEV2020)</t>
  </si>
  <si>
    <t>Gemiddelde reële prijzen gas 2021-2035 (KEV2020)</t>
  </si>
  <si>
    <t>Gemiddelde reële prijzen CO2 2021-2035 (KEV2020)</t>
  </si>
  <si>
    <t>FT</t>
  </si>
  <si>
    <t>2/3 x (30% x LT_ol + 70% x LT_dies)</t>
  </si>
  <si>
    <t>30% x LT_ol + 70% x LT_dies</t>
  </si>
  <si>
    <t>30% x ol + 70% x dies</t>
  </si>
  <si>
    <t>Gebaseerd op 56,4 kgCO2/GJ_LHV aardgas, een WEcR aandeel van 0,93 en een elektrisch rendement van 38%</t>
  </si>
  <si>
    <t>Gebaseerd op 56,4 kgCO2/GJ_LHV aardgas en een WEcR aandeel van 0,93</t>
  </si>
  <si>
    <t>57% x ol + 43% x dies</t>
  </si>
  <si>
    <t>57% x LG_ol + 43% x LT_dies</t>
  </si>
  <si>
    <t>2/3 x (57% x LG_ol + 43% x LT_dies)</t>
  </si>
  <si>
    <t>april 2021</t>
  </si>
  <si>
    <t>Wind op land, 15 kW, kva</t>
  </si>
  <si>
    <t>Wind op land, 1000 kW, windsnelheid &gt;8,5 m/s, op gva</t>
  </si>
  <si>
    <t>Wind op land, 1000 kW, windsnelheid 8,0 - 8,5 m/s, op gva</t>
  </si>
  <si>
    <t>Wind op land, 1000 kW, windsnelheid 7,5 - 8,0 m/s, op gva</t>
  </si>
  <si>
    <t>Wind op land, 1000 kW, windsnelheid 7,0 - 7,5 m/s, op gva</t>
  </si>
  <si>
    <t>Wind op land, 1000 kW, windsnelheid 6,75 - 7,0 m/s, op gva</t>
  </si>
  <si>
    <t>Wind op land, 1000 kW, windsnelheid  &lt;6,75 m/s, op gva</t>
  </si>
  <si>
    <t>Berekening basisbedragen: conceptadvies SCE</t>
  </si>
  <si>
    <t>SCE 2022</t>
  </si>
  <si>
    <t>Conceptadvies SCE 2022</t>
  </si>
  <si>
    <t>OT-model Iulia Pisca &amp;Sander Lensink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</si>
</sst>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 #,##0.00_ ;_ * \-#,##0.00_ ;_ * &quot;-&quot;??_ ;_ @_ "/>
    <numFmt numFmtId="165" formatCode="0.000"/>
    <numFmt numFmtId="166" formatCode="0.0"/>
    <numFmt numFmtId="167" formatCode="0;\-0;&quot;-&quot;"/>
    <numFmt numFmtId="168" formatCode="0%;\-0%;&quot;n.v.t.&quot;"/>
    <numFmt numFmtId="169" formatCode="_-* #,##0.00_-;_-* #,##0.00\-;_-* &quot;-&quot;??_-;_-@_-"/>
    <numFmt numFmtId="170" formatCode="0.0000"/>
    <numFmt numFmtId="171" formatCode="0.0%"/>
    <numFmt numFmtId="172" formatCode="0.000000"/>
    <numFmt numFmtId="173" formatCode="#,###,###,###,###;\-#,###,###,###,###;&quot;-&quot;"/>
    <numFmt numFmtId="174" formatCode="#,##0.000_ ;\-#,##0.000;&quot;-&quot;"/>
    <numFmt numFmtId="175" formatCode="_(* #,##0_);_(* \(#,##0\);_(* &quot;-&quot;??_);_(@_)"/>
    <numFmt numFmtId="176" formatCode="0.000%"/>
    <numFmt numFmtId="177" formatCode="0.00;\-0.00;&quot;-&quot;"/>
    <numFmt numFmtId="178" formatCode="0.00;\ \-0.00;\ &quot;-&quot;"/>
    <numFmt numFmtId="179" formatCode="#,##0.000"/>
    <numFmt numFmtId="180" formatCode="&quot;Netlevering (&quot;00%&quot;)&quot;"/>
    <numFmt numFmtId="181" formatCode="&quot;Niet-netlevering (&quot;00%&quot;)&quot;"/>
  </numFmts>
  <fonts count="43" x14ac:knownFonts="1">
    <font>
      <sz val="11"/>
      <color theme="1"/>
      <name val="Calibri"/>
      <family val="2"/>
      <scheme val="minor"/>
    </font>
    <font>
      <sz val="11"/>
      <color theme="1"/>
      <name val="Calibri"/>
      <family val="2"/>
      <scheme val="minor"/>
    </font>
    <font>
      <sz val="10"/>
      <name val="Arial"/>
      <family val="2"/>
    </font>
    <font>
      <sz val="10"/>
      <color theme="0"/>
      <name val="Calibri"/>
      <family val="2"/>
      <scheme val="minor"/>
    </font>
    <font>
      <sz val="11"/>
      <name val="Calibri"/>
      <family val="2"/>
      <scheme val="minor"/>
    </font>
    <font>
      <sz val="10"/>
      <name val="Calibri"/>
      <family val="2"/>
      <scheme val="minor"/>
    </font>
    <font>
      <sz val="10"/>
      <color rgb="FFFF0000"/>
      <name val="Calibri"/>
      <family val="2"/>
      <scheme val="minor"/>
    </font>
    <font>
      <i/>
      <sz val="10"/>
      <name val="Calibri"/>
      <family val="2"/>
      <scheme val="minor"/>
    </font>
    <font>
      <sz val="11"/>
      <name val="Arial"/>
      <family val="2"/>
    </font>
    <font>
      <sz val="14"/>
      <name val="Georgia"/>
      <family val="1"/>
    </font>
    <font>
      <sz val="18"/>
      <name val="Georgia"/>
      <family val="1"/>
    </font>
    <font>
      <sz val="10"/>
      <color rgb="FF7030A0"/>
      <name val="Calibri"/>
      <family val="2"/>
      <scheme val="minor"/>
    </font>
    <font>
      <b/>
      <sz val="12"/>
      <color indexed="10"/>
      <name val="Calibri"/>
      <family val="2"/>
      <scheme val="minor"/>
    </font>
    <font>
      <sz val="10"/>
      <color indexed="10"/>
      <name val="Calibri"/>
      <family val="2"/>
      <scheme val="minor"/>
    </font>
    <font>
      <sz val="10"/>
      <color theme="0"/>
      <name val="Calibri Light"/>
      <family val="2"/>
      <scheme val="major"/>
    </font>
    <font>
      <sz val="10"/>
      <name val="Calibri Light"/>
      <family val="2"/>
      <scheme val="major"/>
    </font>
    <font>
      <b/>
      <sz val="11"/>
      <color theme="1"/>
      <name val="Georgia"/>
      <family val="1"/>
    </font>
    <font>
      <sz val="11"/>
      <color theme="1"/>
      <name val="Georgia"/>
      <family val="1"/>
    </font>
    <font>
      <i/>
      <sz val="10"/>
      <color theme="0"/>
      <name val="Calibri"/>
      <family val="2"/>
      <scheme val="minor"/>
    </font>
    <font>
      <b/>
      <sz val="10"/>
      <color theme="0"/>
      <name val="Calibri"/>
      <family val="2"/>
      <scheme val="minor"/>
    </font>
    <font>
      <b/>
      <sz val="10"/>
      <name val="Calibri"/>
      <family val="2"/>
      <scheme val="minor"/>
    </font>
    <font>
      <i/>
      <sz val="10"/>
      <color rgb="FFFF0000"/>
      <name val="Calibri"/>
      <family val="2"/>
      <scheme val="minor"/>
    </font>
    <font>
      <b/>
      <sz val="18"/>
      <name val="Arial"/>
      <family val="2"/>
    </font>
    <font>
      <b/>
      <sz val="11"/>
      <name val="Arial"/>
      <family val="2"/>
    </font>
    <font>
      <b/>
      <sz val="13"/>
      <color theme="0"/>
      <name val="Calibri"/>
      <family val="2"/>
      <scheme val="minor"/>
    </font>
    <font>
      <b/>
      <sz val="12"/>
      <name val="Arial"/>
      <family val="2"/>
    </font>
    <font>
      <b/>
      <sz val="14"/>
      <name val="Arial"/>
      <family val="2"/>
    </font>
    <font>
      <i/>
      <sz val="8"/>
      <name val="Calibri"/>
      <family val="2"/>
      <scheme val="minor"/>
    </font>
    <font>
      <b/>
      <sz val="8"/>
      <name val="Calibri"/>
      <family val="2"/>
      <scheme val="minor"/>
    </font>
    <font>
      <sz val="20"/>
      <color theme="0" tint="-4.9989318521683403E-2"/>
      <name val="Calibri"/>
      <family val="2"/>
      <scheme val="minor"/>
    </font>
    <font>
      <sz val="10"/>
      <color theme="0"/>
      <name val="Verdana"/>
      <family val="2"/>
    </font>
    <font>
      <vertAlign val="subscript"/>
      <sz val="10"/>
      <color theme="0"/>
      <name val="Verdana"/>
      <family val="2"/>
    </font>
    <font>
      <sz val="10"/>
      <color theme="1"/>
      <name val="Verdana"/>
      <family val="2"/>
    </font>
    <font>
      <u/>
      <sz val="11"/>
      <color theme="10"/>
      <name val="Calibri"/>
      <family val="2"/>
      <scheme val="minor"/>
    </font>
    <font>
      <b/>
      <sz val="10"/>
      <color theme="1"/>
      <name val="Verdana"/>
      <family val="2"/>
    </font>
    <font>
      <sz val="10"/>
      <name val="Verdana"/>
      <family val="2"/>
    </font>
    <font>
      <sz val="11"/>
      <color theme="0"/>
      <name val="Calibri"/>
      <family val="2"/>
      <scheme val="minor"/>
    </font>
    <font>
      <sz val="12"/>
      <color theme="0"/>
      <name val="Calibri"/>
      <family val="2"/>
      <scheme val="minor"/>
    </font>
    <font>
      <sz val="11"/>
      <name val="Calibri"/>
      <family val="2"/>
    </font>
    <font>
      <vertAlign val="subscript"/>
      <sz val="11"/>
      <name val="Calibri"/>
      <family val="2"/>
    </font>
    <font>
      <vertAlign val="subscript"/>
      <sz val="11"/>
      <color theme="1"/>
      <name val="Calibri"/>
      <family val="2"/>
      <scheme val="minor"/>
    </font>
    <font>
      <i/>
      <sz val="11"/>
      <name val="Calibri"/>
      <family val="2"/>
      <scheme val="minor"/>
    </font>
    <font>
      <sz val="11"/>
      <color rgb="FFFF000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B5C800"/>
        <bgColor indexed="64"/>
      </patternFill>
    </fill>
    <fill>
      <patternFill patternType="solid">
        <fgColor rgb="FF999999"/>
        <bgColor indexed="64"/>
      </patternFill>
    </fill>
    <fill>
      <patternFill patternType="solid">
        <fgColor theme="2" tint="-0.249977111117893"/>
        <bgColor indexed="64"/>
      </patternFill>
    </fill>
    <fill>
      <patternFill patternType="solid">
        <fgColor rgb="FF9AB400"/>
        <bgColor indexed="64"/>
      </patternFill>
    </fill>
    <fill>
      <patternFill patternType="solid">
        <fgColor theme="0" tint="-4.9989318521683403E-2"/>
        <bgColor indexed="64"/>
      </patternFill>
    </fill>
    <fill>
      <patternFill patternType="solid">
        <fgColor theme="9" tint="-0.499984740745262"/>
        <bgColor indexed="64"/>
      </patternFill>
    </fill>
  </fills>
  <borders count="77">
    <border>
      <left/>
      <right/>
      <top/>
      <bottom/>
      <diagonal/>
    </border>
    <border>
      <left/>
      <right style="thin">
        <color theme="0"/>
      </right>
      <top/>
      <bottom/>
      <diagonal/>
    </border>
    <border>
      <left/>
      <right style="thin">
        <color rgb="FFCCCCCC"/>
      </right>
      <top/>
      <bottom style="thin">
        <color theme="0"/>
      </bottom>
      <diagonal/>
    </border>
    <border>
      <left/>
      <right/>
      <top/>
      <bottom style="thin">
        <color theme="0"/>
      </bottom>
      <diagonal/>
    </border>
    <border>
      <left/>
      <right style="thin">
        <color rgb="FFCCCCCC"/>
      </right>
      <top style="thin">
        <color theme="0"/>
      </top>
      <bottom style="thin">
        <color theme="0"/>
      </bottom>
      <diagonal/>
    </border>
    <border>
      <left/>
      <right style="thin">
        <color rgb="FFCCCCCC"/>
      </right>
      <top style="thin">
        <color theme="0"/>
      </top>
      <bottom style="thin">
        <color rgb="FFCCCCCC"/>
      </bottom>
      <diagonal/>
    </border>
    <border>
      <left/>
      <right style="thin">
        <color rgb="FFCCCCCC"/>
      </right>
      <top/>
      <bottom/>
      <diagonal/>
    </border>
    <border>
      <left/>
      <right style="thin">
        <color rgb="FFCCCCCC"/>
      </right>
      <top style="thin">
        <color theme="0"/>
      </top>
      <bottom/>
      <diagonal/>
    </border>
    <border>
      <left style="thin">
        <color rgb="FFCCCCCC"/>
      </left>
      <right style="thin">
        <color rgb="FFCCCCCC"/>
      </right>
      <top style="thin">
        <color rgb="FFCCCCCC"/>
      </top>
      <bottom style="thin">
        <color rgb="FFCCCCCC"/>
      </bottom>
      <diagonal/>
    </border>
    <border>
      <left style="thin">
        <color theme="0"/>
      </left>
      <right style="thin">
        <color theme="0"/>
      </right>
      <top/>
      <bottom/>
      <diagonal/>
    </border>
    <border>
      <left style="thin">
        <color theme="0"/>
      </left>
      <right/>
      <top/>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theme="0"/>
      </left>
      <right/>
      <top/>
      <bottom style="thin">
        <color rgb="FFCCCCCC"/>
      </bottom>
      <diagonal/>
    </border>
    <border>
      <left/>
      <right/>
      <top/>
      <bottom style="thin">
        <color rgb="FFCCCCCC"/>
      </bottom>
      <diagonal/>
    </border>
    <border>
      <left/>
      <right/>
      <top style="thick">
        <color rgb="FFB5C80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rgb="FFCCCCCC"/>
      </left>
      <right style="thin">
        <color rgb="FFCCCCCC"/>
      </right>
      <top/>
      <bottom/>
      <diagonal/>
    </border>
    <border>
      <left style="thin">
        <color theme="0"/>
      </left>
      <right style="thin">
        <color auto="1"/>
      </right>
      <top/>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rgb="FFCCCCCC"/>
      </top>
      <bottom/>
      <diagonal/>
    </border>
    <border>
      <left style="thin">
        <color rgb="FFCCCCCC"/>
      </left>
      <right style="thin">
        <color auto="1"/>
      </right>
      <top style="thin">
        <color rgb="FFCCCCCC"/>
      </top>
      <bottom style="thin">
        <color rgb="FFCCCCCC"/>
      </bottom>
      <diagonal/>
    </border>
    <border>
      <left/>
      <right/>
      <top style="thin">
        <color theme="0"/>
      </top>
      <bottom/>
      <diagonal/>
    </border>
    <border>
      <left/>
      <right style="thin">
        <color rgb="FFCCCCCC"/>
      </right>
      <top style="thin">
        <color rgb="FFCCCCCC"/>
      </top>
      <bottom/>
      <diagonal/>
    </border>
    <border>
      <left style="thin">
        <color rgb="FFCCCCCC"/>
      </left>
      <right style="thin">
        <color auto="1"/>
      </right>
      <top style="thin">
        <color rgb="FFCCCCCC"/>
      </top>
      <bottom/>
      <diagonal/>
    </border>
    <border>
      <left style="thin">
        <color rgb="FFCCCCCC"/>
      </left>
      <right style="thin">
        <color auto="1"/>
      </right>
      <top/>
      <bottom style="thin">
        <color rgb="FFCCCCCC"/>
      </bottom>
      <diagonal/>
    </border>
    <border>
      <left/>
      <right style="thin">
        <color auto="1"/>
      </right>
      <top/>
      <bottom style="thin">
        <color rgb="FFCCCCCC"/>
      </bottom>
      <diagonal/>
    </border>
    <border>
      <left/>
      <right style="thin">
        <color auto="1"/>
      </right>
      <top style="thin">
        <color rgb="FFCCCCCC"/>
      </top>
      <bottom/>
      <diagonal/>
    </border>
    <border>
      <left style="thin">
        <color theme="0"/>
      </left>
      <right style="thin">
        <color auto="1"/>
      </right>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rgb="FFCCCCCC"/>
      </left>
      <right style="thin">
        <color indexed="64"/>
      </right>
      <top/>
      <bottom/>
      <diagonal/>
    </border>
    <border>
      <left style="thin">
        <color theme="0"/>
      </left>
      <right style="thin">
        <color indexed="64"/>
      </right>
      <top style="thin">
        <color rgb="FFCCCCCC"/>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medium">
        <color indexed="64"/>
      </left>
      <right/>
      <top style="medium">
        <color indexed="64"/>
      </top>
      <bottom/>
      <diagonal/>
    </border>
    <border>
      <left style="thin">
        <color theme="0" tint="-0.14996795556505021"/>
      </left>
      <right style="thin">
        <color theme="0" tint="-0.14996795556505021"/>
      </right>
      <top style="medium">
        <color indexed="64"/>
      </top>
      <bottom/>
      <diagonal/>
    </border>
    <border>
      <left/>
      <right/>
      <top style="medium">
        <color indexed="64"/>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right style="medium">
        <color indexed="64"/>
      </right>
      <top/>
      <bottom/>
      <diagonal/>
    </border>
    <border>
      <left style="medium">
        <color indexed="64"/>
      </left>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style="thin">
        <color rgb="FFE0DDEB"/>
      </right>
      <top style="thin">
        <color theme="0" tint="-0.14996795556505021"/>
      </top>
      <bottom style="thin">
        <color rgb="FFE0DDEB"/>
      </bottom>
      <diagonal/>
    </border>
    <border>
      <left style="thin">
        <color rgb="FFE0DDEB"/>
      </left>
      <right style="thin">
        <color rgb="FFE0DDEB"/>
      </right>
      <top style="thin">
        <color theme="0" tint="-0.14996795556505021"/>
      </top>
      <bottom style="thin">
        <color rgb="FFE0DDEB"/>
      </bottom>
      <diagonal/>
    </border>
    <border>
      <left style="thin">
        <color rgb="FFE0DDEB"/>
      </left>
      <right style="medium">
        <color indexed="64"/>
      </right>
      <top style="thin">
        <color theme="0" tint="-0.14996795556505021"/>
      </top>
      <bottom style="thin">
        <color rgb="FFE0DDEB"/>
      </bottom>
      <diagonal/>
    </border>
    <border>
      <left style="medium">
        <color indexed="64"/>
      </left>
      <right style="thin">
        <color rgb="FFE0DDEB"/>
      </right>
      <top style="thin">
        <color rgb="FFE0DDEB"/>
      </top>
      <bottom style="thin">
        <color rgb="FFE0DDEB"/>
      </bottom>
      <diagonal/>
    </border>
    <border>
      <left style="thin">
        <color rgb="FFE0DDEB"/>
      </left>
      <right style="thin">
        <color rgb="FFE0DDEB"/>
      </right>
      <top style="thin">
        <color rgb="FFE0DDEB"/>
      </top>
      <bottom style="thin">
        <color rgb="FFE0DDEB"/>
      </bottom>
      <diagonal/>
    </border>
    <border>
      <left style="thin">
        <color rgb="FFE0DDEB"/>
      </left>
      <right style="medium">
        <color indexed="64"/>
      </right>
      <top style="thin">
        <color rgb="FFE0DDEB"/>
      </top>
      <bottom style="thin">
        <color rgb="FFE0DDEB"/>
      </bottom>
      <diagonal/>
    </border>
    <border>
      <left style="medium">
        <color indexed="64"/>
      </left>
      <right style="thin">
        <color rgb="FFE0DDEB"/>
      </right>
      <top style="thin">
        <color rgb="FFE0DDEB"/>
      </top>
      <bottom style="medium">
        <color indexed="64"/>
      </bottom>
      <diagonal/>
    </border>
    <border>
      <left style="thin">
        <color rgb="FFE0DDEB"/>
      </left>
      <right style="thin">
        <color rgb="FFE0DDEB"/>
      </right>
      <top style="thin">
        <color rgb="FFE0DDEB"/>
      </top>
      <bottom style="medium">
        <color indexed="64"/>
      </bottom>
      <diagonal/>
    </border>
    <border>
      <left style="thin">
        <color rgb="FFE0DDEB"/>
      </left>
      <right style="medium">
        <color indexed="64"/>
      </right>
      <top style="thin">
        <color rgb="FFE0DDEB"/>
      </top>
      <bottom style="medium">
        <color indexed="64"/>
      </bottom>
      <diagonal/>
    </border>
    <border>
      <left style="medium">
        <color indexed="64"/>
      </left>
      <right style="thin">
        <color rgb="FFE0DDEB"/>
      </right>
      <top style="thin">
        <color rgb="FFE0DDEB"/>
      </top>
      <bottom/>
      <diagonal/>
    </border>
    <border>
      <left style="thin">
        <color rgb="FFE0DDEB"/>
      </left>
      <right style="thin">
        <color rgb="FFE0DDEB"/>
      </right>
      <top style="thin">
        <color rgb="FFE0DDEB"/>
      </top>
      <bottom/>
      <diagonal/>
    </border>
    <border>
      <left style="thin">
        <color rgb="FFE0DDEB"/>
      </left>
      <right style="medium">
        <color indexed="64"/>
      </right>
      <top style="thin">
        <color rgb="FFE0DDEB"/>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0" fontId="2" fillId="0" borderId="0"/>
    <xf numFmtId="164" fontId="1" fillId="0" borderId="0" applyFont="0" applyFill="0" applyBorder="0" applyAlignment="0" applyProtection="0"/>
    <xf numFmtId="0" fontId="33" fillId="0" borderId="0" applyNumberFormat="0" applyFill="0" applyBorder="0" applyAlignment="0" applyProtection="0"/>
  </cellStyleXfs>
  <cellXfs count="418">
    <xf numFmtId="0" fontId="0" fillId="0" borderId="0" xfId="0"/>
    <xf numFmtId="0" fontId="3" fillId="3" borderId="1" xfId="3" applyFont="1" applyFill="1" applyBorder="1" applyAlignment="1">
      <alignment horizontal="left"/>
    </xf>
    <xf numFmtId="0" fontId="5" fillId="4" borderId="2" xfId="3" applyFont="1" applyFill="1" applyBorder="1"/>
    <xf numFmtId="0" fontId="5" fillId="4" borderId="3" xfId="3" applyFont="1" applyFill="1" applyBorder="1"/>
    <xf numFmtId="0" fontId="5" fillId="4" borderId="0" xfId="3" applyFont="1" applyFill="1" applyBorder="1"/>
    <xf numFmtId="0" fontId="5" fillId="4" borderId="4" xfId="3" applyFont="1" applyFill="1" applyBorder="1"/>
    <xf numFmtId="0" fontId="5" fillId="4" borderId="5" xfId="3" applyFont="1" applyFill="1" applyBorder="1"/>
    <xf numFmtId="0" fontId="5" fillId="4" borderId="4" xfId="3" applyFont="1" applyFill="1" applyBorder="1" applyAlignment="1">
      <alignment horizontal="right"/>
    </xf>
    <xf numFmtId="0" fontId="7" fillId="4" borderId="2" xfId="3" applyFont="1" applyFill="1" applyBorder="1" applyAlignment="1">
      <alignment horizontal="right"/>
    </xf>
    <xf numFmtId="0" fontId="7" fillId="4" borderId="4" xfId="3" applyFont="1" applyFill="1" applyBorder="1" applyAlignment="1">
      <alignment horizontal="right"/>
    </xf>
    <xf numFmtId="0" fontId="5" fillId="3" borderId="0" xfId="3" applyFont="1" applyFill="1" applyBorder="1"/>
    <xf numFmtId="0" fontId="5" fillId="4" borderId="6" xfId="3" applyFont="1" applyFill="1" applyBorder="1" applyAlignment="1">
      <alignment vertical="center"/>
    </xf>
    <xf numFmtId="0" fontId="5" fillId="4" borderId="7" xfId="3" applyFont="1" applyFill="1" applyBorder="1" applyAlignment="1">
      <alignment vertical="center"/>
    </xf>
    <xf numFmtId="0" fontId="3" fillId="3" borderId="0" xfId="3" applyFont="1" applyFill="1" applyBorder="1"/>
    <xf numFmtId="0" fontId="5" fillId="3" borderId="1" xfId="3" applyFont="1" applyFill="1" applyBorder="1"/>
    <xf numFmtId="0" fontId="5" fillId="4" borderId="4" xfId="6" applyFont="1" applyFill="1" applyBorder="1"/>
    <xf numFmtId="0" fontId="5" fillId="4" borderId="7" xfId="3" applyFont="1" applyFill="1" applyBorder="1" applyAlignment="1">
      <alignment horizontal="left"/>
    </xf>
    <xf numFmtId="0" fontId="5" fillId="4" borderId="7" xfId="3" applyFont="1" applyFill="1" applyBorder="1"/>
    <xf numFmtId="0" fontId="2" fillId="0" borderId="0" xfId="3"/>
    <xf numFmtId="0" fontId="9" fillId="0" borderId="0" xfId="3" applyFont="1"/>
    <xf numFmtId="0" fontId="9" fillId="0" borderId="0" xfId="3" applyFont="1" applyAlignment="1">
      <alignment horizontal="center"/>
    </xf>
    <xf numFmtId="0" fontId="9" fillId="0" borderId="0" xfId="3" applyFont="1" applyFill="1" applyBorder="1"/>
    <xf numFmtId="0" fontId="9" fillId="0" borderId="0" xfId="3" applyFont="1" applyBorder="1"/>
    <xf numFmtId="0" fontId="10" fillId="0" borderId="0" xfId="3" applyFont="1" applyBorder="1"/>
    <xf numFmtId="0" fontId="10" fillId="0" borderId="0" xfId="3" applyFont="1"/>
    <xf numFmtId="0" fontId="10" fillId="0" borderId="0" xfId="3" applyFont="1" applyAlignment="1">
      <alignment horizontal="center"/>
    </xf>
    <xf numFmtId="0" fontId="10" fillId="0" borderId="0" xfId="3" applyFont="1" applyFill="1" applyBorder="1"/>
    <xf numFmtId="0" fontId="3" fillId="3" borderId="9" xfId="3" applyFont="1" applyFill="1" applyBorder="1" applyAlignment="1">
      <alignment horizontal="center"/>
    </xf>
    <xf numFmtId="0" fontId="3" fillId="3" borderId="10" xfId="3" applyFont="1" applyFill="1" applyBorder="1" applyAlignment="1">
      <alignment horizontal="center"/>
    </xf>
    <xf numFmtId="0" fontId="11" fillId="0" borderId="0" xfId="3" applyFont="1"/>
    <xf numFmtId="0" fontId="5" fillId="6" borderId="12" xfId="3" applyFont="1" applyFill="1" applyBorder="1" applyAlignment="1">
      <alignment horizontal="center"/>
    </xf>
    <xf numFmtId="172" fontId="11" fillId="0" borderId="0" xfId="3" applyNumberFormat="1" applyFont="1"/>
    <xf numFmtId="1" fontId="5" fillId="8" borderId="12" xfId="3" applyNumberFormat="1" applyFont="1" applyFill="1" applyBorder="1" applyAlignment="1" applyProtection="1">
      <alignment horizontal="center"/>
      <protection locked="0"/>
    </xf>
    <xf numFmtId="0" fontId="5" fillId="0" borderId="0" xfId="3" applyFont="1" applyFill="1" applyBorder="1"/>
    <xf numFmtId="2" fontId="13" fillId="0" borderId="0" xfId="3" applyNumberFormat="1" applyFont="1" applyFill="1" applyBorder="1" applyAlignment="1">
      <alignment horizontal="center"/>
    </xf>
    <xf numFmtId="0" fontId="5" fillId="0" borderId="0" xfId="3" applyFont="1" applyFill="1" applyBorder="1" applyAlignment="1">
      <alignment horizontal="center"/>
    </xf>
    <xf numFmtId="0" fontId="5" fillId="0" borderId="0" xfId="3" applyFont="1" applyFill="1"/>
    <xf numFmtId="0" fontId="5" fillId="0" borderId="0" xfId="3" applyFont="1" applyBorder="1"/>
    <xf numFmtId="0" fontId="5" fillId="0" borderId="8" xfId="3" applyFont="1" applyFill="1" applyBorder="1" applyAlignment="1">
      <alignment horizontal="center"/>
    </xf>
    <xf numFmtId="0" fontId="5" fillId="7" borderId="12" xfId="3" applyFont="1" applyFill="1" applyBorder="1" applyAlignment="1">
      <alignment horizontal="center"/>
    </xf>
    <xf numFmtId="9" fontId="5" fillId="8" borderId="8" xfId="2" applyFont="1" applyFill="1" applyBorder="1" applyAlignment="1" applyProtection="1">
      <alignment horizontal="center"/>
      <protection locked="0"/>
    </xf>
    <xf numFmtId="0" fontId="5" fillId="7" borderId="8" xfId="3" applyFont="1" applyFill="1" applyBorder="1" applyAlignment="1">
      <alignment horizontal="center"/>
    </xf>
    <xf numFmtId="167" fontId="5" fillId="6" borderId="12" xfId="3" applyNumberFormat="1" applyFont="1" applyFill="1" applyBorder="1" applyAlignment="1" applyProtection="1">
      <alignment horizontal="center"/>
      <protection locked="0"/>
    </xf>
    <xf numFmtId="1" fontId="5" fillId="8" borderId="8" xfId="3" applyNumberFormat="1" applyFont="1" applyFill="1" applyBorder="1" applyAlignment="1" applyProtection="1">
      <alignment horizontal="center"/>
      <protection locked="0"/>
    </xf>
    <xf numFmtId="0" fontId="5" fillId="8" borderId="8" xfId="3" applyFont="1" applyFill="1" applyBorder="1" applyAlignment="1" applyProtection="1">
      <alignment horizontal="center"/>
      <protection locked="0"/>
    </xf>
    <xf numFmtId="1" fontId="5" fillId="3" borderId="9" xfId="4" applyNumberFormat="1" applyFont="1" applyFill="1" applyBorder="1" applyAlignment="1">
      <alignment horizontal="center"/>
    </xf>
    <xf numFmtId="0" fontId="5" fillId="3" borderId="0" xfId="3" applyFont="1" applyFill="1" applyBorder="1" applyAlignment="1">
      <alignment horizontal="center"/>
    </xf>
    <xf numFmtId="168" fontId="5" fillId="7" borderId="12" xfId="4" applyNumberFormat="1" applyFont="1" applyFill="1" applyBorder="1" applyAlignment="1">
      <alignment horizontal="center"/>
    </xf>
    <xf numFmtId="9" fontId="5" fillId="7" borderId="8" xfId="4" applyFont="1" applyFill="1" applyBorder="1" applyAlignment="1">
      <alignment horizontal="center"/>
    </xf>
    <xf numFmtId="13" fontId="5" fillId="8" borderId="8" xfId="4" applyNumberFormat="1" applyFont="1" applyFill="1" applyBorder="1" applyAlignment="1" applyProtection="1">
      <alignment horizontal="center"/>
      <protection locked="0"/>
    </xf>
    <xf numFmtId="0" fontId="5" fillId="8" borderId="12" xfId="3" applyFont="1" applyFill="1" applyBorder="1" applyAlignment="1" applyProtection="1">
      <alignment horizontal="center"/>
      <protection locked="0"/>
    </xf>
    <xf numFmtId="165" fontId="5" fillId="7" borderId="8" xfId="3" applyNumberFormat="1" applyFont="1" applyFill="1" applyBorder="1" applyAlignment="1">
      <alignment horizontal="center"/>
    </xf>
    <xf numFmtId="166" fontId="5" fillId="8" borderId="8" xfId="3" applyNumberFormat="1" applyFont="1" applyFill="1" applyBorder="1" applyAlignment="1" applyProtection="1">
      <alignment horizontal="center"/>
      <protection locked="0"/>
    </xf>
    <xf numFmtId="3" fontId="5" fillId="7" borderId="8" xfId="5" applyNumberFormat="1" applyFont="1" applyFill="1" applyBorder="1" applyAlignment="1">
      <alignment horizontal="center"/>
    </xf>
    <xf numFmtId="170" fontId="5" fillId="8" borderId="8" xfId="3" applyNumberFormat="1" applyFont="1" applyFill="1" applyBorder="1" applyAlignment="1" applyProtection="1">
      <alignment horizontal="center"/>
      <protection locked="0"/>
    </xf>
    <xf numFmtId="167" fontId="5" fillId="6" borderId="8" xfId="3" applyNumberFormat="1" applyFont="1" applyFill="1" applyBorder="1" applyAlignment="1" applyProtection="1">
      <alignment horizontal="center"/>
      <protection locked="0"/>
    </xf>
    <xf numFmtId="0" fontId="5" fillId="8" borderId="8" xfId="4" applyNumberFormat="1" applyFont="1" applyFill="1" applyBorder="1" applyAlignment="1" applyProtection="1">
      <alignment horizontal="center"/>
      <protection locked="0"/>
    </xf>
    <xf numFmtId="3" fontId="5" fillId="8" borderId="8" xfId="3" applyNumberFormat="1" applyFont="1" applyFill="1" applyBorder="1" applyAlignment="1">
      <alignment horizontal="center"/>
    </xf>
    <xf numFmtId="171" fontId="5" fillId="8" borderId="12" xfId="3" applyNumberFormat="1" applyFont="1" applyFill="1" applyBorder="1" applyAlignment="1" applyProtection="1">
      <alignment horizontal="center"/>
      <protection locked="0"/>
    </xf>
    <xf numFmtId="171" fontId="5" fillId="8" borderId="8" xfId="4" applyNumberFormat="1" applyFont="1" applyFill="1" applyBorder="1" applyAlignment="1" applyProtection="1">
      <alignment horizontal="center"/>
      <protection locked="0"/>
    </xf>
    <xf numFmtId="9" fontId="5" fillId="8" borderId="8" xfId="4" applyFont="1" applyFill="1" applyBorder="1" applyAlignment="1" applyProtection="1">
      <alignment horizontal="center"/>
      <protection locked="0"/>
    </xf>
    <xf numFmtId="9" fontId="5" fillId="7" borderId="8" xfId="4" applyNumberFormat="1" applyFont="1" applyFill="1" applyBorder="1" applyAlignment="1">
      <alignment horizontal="center"/>
    </xf>
    <xf numFmtId="171" fontId="5" fillId="8" borderId="16" xfId="4" applyNumberFormat="1" applyFont="1" applyFill="1" applyBorder="1" applyAlignment="1" applyProtection="1">
      <alignment horizontal="center"/>
      <protection locked="0"/>
    </xf>
    <xf numFmtId="0" fontId="5" fillId="7" borderId="16" xfId="3" applyFont="1" applyFill="1" applyBorder="1" applyAlignment="1">
      <alignment horizontal="center"/>
    </xf>
    <xf numFmtId="170" fontId="5" fillId="0" borderId="0" xfId="3" applyNumberFormat="1" applyFont="1"/>
    <xf numFmtId="1" fontId="5" fillId="8" borderId="16" xfId="4" applyNumberFormat="1" applyFont="1" applyFill="1" applyBorder="1" applyAlignment="1" applyProtection="1">
      <alignment horizontal="center"/>
      <protection locked="0"/>
    </xf>
    <xf numFmtId="0" fontId="5" fillId="0" borderId="0" xfId="3" applyFont="1" applyAlignment="1">
      <alignment horizontal="center"/>
    </xf>
    <xf numFmtId="173" fontId="5" fillId="0" borderId="0" xfId="3" applyNumberFormat="1" applyFont="1"/>
    <xf numFmtId="0" fontId="14" fillId="3" borderId="0" xfId="3" applyFont="1" applyFill="1"/>
    <xf numFmtId="0" fontId="14" fillId="3" borderId="0" xfId="3" applyFont="1" applyFill="1" applyAlignment="1">
      <alignment horizontal="center"/>
    </xf>
    <xf numFmtId="0" fontId="3" fillId="3" borderId="0" xfId="3" applyNumberFormat="1" applyFont="1" applyFill="1"/>
    <xf numFmtId="0" fontId="3" fillId="3" borderId="0" xfId="3" applyNumberFormat="1" applyFont="1" applyFill="1" applyBorder="1"/>
    <xf numFmtId="165" fontId="15" fillId="0" borderId="0" xfId="3" applyNumberFormat="1" applyFont="1" applyBorder="1"/>
    <xf numFmtId="0" fontId="5" fillId="6" borderId="8" xfId="3" applyFont="1" applyFill="1" applyBorder="1" applyAlignment="1">
      <alignment horizontal="center"/>
    </xf>
    <xf numFmtId="0" fontId="5" fillId="6" borderId="8" xfId="3" applyFont="1" applyFill="1" applyBorder="1" applyAlignment="1">
      <alignment horizontal="right"/>
    </xf>
    <xf numFmtId="0" fontId="5" fillId="6" borderId="8" xfId="3" applyFont="1" applyFill="1" applyBorder="1"/>
    <xf numFmtId="165" fontId="15" fillId="0" borderId="0" xfId="3" applyNumberFormat="1" applyFont="1"/>
    <xf numFmtId="165" fontId="5" fillId="7" borderId="8" xfId="4" applyNumberFormat="1" applyFont="1" applyFill="1" applyBorder="1" applyAlignment="1">
      <alignment horizontal="center"/>
    </xf>
    <xf numFmtId="0" fontId="15" fillId="0" borderId="0" xfId="3" applyFont="1" applyFill="1" applyBorder="1"/>
    <xf numFmtId="2" fontId="5" fillId="6" borderId="8" xfId="3" applyNumberFormat="1" applyFont="1" applyFill="1" applyBorder="1" applyAlignment="1">
      <alignment horizontal="right"/>
    </xf>
    <xf numFmtId="2" fontId="5" fillId="6" borderId="8" xfId="3" applyNumberFormat="1" applyFont="1" applyFill="1" applyBorder="1"/>
    <xf numFmtId="0" fontId="15" fillId="0" borderId="0" xfId="3" applyFont="1" applyBorder="1"/>
    <xf numFmtId="0" fontId="18" fillId="3" borderId="20" xfId="3" applyFont="1" applyFill="1" applyBorder="1"/>
    <xf numFmtId="0" fontId="19" fillId="3" borderId="21" xfId="3" applyFont="1" applyFill="1" applyBorder="1" applyAlignment="1">
      <alignment horizontal="right"/>
    </xf>
    <xf numFmtId="0" fontId="19" fillId="3" borderId="21" xfId="3" applyFont="1" applyFill="1" applyBorder="1" applyAlignment="1">
      <alignment horizontal="center"/>
    </xf>
    <xf numFmtId="0" fontId="5" fillId="6" borderId="6" xfId="3" applyFont="1" applyFill="1" applyBorder="1"/>
    <xf numFmtId="3" fontId="5" fillId="6" borderId="22" xfId="3" applyNumberFormat="1" applyFont="1" applyFill="1" applyBorder="1" applyAlignment="1">
      <alignment horizontal="center"/>
    </xf>
    <xf numFmtId="0" fontId="20" fillId="6" borderId="22" xfId="3" applyFont="1" applyFill="1" applyBorder="1" applyAlignment="1">
      <alignment horizontal="center"/>
    </xf>
    <xf numFmtId="0" fontId="20" fillId="3" borderId="9" xfId="3" applyFont="1" applyFill="1" applyBorder="1" applyAlignment="1">
      <alignment horizontal="right"/>
    </xf>
    <xf numFmtId="0" fontId="20" fillId="3" borderId="9" xfId="3" applyFont="1" applyFill="1" applyBorder="1" applyAlignment="1">
      <alignment horizontal="center"/>
    </xf>
    <xf numFmtId="0" fontId="20" fillId="3" borderId="23" xfId="3" applyFont="1" applyFill="1" applyBorder="1" applyAlignment="1">
      <alignment horizontal="center"/>
    </xf>
    <xf numFmtId="0" fontId="5" fillId="6" borderId="11" xfId="3" applyFont="1" applyFill="1" applyBorder="1"/>
    <xf numFmtId="0" fontId="5" fillId="6" borderId="12" xfId="3" applyFont="1" applyFill="1" applyBorder="1"/>
    <xf numFmtId="173" fontId="5" fillId="6" borderId="12" xfId="3" applyNumberFormat="1" applyFont="1" applyFill="1" applyBorder="1"/>
    <xf numFmtId="0" fontId="5" fillId="4" borderId="24" xfId="3" applyFont="1" applyFill="1" applyBorder="1"/>
    <xf numFmtId="0" fontId="5" fillId="6" borderId="15" xfId="3" applyFont="1" applyFill="1" applyBorder="1"/>
    <xf numFmtId="173" fontId="5" fillId="6" borderId="8" xfId="3" applyNumberFormat="1" applyFont="1" applyFill="1" applyBorder="1"/>
    <xf numFmtId="0" fontId="5" fillId="9" borderId="25" xfId="3" applyFont="1" applyFill="1" applyBorder="1"/>
    <xf numFmtId="0" fontId="5" fillId="9" borderId="26" xfId="3" applyFont="1" applyFill="1" applyBorder="1"/>
    <xf numFmtId="173" fontId="5" fillId="9" borderId="26" xfId="5" applyNumberFormat="1" applyFont="1" applyFill="1" applyBorder="1"/>
    <xf numFmtId="174" fontId="5" fillId="6" borderId="8" xfId="3" applyNumberFormat="1" applyFont="1" applyFill="1" applyBorder="1"/>
    <xf numFmtId="173" fontId="5" fillId="6" borderId="27" xfId="3" applyNumberFormat="1" applyFont="1" applyFill="1" applyBorder="1"/>
    <xf numFmtId="0" fontId="5" fillId="4" borderId="28" xfId="3" applyFont="1" applyFill="1" applyBorder="1"/>
    <xf numFmtId="0" fontId="5" fillId="6" borderId="29" xfId="3" applyFont="1" applyFill="1" applyBorder="1"/>
    <xf numFmtId="0" fontId="5" fillId="6" borderId="16" xfId="3" applyFont="1" applyFill="1" applyBorder="1"/>
    <xf numFmtId="173" fontId="5" fillId="6" borderId="16" xfId="3" applyNumberFormat="1" applyFont="1" applyFill="1" applyBorder="1"/>
    <xf numFmtId="173" fontId="5" fillId="6" borderId="30" xfId="3" applyNumberFormat="1" applyFont="1" applyFill="1" applyBorder="1"/>
    <xf numFmtId="173" fontId="5" fillId="6" borderId="31" xfId="3" applyNumberFormat="1" applyFont="1" applyFill="1" applyBorder="1"/>
    <xf numFmtId="3" fontId="5" fillId="6" borderId="16" xfId="3" applyNumberFormat="1" applyFont="1" applyFill="1" applyBorder="1"/>
    <xf numFmtId="0" fontId="20" fillId="0" borderId="0" xfId="3" applyFont="1" applyBorder="1"/>
    <xf numFmtId="173" fontId="5" fillId="6" borderId="11" xfId="3" applyNumberFormat="1" applyFont="1" applyFill="1" applyBorder="1"/>
    <xf numFmtId="173" fontId="5" fillId="6" borderId="32" xfId="3" applyNumberFormat="1" applyFont="1" applyFill="1" applyBorder="1"/>
    <xf numFmtId="173" fontId="5" fillId="6" borderId="29" xfId="3" applyNumberFormat="1" applyFont="1" applyFill="1" applyBorder="1"/>
    <xf numFmtId="173" fontId="5" fillId="6" borderId="33" xfId="3" applyNumberFormat="1" applyFont="1" applyFill="1" applyBorder="1"/>
    <xf numFmtId="0" fontId="5" fillId="9" borderId="20" xfId="3" applyFont="1" applyFill="1" applyBorder="1"/>
    <xf numFmtId="0" fontId="5" fillId="9" borderId="21" xfId="3" applyFont="1" applyFill="1" applyBorder="1"/>
    <xf numFmtId="173" fontId="5" fillId="9" borderId="21" xfId="3" applyNumberFormat="1" applyFont="1" applyFill="1" applyBorder="1"/>
    <xf numFmtId="173" fontId="5" fillId="9" borderId="34" xfId="3" applyNumberFormat="1" applyFont="1" applyFill="1" applyBorder="1"/>
    <xf numFmtId="0" fontId="5" fillId="9" borderId="1" xfId="3" applyFont="1" applyFill="1" applyBorder="1"/>
    <xf numFmtId="0" fontId="5" fillId="9" borderId="9" xfId="3" applyFont="1" applyFill="1" applyBorder="1"/>
    <xf numFmtId="3" fontId="5" fillId="9" borderId="9" xfId="3" applyNumberFormat="1" applyFont="1" applyFill="1" applyBorder="1"/>
    <xf numFmtId="173" fontId="5" fillId="9" borderId="9" xfId="3" applyNumberFormat="1" applyFont="1" applyFill="1" applyBorder="1"/>
    <xf numFmtId="0" fontId="5" fillId="9" borderId="35" xfId="3" applyFont="1" applyFill="1" applyBorder="1"/>
    <xf numFmtId="173" fontId="5" fillId="9" borderId="35" xfId="3" applyNumberFormat="1" applyFont="1" applyFill="1" applyBorder="1"/>
    <xf numFmtId="173" fontId="5" fillId="9" borderId="36" xfId="3" applyNumberFormat="1" applyFont="1" applyFill="1" applyBorder="1"/>
    <xf numFmtId="0" fontId="20" fillId="0" borderId="0" xfId="3" applyFont="1" applyFill="1" applyBorder="1"/>
    <xf numFmtId="3" fontId="20" fillId="0" borderId="0" xfId="3" applyNumberFormat="1" applyFont="1" applyFill="1" applyBorder="1"/>
    <xf numFmtId="0" fontId="5" fillId="0" borderId="0" xfId="3" applyFont="1"/>
    <xf numFmtId="2" fontId="5" fillId="0" borderId="0" xfId="3" applyNumberFormat="1" applyFont="1"/>
    <xf numFmtId="9" fontId="5" fillId="0" borderId="0" xfId="3" applyNumberFormat="1" applyFont="1"/>
    <xf numFmtId="1" fontId="5" fillId="6" borderId="12" xfId="3" applyNumberFormat="1" applyFont="1" applyFill="1" applyBorder="1" applyAlignment="1">
      <alignment horizontal="center"/>
    </xf>
    <xf numFmtId="1" fontId="20" fillId="6" borderId="11" xfId="3" applyNumberFormat="1" applyFont="1" applyFill="1" applyBorder="1" applyAlignment="1">
      <alignment horizontal="center"/>
    </xf>
    <xf numFmtId="1" fontId="5" fillId="8" borderId="15" xfId="3" applyNumberFormat="1" applyFont="1" applyFill="1" applyBorder="1" applyAlignment="1" applyProtection="1">
      <alignment horizontal="center"/>
      <protection locked="0"/>
    </xf>
    <xf numFmtId="1" fontId="5" fillId="8" borderId="0" xfId="3" applyNumberFormat="1" applyFont="1" applyFill="1" applyBorder="1" applyAlignment="1" applyProtection="1">
      <alignment horizontal="center"/>
      <protection locked="0"/>
    </xf>
    <xf numFmtId="1" fontId="5" fillId="7" borderId="12" xfId="3" applyNumberFormat="1" applyFont="1" applyFill="1" applyBorder="1" applyAlignment="1">
      <alignment horizontal="center"/>
    </xf>
    <xf numFmtId="1" fontId="5" fillId="7" borderId="8" xfId="3" applyNumberFormat="1" applyFont="1" applyFill="1" applyBorder="1" applyAlignment="1">
      <alignment horizontal="center"/>
    </xf>
    <xf numFmtId="0" fontId="19" fillId="3" borderId="34" xfId="3" applyFont="1" applyFill="1" applyBorder="1" applyAlignment="1">
      <alignment horizontal="center"/>
    </xf>
    <xf numFmtId="0" fontId="20" fillId="6" borderId="37" xfId="3" applyFont="1" applyFill="1" applyBorder="1" applyAlignment="1">
      <alignment horizontal="center"/>
    </xf>
    <xf numFmtId="173" fontId="5" fillId="9" borderId="38" xfId="5" applyNumberFormat="1" applyFont="1" applyFill="1" applyBorder="1"/>
    <xf numFmtId="174" fontId="5" fillId="6" borderId="27" xfId="3" applyNumberFormat="1" applyFont="1" applyFill="1" applyBorder="1"/>
    <xf numFmtId="173" fontId="5" fillId="9" borderId="23" xfId="3" applyNumberFormat="1" applyFont="1" applyFill="1" applyBorder="1"/>
    <xf numFmtId="0" fontId="5" fillId="10" borderId="35" xfId="3" applyFont="1" applyFill="1" applyBorder="1"/>
    <xf numFmtId="3" fontId="5" fillId="10" borderId="35" xfId="3" applyNumberFormat="1" applyFont="1" applyFill="1" applyBorder="1"/>
    <xf numFmtId="175" fontId="5" fillId="10" borderId="35" xfId="1" applyNumberFormat="1" applyFont="1" applyFill="1" applyBorder="1"/>
    <xf numFmtId="0" fontId="5" fillId="10" borderId="36" xfId="3" applyFont="1" applyFill="1" applyBorder="1"/>
    <xf numFmtId="175" fontId="20" fillId="0" borderId="0" xfId="1" applyNumberFormat="1" applyFont="1" applyFill="1" applyBorder="1"/>
    <xf numFmtId="3" fontId="5" fillId="6" borderId="8" xfId="3" applyNumberFormat="1" applyFont="1" applyFill="1" applyBorder="1" applyAlignment="1">
      <alignment horizontal="center"/>
    </xf>
    <xf numFmtId="175" fontId="5" fillId="0" borderId="0" xfId="1" applyNumberFormat="1" applyFont="1"/>
    <xf numFmtId="175" fontId="5" fillId="0" borderId="0" xfId="3" applyNumberFormat="1" applyFont="1"/>
    <xf numFmtId="4" fontId="5" fillId="6" borderId="8" xfId="3" applyNumberFormat="1" applyFont="1" applyFill="1" applyBorder="1" applyAlignment="1">
      <alignment horizontal="center"/>
    </xf>
    <xf numFmtId="176" fontId="5" fillId="6" borderId="8" xfId="3" applyNumberFormat="1" applyFont="1" applyFill="1" applyBorder="1" applyAlignment="1">
      <alignment horizontal="center"/>
    </xf>
    <xf numFmtId="0" fontId="5" fillId="0" borderId="0" xfId="3" quotePrefix="1" applyFont="1" applyBorder="1"/>
    <xf numFmtId="171" fontId="5" fillId="6" borderId="8" xfId="3" applyNumberFormat="1" applyFont="1" applyFill="1" applyBorder="1" applyAlignment="1">
      <alignment horizontal="center"/>
    </xf>
    <xf numFmtId="0" fontId="5" fillId="4" borderId="24" xfId="3" applyFont="1" applyFill="1" applyBorder="1" applyAlignment="1">
      <alignment horizontal="left"/>
    </xf>
    <xf numFmtId="0" fontId="6" fillId="0" borderId="0" xfId="3" applyFont="1"/>
    <xf numFmtId="0" fontId="5" fillId="4" borderId="28" xfId="3" applyFont="1" applyFill="1" applyBorder="1" applyAlignment="1">
      <alignment horizontal="left"/>
    </xf>
    <xf numFmtId="0" fontId="5" fillId="0" borderId="15" xfId="3" quotePrefix="1" applyFont="1" applyBorder="1" applyAlignment="1">
      <alignment horizontal="left"/>
    </xf>
    <xf numFmtId="177" fontId="5" fillId="6" borderId="8" xfId="3" applyNumberFormat="1" applyFont="1" applyFill="1" applyBorder="1" applyAlignment="1">
      <alignment horizontal="center"/>
    </xf>
    <xf numFmtId="0" fontId="5" fillId="0" borderId="11" xfId="3" applyFont="1" applyBorder="1" applyAlignment="1">
      <alignment horizontal="left"/>
    </xf>
    <xf numFmtId="1" fontId="5" fillId="0" borderId="11" xfId="3" applyNumberFormat="1" applyFont="1" applyBorder="1" applyAlignment="1">
      <alignment horizontal="center"/>
    </xf>
    <xf numFmtId="173" fontId="6" fillId="0" borderId="0" xfId="3" applyNumberFormat="1" applyFont="1"/>
    <xf numFmtId="1" fontId="5" fillId="0" borderId="0" xfId="3" applyNumberFormat="1" applyFont="1" applyBorder="1" applyAlignment="1">
      <alignment horizontal="center"/>
    </xf>
    <xf numFmtId="0" fontId="5" fillId="0" borderId="0" xfId="3" applyFont="1" applyFill="1" applyAlignment="1">
      <alignment horizontal="center"/>
    </xf>
    <xf numFmtId="0" fontId="0" fillId="0" borderId="0" xfId="0" applyFill="1"/>
    <xf numFmtId="0" fontId="5" fillId="0" borderId="28" xfId="3" applyFont="1" applyFill="1" applyBorder="1" applyAlignment="1">
      <alignment horizontal="left"/>
    </xf>
    <xf numFmtId="3" fontId="0" fillId="0" borderId="0" xfId="0" applyNumberFormat="1"/>
    <xf numFmtId="171" fontId="0" fillId="0" borderId="0" xfId="0" applyNumberFormat="1"/>
    <xf numFmtId="175" fontId="0" fillId="0" borderId="0" xfId="0" applyNumberFormat="1"/>
    <xf numFmtId="0" fontId="4" fillId="0" borderId="0" xfId="3" applyFont="1" applyBorder="1" applyAlignment="1">
      <alignment vertical="center"/>
    </xf>
    <xf numFmtId="0" fontId="8" fillId="0" borderId="0" xfId="3" applyFont="1" applyBorder="1" applyAlignment="1">
      <alignment vertical="center"/>
    </xf>
    <xf numFmtId="0" fontId="22" fillId="0" borderId="0" xfId="3" applyFont="1" applyBorder="1" applyAlignment="1">
      <alignment vertical="center"/>
    </xf>
    <xf numFmtId="0" fontId="23" fillId="0" borderId="0" xfId="3" applyFont="1" applyBorder="1" applyAlignment="1">
      <alignment vertical="center"/>
    </xf>
    <xf numFmtId="0" fontId="4" fillId="0" borderId="0" xfId="3" applyFont="1" applyBorder="1" applyAlignment="1">
      <alignment horizontal="left" vertical="center"/>
    </xf>
    <xf numFmtId="0" fontId="4" fillId="4" borderId="3" xfId="3" applyFont="1" applyFill="1" applyBorder="1" applyAlignment="1">
      <alignment horizontal="left" vertical="center"/>
    </xf>
    <xf numFmtId="0" fontId="8" fillId="0" borderId="0" xfId="3" applyFont="1" applyBorder="1" applyAlignment="1">
      <alignment horizontal="left" vertical="center"/>
    </xf>
    <xf numFmtId="0" fontId="23" fillId="0" borderId="0" xfId="3" applyFont="1" applyBorder="1" applyAlignment="1">
      <alignment horizontal="left" vertical="center"/>
    </xf>
    <xf numFmtId="0" fontId="8" fillId="0" borderId="0" xfId="3" applyFont="1" applyFill="1" applyBorder="1" applyAlignment="1">
      <alignment horizontal="left" vertical="center"/>
    </xf>
    <xf numFmtId="0" fontId="25" fillId="0" borderId="0" xfId="3" applyFont="1" applyFill="1" applyBorder="1" applyAlignment="1">
      <alignment horizontal="left" vertical="center"/>
    </xf>
    <xf numFmtId="0" fontId="23" fillId="0" borderId="0" xfId="3" applyFont="1" applyFill="1" applyBorder="1" applyAlignment="1">
      <alignment horizontal="left" vertical="center"/>
    </xf>
    <xf numFmtId="0" fontId="26" fillId="0" borderId="0" xfId="3" applyFont="1" applyFill="1" applyBorder="1" applyAlignment="1">
      <alignment horizontal="left" vertical="center"/>
    </xf>
    <xf numFmtId="0" fontId="5" fillId="0" borderId="0" xfId="3" applyFont="1" applyBorder="1" applyAlignment="1">
      <alignment horizontal="left" vertical="center"/>
    </xf>
    <xf numFmtId="0" fontId="5" fillId="4" borderId="24" xfId="3" applyFont="1" applyFill="1" applyBorder="1" applyAlignment="1">
      <alignment horizontal="left" vertical="center"/>
    </xf>
    <xf numFmtId="0" fontId="5" fillId="0" borderId="11" xfId="3" applyFont="1" applyBorder="1" applyAlignment="1">
      <alignment horizontal="left" vertical="center" wrapText="1"/>
    </xf>
    <xf numFmtId="0" fontId="2" fillId="0" borderId="0" xfId="3" applyBorder="1" applyAlignment="1">
      <alignment horizontal="left" vertical="center"/>
    </xf>
    <xf numFmtId="49" fontId="5" fillId="0" borderId="15" xfId="3" applyNumberFormat="1" applyFont="1" applyBorder="1" applyAlignment="1">
      <alignment horizontal="left" vertical="center" wrapText="1"/>
    </xf>
    <xf numFmtId="0" fontId="20" fillId="0" borderId="15" xfId="3" applyFont="1" applyBorder="1" applyAlignment="1">
      <alignment horizontal="left" vertical="center" wrapText="1"/>
    </xf>
    <xf numFmtId="0" fontId="5" fillId="4" borderId="28" xfId="3" applyFont="1" applyFill="1" applyBorder="1" applyAlignment="1">
      <alignment horizontal="left" vertical="center"/>
    </xf>
    <xf numFmtId="0" fontId="5" fillId="0" borderId="29" xfId="3" applyFont="1" applyBorder="1" applyAlignment="1">
      <alignment horizontal="left" vertical="center" wrapText="1"/>
    </xf>
    <xf numFmtId="0" fontId="5" fillId="6" borderId="0" xfId="3" applyFont="1" applyFill="1" applyBorder="1"/>
    <xf numFmtId="0" fontId="2" fillId="0" borderId="0" xfId="3" applyBorder="1"/>
    <xf numFmtId="0" fontId="0" fillId="0" borderId="0" xfId="0" applyBorder="1"/>
    <xf numFmtId="1" fontId="29" fillId="11" borderId="8" xfId="3" applyNumberFormat="1" applyFont="1" applyFill="1" applyBorder="1" applyAlignment="1" applyProtection="1">
      <alignment horizontal="center"/>
      <protection locked="0"/>
    </xf>
    <xf numFmtId="166" fontId="30" fillId="3" borderId="0" xfId="0" applyNumberFormat="1" applyFont="1" applyFill="1" applyBorder="1" applyAlignment="1">
      <alignment horizontal="center" vertical="center" wrapText="1"/>
    </xf>
    <xf numFmtId="165" fontId="30" fillId="3" borderId="0" xfId="0" applyNumberFormat="1" applyFont="1" applyFill="1" applyBorder="1" applyAlignment="1">
      <alignment horizontal="center" vertical="center" wrapText="1"/>
    </xf>
    <xf numFmtId="1" fontId="30" fillId="3" borderId="0" xfId="0" applyNumberFormat="1" applyFont="1" applyFill="1" applyBorder="1" applyAlignment="1">
      <alignment horizontal="center" vertical="center"/>
    </xf>
    <xf numFmtId="1" fontId="30" fillId="3" borderId="0" xfId="0" applyNumberFormat="1"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0" borderId="0" xfId="0" applyFont="1" applyFill="1" applyBorder="1"/>
    <xf numFmtId="166" fontId="30" fillId="3" borderId="0" xfId="0" applyNumberFormat="1" applyFont="1" applyFill="1" applyBorder="1" applyAlignment="1">
      <alignment horizontal="center" vertical="center"/>
    </xf>
    <xf numFmtId="0" fontId="30" fillId="3" borderId="0" xfId="0" applyFont="1" applyFill="1" applyBorder="1" applyAlignment="1">
      <alignment horizontal="center"/>
    </xf>
    <xf numFmtId="0" fontId="32" fillId="5" borderId="39" xfId="0" applyFont="1" applyFill="1" applyBorder="1" applyAlignment="1">
      <alignment horizontal="center"/>
    </xf>
    <xf numFmtId="1" fontId="34" fillId="5" borderId="39" xfId="8" applyNumberFormat="1" applyFont="1" applyFill="1" applyBorder="1" applyAlignment="1">
      <alignment vertical="center"/>
    </xf>
    <xf numFmtId="1" fontId="34" fillId="5" borderId="39" xfId="8" applyNumberFormat="1" applyFont="1" applyFill="1" applyBorder="1" applyAlignment="1">
      <alignment horizontal="center" vertical="center"/>
    </xf>
    <xf numFmtId="0" fontId="32" fillId="0" borderId="0" xfId="0" applyFont="1" applyFill="1"/>
    <xf numFmtId="0" fontId="32" fillId="0" borderId="0" xfId="0" applyFont="1" applyFill="1" applyBorder="1"/>
    <xf numFmtId="1" fontId="32" fillId="0" borderId="39" xfId="8" applyNumberFormat="1" applyFont="1" applyFill="1" applyBorder="1" applyAlignment="1">
      <alignment horizontal="left" vertical="center"/>
    </xf>
    <xf numFmtId="0" fontId="32" fillId="0" borderId="0" xfId="0" applyFont="1" applyFill="1" applyAlignment="1">
      <alignment vertical="center"/>
    </xf>
    <xf numFmtId="0" fontId="32" fillId="0" borderId="0" xfId="0" applyFont="1" applyFill="1" applyBorder="1" applyAlignment="1">
      <alignment vertical="center"/>
    </xf>
    <xf numFmtId="0" fontId="32" fillId="0" borderId="0" xfId="0" quotePrefix="1" applyFont="1" applyFill="1" applyBorder="1" applyAlignment="1">
      <alignment vertical="center"/>
    </xf>
    <xf numFmtId="0" fontId="35" fillId="0" borderId="0" xfId="3" applyFont="1" applyFill="1" applyBorder="1" applyAlignment="1">
      <alignment horizontal="left"/>
    </xf>
    <xf numFmtId="179" fontId="35" fillId="0" borderId="0" xfId="3" applyNumberFormat="1" applyFont="1" applyFill="1" applyBorder="1" applyAlignment="1">
      <alignment horizontal="center"/>
    </xf>
    <xf numFmtId="0" fontId="34" fillId="12" borderId="41" xfId="8" applyNumberFormat="1" applyFont="1" applyFill="1" applyBorder="1" applyAlignment="1">
      <alignment horizontal="center" vertical="center"/>
    </xf>
    <xf numFmtId="0" fontId="32" fillId="0" borderId="0" xfId="0" applyFont="1" applyFill="1" applyAlignment="1">
      <alignment horizontal="center"/>
    </xf>
    <xf numFmtId="1" fontId="34" fillId="12" borderId="41" xfId="8" applyNumberFormat="1" applyFont="1" applyFill="1" applyBorder="1" applyAlignment="1">
      <alignment horizontal="left" vertical="center"/>
    </xf>
    <xf numFmtId="166" fontId="32" fillId="0" borderId="0" xfId="0" applyNumberFormat="1" applyFont="1" applyFill="1" applyAlignment="1">
      <alignment horizontal="center" vertical="center"/>
    </xf>
    <xf numFmtId="0" fontId="32" fillId="0" borderId="0" xfId="0" applyFont="1" applyFill="1" applyAlignment="1">
      <alignment horizontal="center" vertical="center"/>
    </xf>
    <xf numFmtId="1" fontId="34" fillId="5" borderId="39" xfId="8" applyNumberFormat="1" applyFont="1" applyFill="1" applyBorder="1" applyAlignment="1">
      <alignment horizontal="left" vertical="center"/>
    </xf>
    <xf numFmtId="178" fontId="32" fillId="12" borderId="42" xfId="0" applyNumberFormat="1" applyFont="1" applyFill="1" applyBorder="1" applyAlignment="1">
      <alignment horizontal="center"/>
    </xf>
    <xf numFmtId="2" fontId="32" fillId="12" borderId="41" xfId="0" applyNumberFormat="1" applyFont="1" applyFill="1" applyBorder="1"/>
    <xf numFmtId="2" fontId="35" fillId="12" borderId="41" xfId="0" applyNumberFormat="1" applyFont="1" applyFill="1" applyBorder="1"/>
    <xf numFmtId="0" fontId="32" fillId="0" borderId="0" xfId="0" applyFont="1" applyFill="1" applyAlignment="1"/>
    <xf numFmtId="177" fontId="32" fillId="0" borderId="0" xfId="0" applyNumberFormat="1" applyFont="1" applyFill="1" applyAlignment="1">
      <alignment horizontal="center"/>
    </xf>
    <xf numFmtId="166" fontId="30" fillId="3" borderId="0" xfId="0" applyNumberFormat="1" applyFont="1" applyFill="1" applyBorder="1" applyAlignment="1">
      <alignment horizontal="left" vertical="center"/>
    </xf>
    <xf numFmtId="177" fontId="32" fillId="0" borderId="0" xfId="0" applyNumberFormat="1" applyFont="1" applyFill="1" applyAlignment="1">
      <alignment horizontal="center" vertical="center"/>
    </xf>
    <xf numFmtId="0" fontId="32" fillId="0" borderId="0" xfId="0" applyFont="1" applyFill="1" applyAlignment="1">
      <alignment horizontal="left" vertical="center"/>
    </xf>
    <xf numFmtId="3" fontId="5" fillId="8" borderId="8" xfId="1" applyNumberFormat="1" applyFont="1" applyFill="1" applyBorder="1" applyAlignment="1" applyProtection="1">
      <alignment horizontal="center"/>
      <protection locked="0"/>
    </xf>
    <xf numFmtId="180" fontId="32" fillId="0" borderId="39" xfId="8" applyNumberFormat="1" applyFont="1" applyFill="1" applyBorder="1" applyAlignment="1">
      <alignment vertical="center"/>
    </xf>
    <xf numFmtId="181" fontId="32" fillId="0" borderId="39" xfId="8" applyNumberFormat="1" applyFont="1" applyFill="1" applyBorder="1" applyAlignment="1">
      <alignment vertical="center"/>
    </xf>
    <xf numFmtId="0" fontId="36" fillId="3" borderId="45" xfId="0" applyFont="1" applyFill="1" applyBorder="1" applyAlignment="1">
      <alignment horizontal="center"/>
    </xf>
    <xf numFmtId="0" fontId="37" fillId="3" borderId="46" xfId="0" applyFont="1" applyFill="1" applyBorder="1"/>
    <xf numFmtId="0" fontId="37" fillId="3" borderId="47" xfId="0" applyFont="1" applyFill="1" applyBorder="1"/>
    <xf numFmtId="0" fontId="4" fillId="0" borderId="0" xfId="0" applyFont="1" applyFill="1"/>
    <xf numFmtId="0" fontId="36" fillId="3" borderId="51" xfId="0" applyFont="1" applyFill="1" applyBorder="1" applyAlignment="1">
      <alignment horizontal="center"/>
    </xf>
    <xf numFmtId="0" fontId="37" fillId="3" borderId="52" xfId="0" applyFont="1" applyFill="1" applyBorder="1"/>
    <xf numFmtId="0" fontId="37" fillId="3" borderId="0" xfId="0" applyFont="1" applyFill="1" applyBorder="1"/>
    <xf numFmtId="0" fontId="37" fillId="3" borderId="53" xfId="0" applyFont="1" applyFill="1" applyBorder="1" applyAlignment="1">
      <alignment horizontal="center"/>
    </xf>
    <xf numFmtId="0" fontId="37" fillId="3" borderId="54" xfId="0" applyFont="1" applyFill="1" applyBorder="1"/>
    <xf numFmtId="0" fontId="37" fillId="3" borderId="0" xfId="0" applyFont="1" applyFill="1" applyBorder="1" applyAlignment="1">
      <alignment horizontal="center"/>
    </xf>
    <xf numFmtId="0" fontId="37" fillId="3" borderId="55" xfId="0" applyFont="1" applyFill="1" applyBorder="1"/>
    <xf numFmtId="0" fontId="4" fillId="0" borderId="56" xfId="0" applyFont="1" applyFill="1" applyBorder="1" applyAlignment="1">
      <alignment horizontal="center"/>
    </xf>
    <xf numFmtId="49" fontId="4" fillId="0" borderId="44" xfId="0" applyNumberFormat="1" applyFont="1" applyFill="1" applyBorder="1"/>
    <xf numFmtId="49" fontId="4" fillId="0" borderId="57" xfId="0" applyNumberFormat="1" applyFont="1" applyFill="1" applyBorder="1"/>
    <xf numFmtId="49" fontId="4" fillId="0" borderId="59" xfId="0" quotePrefix="1" applyNumberFormat="1" applyFont="1" applyFill="1" applyBorder="1"/>
    <xf numFmtId="49" fontId="4" fillId="0" borderId="60" xfId="0" quotePrefix="1" applyNumberFormat="1" applyFont="1" applyFill="1" applyBorder="1"/>
    <xf numFmtId="0" fontId="4" fillId="0" borderId="61" xfId="0" applyFont="1" applyFill="1" applyBorder="1" applyAlignment="1">
      <alignment horizontal="center"/>
    </xf>
    <xf numFmtId="49" fontId="4" fillId="0" borderId="39" xfId="0" applyNumberFormat="1" applyFont="1" applyFill="1" applyBorder="1"/>
    <xf numFmtId="49" fontId="4" fillId="0" borderId="41" xfId="0" applyNumberFormat="1" applyFont="1" applyFill="1" applyBorder="1"/>
    <xf numFmtId="49" fontId="4" fillId="0" borderId="42" xfId="0" quotePrefix="1" applyNumberFormat="1" applyFont="1" applyFill="1" applyBorder="1"/>
    <xf numFmtId="49" fontId="4" fillId="0" borderId="62" xfId="0" quotePrefix="1" applyNumberFormat="1" applyFont="1" applyFill="1" applyBorder="1"/>
    <xf numFmtId="49" fontId="4" fillId="0" borderId="42" xfId="0" applyNumberFormat="1" applyFont="1" applyFill="1" applyBorder="1"/>
    <xf numFmtId="49" fontId="4" fillId="0" borderId="62" xfId="0" applyNumberFormat="1" applyFont="1" applyFill="1" applyBorder="1"/>
    <xf numFmtId="0" fontId="4" fillId="0" borderId="39" xfId="0" applyFont="1" applyFill="1" applyBorder="1"/>
    <xf numFmtId="0" fontId="36" fillId="13" borderId="47" xfId="0" applyFont="1" applyFill="1" applyBorder="1"/>
    <xf numFmtId="49" fontId="36" fillId="13" borderId="47" xfId="0" applyNumberFormat="1" applyFont="1" applyFill="1" applyBorder="1"/>
    <xf numFmtId="0" fontId="36" fillId="13" borderId="47" xfId="0" applyFont="1" applyFill="1" applyBorder="1" applyAlignment="1">
      <alignment horizontal="right"/>
    </xf>
    <xf numFmtId="0" fontId="36" fillId="13" borderId="47" xfId="0" applyFont="1" applyFill="1" applyBorder="1" applyAlignment="1">
      <alignment horizontal="left"/>
    </xf>
    <xf numFmtId="0" fontId="36" fillId="13" borderId="50" xfId="0" applyFont="1" applyFill="1" applyBorder="1"/>
    <xf numFmtId="0" fontId="4" fillId="2" borderId="59" xfId="0" applyFont="1" applyFill="1" applyBorder="1"/>
    <xf numFmtId="49" fontId="4" fillId="2" borderId="58" xfId="0" applyNumberFormat="1" applyFont="1" applyFill="1" applyBorder="1"/>
    <xf numFmtId="0" fontId="38" fillId="2" borderId="44" xfId="0" applyFont="1" applyFill="1" applyBorder="1" applyAlignment="1">
      <alignment horizontal="left"/>
    </xf>
    <xf numFmtId="0" fontId="4" fillId="2" borderId="60" xfId="0" applyFont="1" applyFill="1" applyBorder="1"/>
    <xf numFmtId="0" fontId="4" fillId="0" borderId="0" xfId="0" applyFont="1" applyFill="1" applyBorder="1"/>
    <xf numFmtId="0" fontId="4" fillId="2" borderId="42" xfId="0" applyFont="1" applyFill="1" applyBorder="1"/>
    <xf numFmtId="49" fontId="4" fillId="2" borderId="40" xfId="0" applyNumberFormat="1" applyFont="1" applyFill="1" applyBorder="1"/>
    <xf numFmtId="0" fontId="38" fillId="2" borderId="39" xfId="0" applyFont="1" applyFill="1" applyBorder="1" applyAlignment="1">
      <alignment horizontal="left"/>
    </xf>
    <xf numFmtId="0" fontId="4" fillId="2" borderId="62" xfId="0" applyFont="1" applyFill="1" applyBorder="1"/>
    <xf numFmtId="0" fontId="0" fillId="2" borderId="39" xfId="0" quotePrefix="1" applyFill="1" applyBorder="1" applyAlignment="1">
      <alignment horizontal="left"/>
    </xf>
    <xf numFmtId="0" fontId="0" fillId="2" borderId="42" xfId="0" applyFill="1" applyBorder="1"/>
    <xf numFmtId="0" fontId="0" fillId="2" borderId="39" xfId="0" applyFill="1" applyBorder="1" applyAlignment="1">
      <alignment horizontal="left"/>
    </xf>
    <xf numFmtId="0" fontId="0" fillId="2" borderId="42" xfId="0" quotePrefix="1" applyFill="1" applyBorder="1"/>
    <xf numFmtId="0" fontId="41" fillId="2" borderId="62" xfId="0" applyFont="1" applyFill="1" applyBorder="1"/>
    <xf numFmtId="0" fontId="41" fillId="0" borderId="0" xfId="0" applyFont="1" applyFill="1" applyBorder="1"/>
    <xf numFmtId="0" fontId="0" fillId="0" borderId="0" xfId="0" applyAlignment="1">
      <alignment horizontal="center"/>
    </xf>
    <xf numFmtId="2" fontId="5" fillId="8" borderId="12" xfId="3" applyNumberFormat="1" applyFont="1" applyFill="1" applyBorder="1" applyAlignment="1" applyProtection="1">
      <alignment horizontal="center"/>
      <protection locked="0"/>
    </xf>
    <xf numFmtId="166" fontId="5" fillId="8" borderId="12" xfId="3" applyNumberFormat="1" applyFont="1" applyFill="1" applyBorder="1" applyAlignment="1" applyProtection="1">
      <alignment horizontal="center"/>
      <protection locked="0"/>
    </xf>
    <xf numFmtId="0" fontId="4" fillId="0" borderId="0" xfId="0" applyFont="1" applyFill="1" applyBorder="1" applyAlignment="1">
      <alignment horizontal="center"/>
    </xf>
    <xf numFmtId="49" fontId="4" fillId="0" borderId="0" xfId="0" applyNumberFormat="1" applyFont="1" applyFill="1" applyBorder="1"/>
    <xf numFmtId="49" fontId="4" fillId="0" borderId="0" xfId="0" quotePrefix="1" applyNumberFormat="1" applyFont="1" applyFill="1" applyBorder="1"/>
    <xf numFmtId="0" fontId="4" fillId="2" borderId="40" xfId="0" applyFont="1" applyFill="1" applyBorder="1"/>
    <xf numFmtId="1" fontId="32" fillId="0" borderId="0" xfId="0" applyNumberFormat="1" applyFont="1" applyFill="1" applyAlignment="1">
      <alignment horizontal="center"/>
    </xf>
    <xf numFmtId="0" fontId="0" fillId="0" borderId="0" xfId="0" applyAlignment="1">
      <alignment horizontal="left"/>
    </xf>
    <xf numFmtId="165" fontId="4" fillId="0" borderId="0" xfId="0" quotePrefix="1" applyNumberFormat="1" applyFont="1" applyFill="1" applyBorder="1"/>
    <xf numFmtId="165" fontId="4" fillId="0" borderId="0" xfId="0" applyNumberFormat="1" applyFont="1" applyFill="1"/>
    <xf numFmtId="0" fontId="42" fillId="0" borderId="0" xfId="0" applyFont="1" applyFill="1" applyBorder="1"/>
    <xf numFmtId="165" fontId="4" fillId="0" borderId="0" xfId="0" applyNumberFormat="1" applyFont="1" applyFill="1" applyBorder="1"/>
    <xf numFmtId="3" fontId="4" fillId="0" borderId="0" xfId="0" applyNumberFormat="1" applyFont="1" applyFill="1" applyBorder="1"/>
    <xf numFmtId="0" fontId="5" fillId="0" borderId="0" xfId="3" applyFont="1" applyFill="1" applyBorder="1" applyAlignment="1">
      <alignment horizontal="left"/>
    </xf>
    <xf numFmtId="0" fontId="5" fillId="7" borderId="0" xfId="3" applyFont="1" applyFill="1" applyBorder="1" applyAlignment="1">
      <alignment horizontal="left"/>
    </xf>
    <xf numFmtId="165" fontId="5" fillId="8" borderId="0" xfId="4" applyNumberFormat="1" applyFont="1" applyFill="1" applyBorder="1" applyAlignment="1" applyProtection="1">
      <alignment horizontal="center"/>
      <protection locked="0"/>
    </xf>
    <xf numFmtId="0" fontId="36" fillId="0" borderId="0" xfId="0" applyFont="1" applyFill="1" applyBorder="1"/>
    <xf numFmtId="0" fontId="36" fillId="13" borderId="45" xfId="0" applyFont="1" applyFill="1" applyBorder="1"/>
    <xf numFmtId="0" fontId="4" fillId="2" borderId="63" xfId="0" applyFont="1" applyFill="1" applyBorder="1"/>
    <xf numFmtId="0" fontId="4" fillId="2" borderId="64" xfId="0" applyFont="1" applyFill="1" applyBorder="1"/>
    <xf numFmtId="0" fontId="4" fillId="2" borderId="65" xfId="0" applyFont="1" applyFill="1" applyBorder="1"/>
    <xf numFmtId="0" fontId="4" fillId="2" borderId="66" xfId="0" applyFont="1" applyFill="1" applyBorder="1"/>
    <xf numFmtId="0" fontId="0" fillId="2" borderId="66" xfId="0" applyFill="1" applyBorder="1"/>
    <xf numFmtId="0" fontId="4" fillId="2" borderId="67" xfId="0" applyFont="1" applyFill="1" applyBorder="1"/>
    <xf numFmtId="0" fontId="4" fillId="2" borderId="68" xfId="0" applyFont="1" applyFill="1" applyBorder="1"/>
    <xf numFmtId="0" fontId="4" fillId="2" borderId="69" xfId="0" applyFont="1" applyFill="1" applyBorder="1"/>
    <xf numFmtId="0" fontId="0" fillId="2" borderId="69" xfId="0" applyFill="1" applyBorder="1"/>
    <xf numFmtId="0" fontId="4" fillId="2" borderId="70" xfId="0" applyFont="1" applyFill="1" applyBorder="1"/>
    <xf numFmtId="0" fontId="4" fillId="2" borderId="71" xfId="0" applyFont="1" applyFill="1" applyBorder="1"/>
    <xf numFmtId="0" fontId="4" fillId="2" borderId="72" xfId="0" applyFont="1" applyFill="1" applyBorder="1"/>
    <xf numFmtId="0" fontId="4" fillId="2" borderId="73" xfId="0" applyFont="1" applyFill="1" applyBorder="1"/>
    <xf numFmtId="0" fontId="4" fillId="2" borderId="74" xfId="0" applyFont="1" applyFill="1" applyBorder="1"/>
    <xf numFmtId="0" fontId="4" fillId="2" borderId="75" xfId="0" applyFont="1" applyFill="1" applyBorder="1"/>
    <xf numFmtId="0" fontId="4" fillId="2" borderId="76" xfId="0" applyFont="1" applyFill="1" applyBorder="1"/>
    <xf numFmtId="0" fontId="4" fillId="2" borderId="0" xfId="0" applyFont="1" applyFill="1" applyBorder="1"/>
    <xf numFmtId="0" fontId="5" fillId="10" borderId="0" xfId="3" applyFont="1" applyFill="1" applyBorder="1"/>
    <xf numFmtId="3" fontId="5" fillId="10" borderId="0" xfId="3" applyNumberFormat="1" applyFont="1" applyFill="1" applyBorder="1"/>
    <xf numFmtId="39" fontId="5" fillId="10" borderId="0" xfId="1" applyNumberFormat="1" applyFont="1" applyFill="1" applyBorder="1"/>
    <xf numFmtId="1" fontId="30" fillId="3" borderId="0" xfId="0" applyNumberFormat="1" applyFont="1" applyFill="1" applyBorder="1" applyAlignment="1">
      <alignment horizontal="center"/>
    </xf>
    <xf numFmtId="1" fontId="32" fillId="5" borderId="39" xfId="0" applyNumberFormat="1" applyFont="1" applyFill="1" applyBorder="1" applyAlignment="1">
      <alignment horizontal="center"/>
    </xf>
    <xf numFmtId="1" fontId="32" fillId="12" borderId="41" xfId="0" applyNumberFormat="1" applyFont="1" applyFill="1" applyBorder="1" applyAlignment="1">
      <alignment horizontal="center"/>
    </xf>
    <xf numFmtId="0" fontId="35" fillId="0" borderId="0" xfId="0" applyFont="1" applyFill="1" applyBorder="1"/>
    <xf numFmtId="2" fontId="0" fillId="0" borderId="0" xfId="0" applyNumberFormat="1" applyAlignment="1">
      <alignment horizontal="left"/>
    </xf>
    <xf numFmtId="1" fontId="32" fillId="12" borderId="41" xfId="0" applyNumberFormat="1" applyFont="1" applyFill="1" applyBorder="1"/>
    <xf numFmtId="1" fontId="32" fillId="0" borderId="0" xfId="0" applyNumberFormat="1" applyFont="1" applyFill="1" applyAlignment="1"/>
    <xf numFmtId="170" fontId="30" fillId="3" borderId="0" xfId="0" applyNumberFormat="1" applyFont="1" applyFill="1" applyBorder="1" applyAlignment="1">
      <alignment horizontal="center" vertical="center" wrapText="1"/>
    </xf>
    <xf numFmtId="170" fontId="34" fillId="5" borderId="39" xfId="8" applyNumberFormat="1" applyFont="1" applyFill="1" applyBorder="1" applyAlignment="1">
      <alignment vertical="center"/>
    </xf>
    <xf numFmtId="170" fontId="32" fillId="12" borderId="41" xfId="0" applyNumberFormat="1" applyFont="1" applyFill="1" applyBorder="1"/>
    <xf numFmtId="170" fontId="32" fillId="0" borderId="0" xfId="0" applyNumberFormat="1" applyFont="1" applyFill="1" applyAlignment="1">
      <alignment horizontal="center"/>
    </xf>
    <xf numFmtId="170" fontId="34" fillId="12" borderId="41" xfId="8" applyNumberFormat="1" applyFont="1" applyFill="1" applyBorder="1" applyAlignment="1">
      <alignment horizontal="center" vertical="center"/>
    </xf>
    <xf numFmtId="170" fontId="32" fillId="0" borderId="0" xfId="0" applyNumberFormat="1" applyFont="1" applyFill="1" applyAlignment="1"/>
    <xf numFmtId="170" fontId="12" fillId="6" borderId="11" xfId="3" applyNumberFormat="1" applyFont="1" applyFill="1" applyBorder="1" applyAlignment="1">
      <alignment horizontal="center"/>
    </xf>
    <xf numFmtId="170" fontId="5" fillId="8" borderId="12" xfId="3" applyNumberFormat="1" applyFont="1" applyFill="1" applyBorder="1" applyAlignment="1" applyProtection="1">
      <alignment horizontal="center"/>
      <protection locked="0"/>
    </xf>
    <xf numFmtId="170" fontId="20" fillId="6" borderId="11" xfId="3" applyNumberFormat="1" applyFont="1" applyFill="1" applyBorder="1" applyAlignment="1">
      <alignment horizontal="center"/>
    </xf>
    <xf numFmtId="170" fontId="4" fillId="0" borderId="57" xfId="0" quotePrefix="1" applyNumberFormat="1" applyFont="1" applyFill="1" applyBorder="1" applyAlignment="1">
      <alignment horizontal="center"/>
    </xf>
    <xf numFmtId="170" fontId="4" fillId="0" borderId="41" xfId="0" quotePrefix="1" applyNumberFormat="1" applyFont="1" applyFill="1" applyBorder="1" applyAlignment="1">
      <alignment horizontal="center"/>
    </xf>
    <xf numFmtId="170" fontId="4" fillId="0" borderId="41" xfId="0" applyNumberFormat="1" applyFont="1" applyFill="1" applyBorder="1" applyAlignment="1">
      <alignment horizontal="center"/>
    </xf>
    <xf numFmtId="170" fontId="7" fillId="0" borderId="40" xfId="0" applyNumberFormat="1" applyFont="1" applyFill="1" applyBorder="1" applyAlignment="1">
      <alignment horizontal="center"/>
    </xf>
    <xf numFmtId="170" fontId="4" fillId="0" borderId="0" xfId="0" quotePrefix="1" applyNumberFormat="1" applyFont="1" applyFill="1" applyBorder="1" applyAlignment="1">
      <alignment horizontal="center"/>
    </xf>
    <xf numFmtId="170" fontId="4" fillId="0" borderId="58" xfId="0" quotePrefix="1" applyNumberFormat="1" applyFont="1" applyFill="1" applyBorder="1" applyAlignment="1">
      <alignment horizontal="center"/>
    </xf>
    <xf numFmtId="170" fontId="4" fillId="0" borderId="40" xfId="0" quotePrefix="1" applyNumberFormat="1" applyFont="1" applyFill="1" applyBorder="1" applyAlignment="1">
      <alignment horizontal="center"/>
    </xf>
    <xf numFmtId="170" fontId="4" fillId="0" borderId="40" xfId="0" applyNumberFormat="1" applyFont="1" applyFill="1" applyBorder="1" applyAlignment="1">
      <alignment horizontal="center"/>
    </xf>
    <xf numFmtId="170" fontId="4" fillId="0" borderId="0" xfId="0" applyNumberFormat="1" applyFont="1" applyFill="1" applyBorder="1" applyAlignment="1">
      <alignment horizontal="center"/>
    </xf>
    <xf numFmtId="170" fontId="4" fillId="2" borderId="44" xfId="0" applyNumberFormat="1" applyFont="1" applyFill="1" applyBorder="1" applyAlignment="1">
      <alignment horizontal="right"/>
    </xf>
    <xf numFmtId="170" fontId="4" fillId="2" borderId="39" xfId="0" applyNumberFormat="1" applyFont="1" applyFill="1" applyBorder="1" applyAlignment="1">
      <alignment horizontal="right"/>
    </xf>
    <xf numFmtId="170" fontId="4" fillId="2" borderId="40" xfId="0" applyNumberFormat="1" applyFont="1" applyFill="1" applyBorder="1"/>
    <xf numFmtId="170" fontId="0" fillId="2" borderId="39" xfId="0" applyNumberFormat="1" applyFill="1" applyBorder="1" applyAlignment="1">
      <alignment horizontal="right"/>
    </xf>
    <xf numFmtId="170" fontId="0" fillId="2" borderId="39" xfId="0" quotePrefix="1" applyNumberFormat="1" applyFill="1" applyBorder="1" applyAlignment="1">
      <alignment horizontal="right"/>
    </xf>
    <xf numFmtId="170" fontId="4" fillId="2" borderId="69" xfId="0" applyNumberFormat="1" applyFont="1" applyFill="1" applyBorder="1"/>
    <xf numFmtId="170" fontId="4" fillId="2" borderId="75" xfId="0" applyNumberFormat="1" applyFont="1" applyFill="1" applyBorder="1"/>
    <xf numFmtId="170" fontId="4" fillId="2" borderId="72" xfId="0" applyNumberFormat="1" applyFont="1" applyFill="1" applyBorder="1"/>
    <xf numFmtId="0" fontId="5" fillId="8" borderId="0" xfId="4" applyNumberFormat="1" applyFont="1" applyFill="1" applyBorder="1" applyAlignment="1" applyProtection="1">
      <alignment horizontal="center"/>
      <protection locked="0"/>
    </xf>
    <xf numFmtId="2" fontId="5" fillId="8" borderId="8" xfId="3" applyNumberFormat="1" applyFont="1" applyFill="1" applyBorder="1" applyAlignment="1" applyProtection="1">
      <alignment horizontal="center"/>
      <protection locked="0"/>
    </xf>
    <xf numFmtId="170" fontId="32" fillId="0" borderId="39" xfId="8" applyNumberFormat="1" applyFont="1" applyFill="1" applyBorder="1" applyAlignment="1">
      <alignment horizontal="center" vertical="center"/>
    </xf>
    <xf numFmtId="1" fontId="32" fillId="0" borderId="39" xfId="8" applyNumberFormat="1" applyFont="1" applyFill="1" applyBorder="1" applyAlignment="1">
      <alignment horizontal="center" vertical="center"/>
    </xf>
    <xf numFmtId="1" fontId="32" fillId="0" borderId="39" xfId="8" applyNumberFormat="1" applyFont="1" applyFill="1" applyBorder="1" applyAlignment="1">
      <alignment horizontal="center" vertical="center"/>
    </xf>
    <xf numFmtId="170" fontId="32" fillId="0" borderId="39" xfId="8" applyNumberFormat="1" applyFont="1" applyFill="1" applyBorder="1" applyAlignment="1">
      <alignment horizontal="center" vertical="center"/>
    </xf>
    <xf numFmtId="0" fontId="30" fillId="3" borderId="0" xfId="0" applyFont="1" applyFill="1" applyBorder="1" applyAlignment="1">
      <alignment horizontal="right" vertical="center" textRotation="180"/>
    </xf>
    <xf numFmtId="0" fontId="30" fillId="3" borderId="0" xfId="0" applyFont="1" applyFill="1" applyBorder="1" applyAlignment="1">
      <alignment horizontal="right" vertical="center"/>
    </xf>
    <xf numFmtId="0" fontId="32" fillId="5" borderId="39" xfId="0" applyFont="1" applyFill="1" applyBorder="1" applyAlignment="1">
      <alignment horizontal="right"/>
    </xf>
    <xf numFmtId="0" fontId="32" fillId="12" borderId="40" xfId="0" applyFont="1" applyFill="1" applyBorder="1" applyAlignment="1">
      <alignment horizontal="right"/>
    </xf>
    <xf numFmtId="0" fontId="32" fillId="0" borderId="0" xfId="0" applyFont="1" applyFill="1" applyAlignment="1">
      <alignment horizontal="right"/>
    </xf>
    <xf numFmtId="0" fontId="32" fillId="0" borderId="0" xfId="0" applyFont="1" applyFill="1" applyAlignment="1">
      <alignment horizontal="left"/>
    </xf>
    <xf numFmtId="1" fontId="33" fillId="0" borderId="39" xfId="8" applyNumberFormat="1" applyFill="1" applyBorder="1" applyAlignment="1">
      <alignment horizontal="right" vertical="center"/>
    </xf>
    <xf numFmtId="170" fontId="4" fillId="0" borderId="58" xfId="0" applyNumberFormat="1" applyFont="1" applyFill="1" applyBorder="1" applyAlignment="1">
      <alignment horizontal="center"/>
    </xf>
    <xf numFmtId="2" fontId="4" fillId="2" borderId="39" xfId="0" applyNumberFormat="1" applyFont="1" applyFill="1" applyBorder="1" applyAlignment="1">
      <alignment horizontal="right"/>
    </xf>
    <xf numFmtId="1" fontId="5" fillId="6" borderId="11" xfId="3" applyNumberFormat="1" applyFont="1" applyFill="1" applyBorder="1"/>
    <xf numFmtId="1" fontId="5" fillId="9" borderId="26" xfId="3" applyNumberFormat="1" applyFont="1" applyFill="1" applyBorder="1"/>
    <xf numFmtId="1" fontId="5" fillId="6" borderId="15" xfId="3" applyNumberFormat="1" applyFont="1" applyFill="1" applyBorder="1"/>
    <xf numFmtId="1" fontId="5" fillId="9" borderId="35" xfId="3" applyNumberFormat="1" applyFont="1" applyFill="1" applyBorder="1"/>
    <xf numFmtId="0" fontId="5" fillId="7" borderId="13" xfId="3" applyFont="1" applyFill="1" applyBorder="1" applyAlignment="1">
      <alignment horizontal="left"/>
    </xf>
    <xf numFmtId="0" fontId="5" fillId="7" borderId="14" xfId="3" applyFont="1" applyFill="1" applyBorder="1" applyAlignment="1">
      <alignment horizontal="left"/>
    </xf>
    <xf numFmtId="0" fontId="5" fillId="7" borderId="15" xfId="3" applyFont="1" applyFill="1" applyBorder="1" applyAlignment="1">
      <alignment horizontal="left"/>
    </xf>
    <xf numFmtId="0" fontId="7" fillId="7" borderId="13" xfId="3" applyFont="1" applyFill="1" applyBorder="1" applyAlignment="1">
      <alignment horizontal="left"/>
    </xf>
    <xf numFmtId="0" fontId="7" fillId="7" borderId="14" xfId="3" applyFont="1" applyFill="1" applyBorder="1" applyAlignment="1">
      <alignment horizontal="left"/>
    </xf>
    <xf numFmtId="0" fontId="7" fillId="7" borderId="15" xfId="3" applyFont="1" applyFill="1" applyBorder="1" applyAlignment="1">
      <alignment horizontal="left"/>
    </xf>
    <xf numFmtId="0" fontId="24" fillId="3" borderId="0" xfId="3" applyFont="1" applyFill="1" applyBorder="1" applyAlignment="1">
      <alignment horizontal="left" vertical="center"/>
    </xf>
    <xf numFmtId="0" fontId="27" fillId="0" borderId="0" xfId="3" applyFont="1" applyBorder="1" applyAlignment="1">
      <alignment horizontal="left"/>
    </xf>
    <xf numFmtId="0" fontId="28" fillId="6" borderId="0" xfId="3" applyFont="1" applyFill="1" applyBorder="1" applyAlignment="1">
      <alignment horizontal="left"/>
    </xf>
    <xf numFmtId="0" fontId="28" fillId="11" borderId="0" xfId="3" applyFont="1" applyFill="1" applyBorder="1" applyAlignment="1">
      <alignment horizontal="left"/>
    </xf>
    <xf numFmtId="1" fontId="33" fillId="0" borderId="43" xfId="8" applyNumberFormat="1" applyFill="1" applyBorder="1" applyAlignment="1">
      <alignment horizontal="right" vertical="center"/>
    </xf>
    <xf numFmtId="170" fontId="0" fillId="2" borderId="39" xfId="0" applyNumberFormat="1" applyFill="1" applyBorder="1" applyAlignment="1">
      <alignment horizontal="right" vertical="center"/>
    </xf>
    <xf numFmtId="0" fontId="38" fillId="2" borderId="39" xfId="0" applyFont="1" applyFill="1" applyBorder="1" applyAlignment="1">
      <alignment horizontal="left" vertical="center"/>
    </xf>
    <xf numFmtId="170" fontId="0" fillId="2" borderId="66" xfId="0" applyNumberFormat="1" applyFill="1" applyBorder="1" applyAlignment="1">
      <alignment horizontal="right" vertical="center"/>
    </xf>
    <xf numFmtId="170" fontId="0" fillId="2" borderId="69" xfId="0" applyNumberFormat="1" applyFill="1" applyBorder="1" applyAlignment="1">
      <alignment horizontal="right" vertical="center"/>
    </xf>
    <xf numFmtId="0" fontId="38" fillId="2" borderId="66" xfId="0" applyFont="1" applyFill="1" applyBorder="1" applyAlignment="1">
      <alignment horizontal="left" vertical="center"/>
    </xf>
    <xf numFmtId="0" fontId="38" fillId="2" borderId="69" xfId="0" applyFont="1" applyFill="1" applyBorder="1" applyAlignment="1">
      <alignment horizontal="left" vertical="center"/>
    </xf>
    <xf numFmtId="0" fontId="37" fillId="3" borderId="48" xfId="0" applyFont="1" applyFill="1" applyBorder="1" applyAlignment="1">
      <alignment horizontal="left"/>
    </xf>
    <xf numFmtId="0" fontId="37" fillId="3" borderId="49" xfId="0" applyFont="1" applyFill="1" applyBorder="1" applyAlignment="1">
      <alignment horizontal="left"/>
    </xf>
    <xf numFmtId="0" fontId="37" fillId="3" borderId="47" xfId="0" applyFont="1" applyFill="1" applyBorder="1" applyAlignment="1">
      <alignment horizontal="left"/>
    </xf>
    <xf numFmtId="0" fontId="37" fillId="3" borderId="50" xfId="0" applyFont="1" applyFill="1" applyBorder="1" applyAlignment="1">
      <alignment horizontal="left"/>
    </xf>
    <xf numFmtId="0" fontId="0" fillId="2" borderId="39" xfId="0" applyFill="1" applyBorder="1" applyAlignment="1">
      <alignment horizontal="left" vertical="center"/>
    </xf>
    <xf numFmtId="0" fontId="7" fillId="7" borderId="13" xfId="3" applyFont="1" applyFill="1" applyBorder="1" applyAlignment="1">
      <alignment horizontal="left"/>
    </xf>
    <xf numFmtId="0" fontId="7" fillId="7" borderId="14" xfId="3" applyFont="1" applyFill="1" applyBorder="1" applyAlignment="1">
      <alignment horizontal="left"/>
    </xf>
    <xf numFmtId="0" fontId="7" fillId="7" borderId="15" xfId="3" applyFont="1" applyFill="1" applyBorder="1" applyAlignment="1">
      <alignment horizontal="left"/>
    </xf>
    <xf numFmtId="0" fontId="3" fillId="3" borderId="10" xfId="3" applyFont="1" applyFill="1" applyBorder="1" applyAlignment="1">
      <alignment horizontal="left"/>
    </xf>
    <xf numFmtId="0" fontId="3" fillId="3" borderId="0" xfId="3" applyFont="1" applyFill="1" applyBorder="1" applyAlignment="1">
      <alignment horizontal="left"/>
    </xf>
    <xf numFmtId="0" fontId="5" fillId="7" borderId="13" xfId="3" applyFont="1" applyFill="1" applyBorder="1" applyAlignment="1">
      <alignment horizontal="left"/>
    </xf>
    <xf numFmtId="0" fontId="5" fillId="7" borderId="14" xfId="3" applyFont="1" applyFill="1" applyBorder="1" applyAlignment="1">
      <alignment horizontal="left"/>
    </xf>
    <xf numFmtId="0" fontId="5" fillId="7" borderId="15" xfId="3" applyFont="1" applyFill="1" applyBorder="1" applyAlignment="1">
      <alignment horizontal="left"/>
    </xf>
    <xf numFmtId="0" fontId="5" fillId="3" borderId="10" xfId="3" applyFont="1" applyFill="1" applyBorder="1" applyAlignment="1">
      <alignment horizontal="left"/>
    </xf>
    <xf numFmtId="0" fontId="5" fillId="3" borderId="0" xfId="3" applyFont="1" applyFill="1" applyBorder="1" applyAlignment="1">
      <alignment horizontal="left"/>
    </xf>
    <xf numFmtId="0" fontId="21" fillId="7" borderId="13" xfId="3" applyFont="1" applyFill="1" applyBorder="1" applyAlignment="1">
      <alignment horizontal="left"/>
    </xf>
    <xf numFmtId="0" fontId="21" fillId="7" borderId="14" xfId="3" applyFont="1" applyFill="1" applyBorder="1" applyAlignment="1">
      <alignment horizontal="left"/>
    </xf>
    <xf numFmtId="0" fontId="21" fillId="7" borderId="15" xfId="3" applyFont="1" applyFill="1" applyBorder="1" applyAlignment="1">
      <alignment horizontal="left"/>
    </xf>
    <xf numFmtId="0" fontId="16" fillId="0" borderId="19" xfId="0" applyFont="1" applyBorder="1" applyAlignment="1">
      <alignment horizontal="left" vertical="center"/>
    </xf>
    <xf numFmtId="0" fontId="3" fillId="3" borderId="17" xfId="3" applyFont="1" applyFill="1" applyBorder="1" applyAlignment="1">
      <alignment horizontal="left"/>
    </xf>
    <xf numFmtId="0" fontId="3" fillId="3" borderId="18" xfId="3" applyFont="1" applyFill="1" applyBorder="1" applyAlignment="1">
      <alignment horizontal="left"/>
    </xf>
    <xf numFmtId="1" fontId="32" fillId="0" borderId="0" xfId="0" applyNumberFormat="1" applyFont="1" applyFill="1"/>
    <xf numFmtId="1" fontId="33" fillId="0" borderId="43" xfId="8" applyNumberFormat="1" applyFill="1" applyBorder="1" applyAlignment="1">
      <alignment horizontal="left" vertical="center"/>
    </xf>
    <xf numFmtId="1" fontId="32" fillId="0" borderId="42" xfId="8" applyNumberFormat="1" applyFont="1" applyFill="1" applyBorder="1" applyAlignment="1">
      <alignment horizontal="center" vertical="center"/>
    </xf>
    <xf numFmtId="1" fontId="32" fillId="0" borderId="39" xfId="8" applyNumberFormat="1" applyFont="1" applyFill="1" applyBorder="1" applyAlignment="1">
      <alignment horizontal="center" vertical="center"/>
    </xf>
    <xf numFmtId="170" fontId="32" fillId="0" borderId="39" xfId="8" applyNumberFormat="1" applyFont="1" applyFill="1" applyBorder="1" applyAlignment="1">
      <alignment horizontal="center" vertical="center"/>
    </xf>
    <xf numFmtId="0" fontId="32" fillId="0" borderId="43" xfId="8" applyNumberFormat="1" applyFont="1" applyFill="1" applyBorder="1" applyAlignment="1">
      <alignment horizontal="center" vertical="center"/>
    </xf>
    <xf numFmtId="165" fontId="32" fillId="0" borderId="39" xfId="8" applyNumberFormat="1" applyFont="1" applyFill="1" applyBorder="1" applyAlignment="1">
      <alignment horizontal="center" vertical="center"/>
    </xf>
    <xf numFmtId="1" fontId="32" fillId="0" borderId="43" xfId="0" applyNumberFormat="1" applyFont="1" applyFill="1" applyBorder="1" applyAlignment="1">
      <alignment horizontal="center" vertical="center"/>
    </xf>
    <xf numFmtId="178" fontId="32" fillId="0" borderId="43" xfId="0" applyNumberFormat="1" applyFont="1" applyFill="1" applyBorder="1" applyAlignment="1">
      <alignment horizontal="center" vertical="center"/>
    </xf>
    <xf numFmtId="0" fontId="33" fillId="0" borderId="44" xfId="8" applyFill="1" applyBorder="1" applyAlignment="1">
      <alignment horizontal="right" vertical="center"/>
    </xf>
    <xf numFmtId="0" fontId="33" fillId="0" borderId="44" xfId="8" applyFill="1" applyBorder="1" applyAlignment="1">
      <alignment horizontal="left" vertical="center"/>
    </xf>
    <xf numFmtId="0" fontId="32" fillId="0" borderId="44" xfId="8" applyNumberFormat="1" applyFont="1" applyFill="1" applyBorder="1" applyAlignment="1">
      <alignment horizontal="center" vertical="center"/>
    </xf>
    <xf numFmtId="1" fontId="32" fillId="0" borderId="44" xfId="0" applyNumberFormat="1" applyFont="1" applyFill="1" applyBorder="1" applyAlignment="1">
      <alignment horizontal="center" vertical="center"/>
    </xf>
    <xf numFmtId="178" fontId="32" fillId="0" borderId="44" xfId="0" applyNumberFormat="1" applyFont="1" applyFill="1" applyBorder="1" applyAlignment="1">
      <alignment horizontal="center" vertical="center"/>
    </xf>
    <xf numFmtId="1" fontId="33" fillId="0" borderId="39" xfId="8" applyNumberFormat="1" applyFill="1" applyBorder="1" applyAlignment="1">
      <alignment horizontal="left" vertical="center"/>
    </xf>
    <xf numFmtId="1" fontId="32" fillId="0" borderId="39" xfId="0" applyNumberFormat="1" applyFont="1" applyFill="1" applyBorder="1" applyAlignment="1">
      <alignment horizontal="center" vertical="center"/>
    </xf>
    <xf numFmtId="178" fontId="32" fillId="0" borderId="39" xfId="0" applyNumberFormat="1" applyFont="1" applyFill="1" applyBorder="1" applyAlignment="1">
      <alignment horizontal="center" vertical="center"/>
    </xf>
  </cellXfs>
  <cellStyles count="9">
    <cellStyle name="Comma" xfId="1" builtinId="3"/>
    <cellStyle name="Comma 2 2" xfId="5" xr:uid="{A07AA011-667A-4DC4-95C2-A60C555DCE24}"/>
    <cellStyle name="Comma 2 4" xfId="7" xr:uid="{2CC97DCB-6EFE-4717-B200-BF457FBC7330}"/>
    <cellStyle name="Hyperlink" xfId="8" builtinId="8"/>
    <cellStyle name="Normal" xfId="0" builtinId="0"/>
    <cellStyle name="Normal 2" xfId="3" xr:uid="{B1FEEBDC-1FEB-468C-BE82-EA5A0D54099B}"/>
    <cellStyle name="Normal_factsheet01" xfId="6" xr:uid="{3D688832-FCE4-4CC2-9757-3804BC7F65D7}"/>
    <cellStyle name="Percent" xfId="2" builtinId="5"/>
    <cellStyle name="Percent 2" xfId="4" xr:uid="{33EE1709-9B5A-456B-B725-D361286CC9A4}"/>
  </cellStyles>
  <dxfs count="5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s>
  <tableStyles count="0" defaultTableStyle="TableStyleMedium2" defaultPivotStyle="PivotStyleLight16"/>
  <colors>
    <mruColors>
      <color rgb="FFDEECC6"/>
      <color rgb="FFE0DDEB"/>
      <color rgb="FFBEB7D3"/>
      <color rgb="FFEBD1BB"/>
      <color rgb="FFDBA381"/>
      <color rgb="FFC2DD97"/>
      <color rgb="FFE1DED5"/>
      <color rgb="FFCCCCFF"/>
      <color rgb="FF9AB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7</xdr:row>
      <xdr:rowOff>28575</xdr:rowOff>
    </xdr:from>
    <xdr:to>
      <xdr:col>2</xdr:col>
      <xdr:colOff>4526064</xdr:colOff>
      <xdr:row>18</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457450"/>
          <a:ext cx="5545239" cy="1924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4C90-7A0B-4717-BDBA-593465F06B50}">
  <sheetPr codeName="Sheet5">
    <tabColor theme="9"/>
  </sheetPr>
  <dimension ref="A1:P36"/>
  <sheetViews>
    <sheetView showGridLines="0" tabSelected="1" workbookViewId="0"/>
  </sheetViews>
  <sheetFormatPr defaultColWidth="9.140625" defaultRowHeight="12.75" x14ac:dyDescent="0.2"/>
  <cols>
    <col min="1" max="1" width="9.140625" style="189"/>
    <col min="2" max="2" width="15.42578125" style="189" customWidth="1"/>
    <col min="3" max="3" width="69.28515625" style="189" customWidth="1"/>
    <col min="4" max="16384" width="9.140625" style="189"/>
  </cols>
  <sheetData>
    <row r="1" spans="1:16" s="169" customFormat="1" ht="26.25" customHeight="1" x14ac:dyDescent="0.25">
      <c r="A1" s="168"/>
      <c r="B1" s="168"/>
      <c r="C1" s="168"/>
      <c r="E1" s="170"/>
      <c r="F1" s="171"/>
    </row>
    <row r="2" spans="1:16" s="169" customFormat="1" ht="17.25" customHeight="1" x14ac:dyDescent="0.25">
      <c r="A2" s="168"/>
      <c r="B2" s="369" t="s">
        <v>124</v>
      </c>
      <c r="C2" s="369"/>
    </row>
    <row r="3" spans="1:16" s="174" customFormat="1" ht="33.75" customHeight="1" x14ac:dyDescent="0.4">
      <c r="A3" s="172"/>
      <c r="B3" s="173"/>
      <c r="C3" s="191" t="s">
        <v>389</v>
      </c>
      <c r="E3" s="175"/>
      <c r="F3" s="175"/>
      <c r="J3" s="176"/>
      <c r="K3" s="177"/>
      <c r="L3" s="178"/>
      <c r="M3" s="178"/>
      <c r="N3" s="179"/>
      <c r="O3" s="178"/>
      <c r="P3" s="178"/>
    </row>
    <row r="4" spans="1:16" s="183" customFormat="1" ht="33.75" customHeight="1" x14ac:dyDescent="0.25">
      <c r="A4" s="180"/>
      <c r="B4" s="181" t="s">
        <v>125</v>
      </c>
      <c r="C4" s="182" t="s">
        <v>391</v>
      </c>
    </row>
    <row r="5" spans="1:16" s="183" customFormat="1" ht="33.75" customHeight="1" x14ac:dyDescent="0.25">
      <c r="A5" s="180"/>
      <c r="B5" s="181" t="s">
        <v>126</v>
      </c>
      <c r="C5" s="184" t="s">
        <v>380</v>
      </c>
    </row>
    <row r="6" spans="1:16" s="183" customFormat="1" ht="33.75" customHeight="1" x14ac:dyDescent="0.25">
      <c r="A6" s="180"/>
      <c r="B6" s="181" t="s">
        <v>127</v>
      </c>
      <c r="C6" s="185" t="s">
        <v>390</v>
      </c>
    </row>
    <row r="7" spans="1:16" s="183" customFormat="1" x14ac:dyDescent="0.25">
      <c r="A7" s="180"/>
      <c r="B7" s="186" t="s">
        <v>128</v>
      </c>
      <c r="C7" s="187" t="s">
        <v>129</v>
      </c>
    </row>
    <row r="8" spans="1:16" x14ac:dyDescent="0.2">
      <c r="A8" s="37"/>
      <c r="B8" s="188"/>
      <c r="C8" s="188"/>
    </row>
    <row r="9" spans="1:16" ht="15" x14ac:dyDescent="0.25">
      <c r="A9" s="37"/>
      <c r="B9" s="188"/>
      <c r="C9" s="188"/>
      <c r="E9" s="190"/>
    </row>
    <row r="10" spans="1:16" x14ac:dyDescent="0.2">
      <c r="A10" s="37"/>
      <c r="B10" s="188"/>
      <c r="C10" s="188"/>
    </row>
    <row r="11" spans="1:16" x14ac:dyDescent="0.2">
      <c r="A11" s="37"/>
      <c r="B11" s="188"/>
      <c r="C11" s="188"/>
    </row>
    <row r="12" spans="1:16" x14ac:dyDescent="0.2">
      <c r="A12" s="37"/>
      <c r="B12" s="188"/>
      <c r="C12" s="188"/>
    </row>
    <row r="13" spans="1:16" x14ac:dyDescent="0.2">
      <c r="A13" s="37"/>
      <c r="B13" s="188"/>
      <c r="C13" s="188"/>
    </row>
    <row r="14" spans="1:16" x14ac:dyDescent="0.2">
      <c r="A14" s="37"/>
      <c r="B14" s="188"/>
      <c r="C14" s="188"/>
    </row>
    <row r="15" spans="1:16" x14ac:dyDescent="0.2">
      <c r="A15" s="37"/>
      <c r="B15" s="188"/>
      <c r="C15" s="188"/>
    </row>
    <row r="16" spans="1:16" x14ac:dyDescent="0.2">
      <c r="A16" s="37"/>
      <c r="B16" s="188"/>
      <c r="C16" s="188"/>
    </row>
    <row r="17" spans="1:3" x14ac:dyDescent="0.2">
      <c r="A17" s="37"/>
      <c r="B17" s="188"/>
      <c r="C17" s="188"/>
    </row>
    <row r="18" spans="1:3" x14ac:dyDescent="0.2">
      <c r="A18" s="37"/>
      <c r="B18" s="188"/>
      <c r="C18" s="188"/>
    </row>
    <row r="19" spans="1:3" x14ac:dyDescent="0.2">
      <c r="A19" s="370" t="s">
        <v>130</v>
      </c>
      <c r="B19" s="370"/>
      <c r="C19" s="370"/>
    </row>
    <row r="20" spans="1:3" x14ac:dyDescent="0.2">
      <c r="A20" s="371" t="s">
        <v>131</v>
      </c>
      <c r="B20" s="371"/>
      <c r="C20" s="371"/>
    </row>
    <row r="21" spans="1:3" x14ac:dyDescent="0.2">
      <c r="A21" s="372" t="s">
        <v>132</v>
      </c>
      <c r="B21" s="372"/>
      <c r="C21" s="372"/>
    </row>
    <row r="22" spans="1:3" x14ac:dyDescent="0.2">
      <c r="A22" s="37"/>
      <c r="B22" s="37"/>
      <c r="C22" s="37"/>
    </row>
    <row r="23" spans="1:3" x14ac:dyDescent="0.2">
      <c r="A23" s="37"/>
      <c r="B23" s="37"/>
      <c r="C23" s="37"/>
    </row>
    <row r="24" spans="1:3" x14ac:dyDescent="0.2">
      <c r="A24" s="37"/>
      <c r="B24" s="37"/>
      <c r="C24" s="37"/>
    </row>
    <row r="25" spans="1:3" x14ac:dyDescent="0.2">
      <c r="A25" s="37"/>
      <c r="B25" s="37"/>
      <c r="C25" s="37"/>
    </row>
    <row r="26" spans="1:3" x14ac:dyDescent="0.2">
      <c r="A26" s="37"/>
      <c r="B26" s="37"/>
      <c r="C26" s="37"/>
    </row>
    <row r="27" spans="1:3" x14ac:dyDescent="0.2">
      <c r="A27" s="37"/>
      <c r="B27" s="37"/>
      <c r="C27" s="37"/>
    </row>
    <row r="28" spans="1:3" x14ac:dyDescent="0.2">
      <c r="A28" s="37"/>
      <c r="B28" s="37"/>
      <c r="C28" s="37"/>
    </row>
    <row r="29" spans="1:3" x14ac:dyDescent="0.2">
      <c r="A29" s="37"/>
      <c r="B29" s="37"/>
      <c r="C29" s="37"/>
    </row>
    <row r="30" spans="1:3" x14ac:dyDescent="0.2">
      <c r="A30" s="37"/>
      <c r="B30" s="37"/>
      <c r="C30" s="37"/>
    </row>
    <row r="31" spans="1:3" x14ac:dyDescent="0.2">
      <c r="A31" s="37"/>
      <c r="B31" s="37"/>
      <c r="C31" s="37"/>
    </row>
    <row r="32" spans="1:3" x14ac:dyDescent="0.2">
      <c r="A32" s="37"/>
      <c r="B32" s="37"/>
      <c r="C32" s="37"/>
    </row>
    <row r="33" spans="1:3" x14ac:dyDescent="0.2">
      <c r="A33" s="37"/>
      <c r="B33" s="37"/>
      <c r="C33" s="37"/>
    </row>
    <row r="34" spans="1:3" x14ac:dyDescent="0.2">
      <c r="A34" s="37"/>
      <c r="B34" s="37"/>
      <c r="C34" s="37"/>
    </row>
    <row r="35" spans="1:3" x14ac:dyDescent="0.2">
      <c r="A35" s="37"/>
      <c r="B35" s="37"/>
      <c r="C35" s="37"/>
    </row>
    <row r="36" spans="1:3" x14ac:dyDescent="0.2">
      <c r="A36" s="37"/>
      <c r="B36" s="37"/>
      <c r="C36" s="37"/>
    </row>
  </sheetData>
  <mergeCells count="4">
    <mergeCell ref="B2:C2"/>
    <mergeCell ref="A19:C19"/>
    <mergeCell ref="A20:C20"/>
    <mergeCell ref="A21:C21"/>
  </mergeCells>
  <pageMargins left="0.75" right="0.75" top="1" bottom="1" header="0.5" footer="0.5"/>
  <pageSetup paperSize="9" orientation="portrait" r:id="rId1"/>
  <headerFooter alignWithMargins="0"/>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6678-1BBD-42BB-9111-466E9DEA83E4}">
  <sheetPr codeName="Sheet97">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384</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9.5399999999999999E-2</v>
      </c>
      <c r="D5" s="130" t="str">
        <f>CONCATENATE("Euro/",$C$9)</f>
        <v>Euro/kWh</v>
      </c>
      <c r="E5" s="385"/>
      <c r="F5" s="386"/>
      <c r="G5" s="386"/>
      <c r="H5" s="386"/>
      <c r="I5" s="386"/>
      <c r="J5" s="386"/>
      <c r="K5" s="386"/>
      <c r="L5" s="386"/>
      <c r="M5" s="387"/>
      <c r="N5" s="31"/>
    </row>
    <row r="6" spans="1:26" x14ac:dyDescent="0.2">
      <c r="B6" s="3" t="s">
        <v>106</v>
      </c>
      <c r="C6" s="131">
        <f>ROUND((C5-C7)/C8*1000,0)</f>
        <v>299</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1890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1890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0.10299999999999999</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1890000</v>
      </c>
      <c r="F94" s="93">
        <f t="shared" si="1"/>
        <v>1890000</v>
      </c>
      <c r="G94" s="93">
        <f t="shared" si="1"/>
        <v>1890000</v>
      </c>
      <c r="H94" s="93">
        <f t="shared" si="1"/>
        <v>1890000</v>
      </c>
      <c r="I94" s="93">
        <f t="shared" si="1"/>
        <v>1890000</v>
      </c>
      <c r="J94" s="93">
        <f t="shared" si="1"/>
        <v>1890000</v>
      </c>
      <c r="K94" s="93">
        <f t="shared" si="1"/>
        <v>1890000</v>
      </c>
      <c r="L94" s="93">
        <f t="shared" si="1"/>
        <v>1890000</v>
      </c>
      <c r="M94" s="93">
        <f t="shared" si="1"/>
        <v>1890000</v>
      </c>
      <c r="N94" s="93">
        <f t="shared" si="1"/>
        <v>1890000</v>
      </c>
      <c r="O94" s="93">
        <f t="shared" si="1"/>
        <v>1890000</v>
      </c>
      <c r="P94" s="93">
        <f t="shared" si="1"/>
        <v>1890000</v>
      </c>
      <c r="Q94" s="93">
        <f t="shared" si="1"/>
        <v>1890000</v>
      </c>
      <c r="R94" s="93">
        <f t="shared" si="1"/>
        <v>1890000</v>
      </c>
      <c r="S94" s="93">
        <f t="shared" si="1"/>
        <v>1890000</v>
      </c>
      <c r="T94" s="93">
        <f t="shared" si="1"/>
        <v>1890000</v>
      </c>
      <c r="U94" s="93">
        <f t="shared" si="1"/>
        <v>1890000</v>
      </c>
      <c r="V94" s="93">
        <f t="shared" si="1"/>
        <v>1890000</v>
      </c>
      <c r="W94" s="93">
        <f t="shared" si="1"/>
        <v>1890000</v>
      </c>
      <c r="X94" s="93">
        <f t="shared" si="1"/>
        <v>1890000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1890000</v>
      </c>
      <c r="F97" s="99">
        <f t="shared" ref="F97:AR97" si="4">SUM(F94:F96)</f>
        <v>1890000</v>
      </c>
      <c r="G97" s="99">
        <f t="shared" si="4"/>
        <v>1890000</v>
      </c>
      <c r="H97" s="99">
        <f t="shared" si="4"/>
        <v>1890000</v>
      </c>
      <c r="I97" s="99">
        <f t="shared" si="4"/>
        <v>1890000</v>
      </c>
      <c r="J97" s="99">
        <f t="shared" si="4"/>
        <v>1890000</v>
      </c>
      <c r="K97" s="99">
        <f t="shared" si="4"/>
        <v>1890000</v>
      </c>
      <c r="L97" s="99">
        <f t="shared" si="4"/>
        <v>1890000</v>
      </c>
      <c r="M97" s="99">
        <f t="shared" si="4"/>
        <v>1890000</v>
      </c>
      <c r="N97" s="99">
        <f t="shared" si="4"/>
        <v>1890000</v>
      </c>
      <c r="O97" s="99">
        <f t="shared" si="4"/>
        <v>1890000</v>
      </c>
      <c r="P97" s="99">
        <f t="shared" si="4"/>
        <v>1890000</v>
      </c>
      <c r="Q97" s="99">
        <f t="shared" si="4"/>
        <v>1890000</v>
      </c>
      <c r="R97" s="99">
        <f t="shared" si="4"/>
        <v>1890000</v>
      </c>
      <c r="S97" s="99">
        <f t="shared" si="4"/>
        <v>1890000</v>
      </c>
      <c r="T97" s="99">
        <f t="shared" si="4"/>
        <v>1890000</v>
      </c>
      <c r="U97" s="99">
        <f t="shared" si="4"/>
        <v>1890000</v>
      </c>
      <c r="V97" s="99">
        <f t="shared" si="4"/>
        <v>1890000</v>
      </c>
      <c r="W97" s="99">
        <f t="shared" si="4"/>
        <v>1890000</v>
      </c>
      <c r="X97" s="99">
        <f t="shared" si="4"/>
        <v>1890000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-52460</v>
      </c>
      <c r="F99" s="93">
        <f t="shared" si="5"/>
        <v>-53246.899999999994</v>
      </c>
      <c r="G99" s="93">
        <f t="shared" si="5"/>
        <v>-54045.603499999983</v>
      </c>
      <c r="H99" s="93">
        <f t="shared" si="5"/>
        <v>-54856.287552499976</v>
      </c>
      <c r="I99" s="93">
        <f t="shared" si="5"/>
        <v>-55679.131865787473</v>
      </c>
      <c r="J99" s="93">
        <f t="shared" si="5"/>
        <v>-56514.318843774272</v>
      </c>
      <c r="K99" s="93">
        <f t="shared" si="5"/>
        <v>-57362.033626430879</v>
      </c>
      <c r="L99" s="93">
        <f t="shared" si="5"/>
        <v>-58222.464130827335</v>
      </c>
      <c r="M99" s="93">
        <f t="shared" si="5"/>
        <v>-59095.801092789741</v>
      </c>
      <c r="N99" s="93">
        <f t="shared" si="5"/>
        <v>-59982.238109181577</v>
      </c>
      <c r="O99" s="93">
        <f t="shared" si="5"/>
        <v>-60881.97168081929</v>
      </c>
      <c r="P99" s="93">
        <f t="shared" si="5"/>
        <v>-61795.201256031578</v>
      </c>
      <c r="Q99" s="93">
        <f t="shared" si="5"/>
        <v>-62722.129274872037</v>
      </c>
      <c r="R99" s="93">
        <f t="shared" si="5"/>
        <v>-63662.961213995113</v>
      </c>
      <c r="S99" s="93">
        <f t="shared" si="5"/>
        <v>-64617.905632205024</v>
      </c>
      <c r="T99" s="93">
        <f t="shared" si="5"/>
        <v>-65587.174216688087</v>
      </c>
      <c r="U99" s="93">
        <f t="shared" si="5"/>
        <v>-66570.981829938406</v>
      </c>
      <c r="V99" s="93">
        <f t="shared" si="5"/>
        <v>-67569.546557387468</v>
      </c>
      <c r="W99" s="93">
        <f t="shared" si="5"/>
        <v>-68583.089755748282</v>
      </c>
      <c r="X99" s="93">
        <f t="shared" si="5"/>
        <v>-69611.83610208449</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58590</v>
      </c>
      <c r="U106" s="105">
        <f t="shared" si="12"/>
        <v>58590</v>
      </c>
      <c r="V106" s="105">
        <f t="shared" si="12"/>
        <v>58590</v>
      </c>
      <c r="W106" s="105">
        <f t="shared" si="12"/>
        <v>58590</v>
      </c>
      <c r="X106" s="105">
        <f t="shared" si="12"/>
        <v>58590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58590</v>
      </c>
      <c r="U108" s="93">
        <f t="shared" si="13"/>
        <v>58590</v>
      </c>
      <c r="V108" s="93">
        <f t="shared" si="13"/>
        <v>58590</v>
      </c>
      <c r="W108" s="93">
        <f t="shared" si="13"/>
        <v>58590</v>
      </c>
      <c r="X108" s="93">
        <f t="shared" si="13"/>
        <v>58590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-52460</v>
      </c>
      <c r="F109" s="96">
        <f t="shared" si="14"/>
        <v>-53246.899999999994</v>
      </c>
      <c r="G109" s="96">
        <f t="shared" si="14"/>
        <v>-54045.603499999983</v>
      </c>
      <c r="H109" s="96">
        <f t="shared" si="14"/>
        <v>-54856.287552499976</v>
      </c>
      <c r="I109" s="96">
        <f t="shared" si="14"/>
        <v>-55679.131865787473</v>
      </c>
      <c r="J109" s="96">
        <f t="shared" si="14"/>
        <v>-56514.318843774272</v>
      </c>
      <c r="K109" s="96">
        <f t="shared" si="14"/>
        <v>-57362.033626430879</v>
      </c>
      <c r="L109" s="96">
        <f t="shared" si="14"/>
        <v>-58222.464130827335</v>
      </c>
      <c r="M109" s="96">
        <f t="shared" si="14"/>
        <v>-59095.801092789741</v>
      </c>
      <c r="N109" s="96">
        <f t="shared" si="14"/>
        <v>-59982.238109181577</v>
      </c>
      <c r="O109" s="96">
        <f t="shared" si="14"/>
        <v>-60881.97168081929</v>
      </c>
      <c r="P109" s="96">
        <f t="shared" si="14"/>
        <v>-61795.201256031578</v>
      </c>
      <c r="Q109" s="96">
        <f t="shared" si="14"/>
        <v>-62722.129274872037</v>
      </c>
      <c r="R109" s="96">
        <f t="shared" si="14"/>
        <v>-63662.961213995113</v>
      </c>
      <c r="S109" s="96">
        <f t="shared" si="14"/>
        <v>-64617.905632205024</v>
      </c>
      <c r="T109" s="96">
        <f t="shared" si="14"/>
        <v>-65587.174216688087</v>
      </c>
      <c r="U109" s="96">
        <f t="shared" si="14"/>
        <v>-66570.981829938406</v>
      </c>
      <c r="V109" s="96">
        <f t="shared" si="14"/>
        <v>-67569.546557387468</v>
      </c>
      <c r="W109" s="96">
        <f t="shared" si="14"/>
        <v>-68583.089755748282</v>
      </c>
      <c r="X109" s="96">
        <f t="shared" si="14"/>
        <v>-69611.83610208449</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-52460</v>
      </c>
      <c r="F110" s="105">
        <f t="shared" ref="F110:AR110" si="15">SUM(F108:F109)</f>
        <v>-53246.899999999994</v>
      </c>
      <c r="G110" s="105">
        <f t="shared" si="15"/>
        <v>-54045.603499999983</v>
      </c>
      <c r="H110" s="105">
        <f t="shared" si="15"/>
        <v>-54856.287552499976</v>
      </c>
      <c r="I110" s="105">
        <f t="shared" si="15"/>
        <v>-55679.131865787473</v>
      </c>
      <c r="J110" s="105">
        <f t="shared" si="15"/>
        <v>-56514.318843774272</v>
      </c>
      <c r="K110" s="105">
        <f t="shared" si="15"/>
        <v>-57362.033626430879</v>
      </c>
      <c r="L110" s="105">
        <f t="shared" si="15"/>
        <v>-58222.464130827335</v>
      </c>
      <c r="M110" s="105">
        <f t="shared" si="15"/>
        <v>-59095.801092789741</v>
      </c>
      <c r="N110" s="105">
        <f t="shared" si="15"/>
        <v>-59982.238109181577</v>
      </c>
      <c r="O110" s="105">
        <f t="shared" si="15"/>
        <v>-60881.97168081929</v>
      </c>
      <c r="P110" s="105">
        <f t="shared" si="15"/>
        <v>-61795.201256031578</v>
      </c>
      <c r="Q110" s="105">
        <f t="shared" si="15"/>
        <v>-62722.129274872037</v>
      </c>
      <c r="R110" s="105">
        <f t="shared" si="15"/>
        <v>-63662.961213995113</v>
      </c>
      <c r="S110" s="105">
        <f t="shared" si="15"/>
        <v>-64617.905632205024</v>
      </c>
      <c r="T110" s="105">
        <f t="shared" si="15"/>
        <v>-6997.1742166880867</v>
      </c>
      <c r="U110" s="105">
        <f t="shared" si="15"/>
        <v>-7980.981829938406</v>
      </c>
      <c r="V110" s="105">
        <f t="shared" si="15"/>
        <v>-8979.5465573874681</v>
      </c>
      <c r="W110" s="105">
        <f t="shared" si="15"/>
        <v>-9993.0897557482822</v>
      </c>
      <c r="X110" s="105">
        <f t="shared" si="15"/>
        <v>-11021.83610208449</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-170793.33333333331</v>
      </c>
      <c r="F117" s="110">
        <f t="shared" ref="F117:AR117" si="20">F110+F112+F113</f>
        <v>-169766.35590552218</v>
      </c>
      <c r="G117" s="110">
        <f t="shared" si="20"/>
        <v>-168687.69626773763</v>
      </c>
      <c r="H117" s="110">
        <f t="shared" si="20"/>
        <v>-167555.30947263062</v>
      </c>
      <c r="I117" s="110">
        <f t="shared" si="20"/>
        <v>-166367.07545864486</v>
      </c>
      <c r="J117" s="110">
        <f t="shared" si="20"/>
        <v>-165120.79636790385</v>
      </c>
      <c r="K117" s="110">
        <f t="shared" si="20"/>
        <v>-163814.19376942716</v>
      </c>
      <c r="L117" s="110">
        <f t="shared" si="20"/>
        <v>-162444.90578435067</v>
      </c>
      <c r="M117" s="110">
        <f t="shared" si="20"/>
        <v>-161010.48410970857</v>
      </c>
      <c r="N117" s="110">
        <f t="shared" si="20"/>
        <v>-159508.39093721475</v>
      </c>
      <c r="O117" s="110">
        <f t="shared" si="20"/>
        <v>-157935.99576335578</v>
      </c>
      <c r="P117" s="110">
        <f t="shared" si="20"/>
        <v>-156290.57208697902</v>
      </c>
      <c r="Q117" s="110">
        <f t="shared" si="20"/>
        <v>-154569.29399042483</v>
      </c>
      <c r="R117" s="110">
        <f t="shared" si="20"/>
        <v>-152769.23260011445</v>
      </c>
      <c r="S117" s="110">
        <f t="shared" si="20"/>
        <v>-150887.35242236074</v>
      </c>
      <c r="T117" s="110">
        <f t="shared" si="20"/>
        <v>-6997.1742166880867</v>
      </c>
      <c r="U117" s="110">
        <f t="shared" si="20"/>
        <v>-7980.981829938406</v>
      </c>
      <c r="V117" s="110">
        <f t="shared" si="20"/>
        <v>-8979.5465573874681</v>
      </c>
      <c r="W117" s="110">
        <f t="shared" si="20"/>
        <v>-9993.0897557482822</v>
      </c>
      <c r="X117" s="110">
        <f t="shared" si="20"/>
        <v>-11021.83610208449</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25618.999999999996</v>
      </c>
      <c r="F118" s="112">
        <f t="shared" si="21"/>
        <v>25464.953385828328</v>
      </c>
      <c r="G118" s="112">
        <f t="shared" si="21"/>
        <v>25303.154440160644</v>
      </c>
      <c r="H118" s="112">
        <f t="shared" si="21"/>
        <v>25133.296420894592</v>
      </c>
      <c r="I118" s="112">
        <f t="shared" si="21"/>
        <v>24955.061318796728</v>
      </c>
      <c r="J118" s="112">
        <f t="shared" si="21"/>
        <v>24768.119455185577</v>
      </c>
      <c r="K118" s="112">
        <f t="shared" si="21"/>
        <v>24572.129065414072</v>
      </c>
      <c r="L118" s="112">
        <f t="shared" si="21"/>
        <v>24366.735867652602</v>
      </c>
      <c r="M118" s="112">
        <f t="shared" si="21"/>
        <v>24151.572616456284</v>
      </c>
      <c r="N118" s="112">
        <f t="shared" si="21"/>
        <v>23926.258640582211</v>
      </c>
      <c r="O118" s="112">
        <f t="shared" si="21"/>
        <v>23690.399364503366</v>
      </c>
      <c r="P118" s="112">
        <f t="shared" si="21"/>
        <v>23443.585813046851</v>
      </c>
      <c r="Q118" s="112">
        <f t="shared" si="21"/>
        <v>23185.394098563724</v>
      </c>
      <c r="R118" s="112">
        <f t="shared" si="21"/>
        <v>22915.384890017169</v>
      </c>
      <c r="S118" s="112">
        <f t="shared" si="21"/>
        <v>22633.10286335411</v>
      </c>
      <c r="T118" s="112">
        <f t="shared" si="21"/>
        <v>1049.5761325032129</v>
      </c>
      <c r="U118" s="112">
        <f t="shared" si="21"/>
        <v>1197.1472744907608</v>
      </c>
      <c r="V118" s="112">
        <f t="shared" si="21"/>
        <v>1346.9319836081202</v>
      </c>
      <c r="W118" s="112">
        <f t="shared" si="21"/>
        <v>1498.9634633622422</v>
      </c>
      <c r="X118" s="112">
        <f t="shared" si="21"/>
        <v>1653.2754153126734</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-113666.06936603296</v>
      </c>
      <c r="F120" s="116">
        <f t="shared" si="22"/>
        <v>-114607.01598020463</v>
      </c>
      <c r="G120" s="116">
        <f t="shared" si="22"/>
        <v>-115567.51842587232</v>
      </c>
      <c r="H120" s="116">
        <f t="shared" si="22"/>
        <v>-116548.06049763833</v>
      </c>
      <c r="I120" s="116">
        <f t="shared" si="22"/>
        <v>-117549.1399130237</v>
      </c>
      <c r="J120" s="116">
        <f t="shared" si="22"/>
        <v>-118571.26875462165</v>
      </c>
      <c r="K120" s="116">
        <f t="shared" si="22"/>
        <v>-119614.97392704975</v>
      </c>
      <c r="L120" s="116">
        <f t="shared" si="22"/>
        <v>-120680.79762920769</v>
      </c>
      <c r="M120" s="116">
        <f t="shared" si="22"/>
        <v>-121769.29784236642</v>
      </c>
      <c r="N120" s="116">
        <f t="shared" si="22"/>
        <v>-122881.04883463233</v>
      </c>
      <c r="O120" s="116">
        <f t="shared" si="22"/>
        <v>-124016.64168234888</v>
      </c>
      <c r="P120" s="116">
        <f t="shared" si="22"/>
        <v>-125176.68480901768</v>
      </c>
      <c r="Q120" s="116">
        <f t="shared" si="22"/>
        <v>-126361.80454234127</v>
      </c>
      <c r="R120" s="116">
        <f t="shared" si="22"/>
        <v>-127572.6456900109</v>
      </c>
      <c r="S120" s="116">
        <f t="shared" si="22"/>
        <v>-128809.87213488386</v>
      </c>
      <c r="T120" s="116">
        <f t="shared" si="22"/>
        <v>-5947.5980841848741</v>
      </c>
      <c r="U120" s="116">
        <f t="shared" si="22"/>
        <v>-6783.8345554476455</v>
      </c>
      <c r="V120" s="116">
        <f t="shared" si="22"/>
        <v>-7632.6145737793477</v>
      </c>
      <c r="W120" s="116">
        <f t="shared" si="22"/>
        <v>-8494.1262923860395</v>
      </c>
      <c r="X120" s="116">
        <f t="shared" si="22"/>
        <v>-9368.5606867718161</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-26841.000000000004</v>
      </c>
      <c r="F121" s="121">
        <f t="shared" ref="F121:AR121" si="23">F110+F118</f>
        <v>-27781.946614171666</v>
      </c>
      <c r="G121" s="121">
        <f t="shared" si="23"/>
        <v>-28742.449059839339</v>
      </c>
      <c r="H121" s="121">
        <f t="shared" si="23"/>
        <v>-29722.991131605384</v>
      </c>
      <c r="I121" s="121">
        <f t="shared" si="23"/>
        <v>-30724.070546990744</v>
      </c>
      <c r="J121" s="121">
        <f t="shared" si="23"/>
        <v>-31746.199388588695</v>
      </c>
      <c r="K121" s="121">
        <f t="shared" si="23"/>
        <v>-32789.90456101681</v>
      </c>
      <c r="L121" s="121">
        <f t="shared" si="23"/>
        <v>-33855.728263174737</v>
      </c>
      <c r="M121" s="121">
        <f t="shared" si="23"/>
        <v>-34944.228476333461</v>
      </c>
      <c r="N121" s="121">
        <f t="shared" si="23"/>
        <v>-36055.979468599369</v>
      </c>
      <c r="O121" s="121">
        <f t="shared" si="23"/>
        <v>-37191.572316315927</v>
      </c>
      <c r="P121" s="121">
        <f t="shared" si="23"/>
        <v>-38351.615442984723</v>
      </c>
      <c r="Q121" s="121">
        <f t="shared" si="23"/>
        <v>-39536.735176308313</v>
      </c>
      <c r="R121" s="121">
        <f t="shared" si="23"/>
        <v>-40747.576323977948</v>
      </c>
      <c r="S121" s="121">
        <f t="shared" si="23"/>
        <v>-41984.802768850917</v>
      </c>
      <c r="T121" s="121">
        <f t="shared" si="23"/>
        <v>-5947.5980841848741</v>
      </c>
      <c r="U121" s="121">
        <f t="shared" si="23"/>
        <v>-6783.8345554476455</v>
      </c>
      <c r="V121" s="121">
        <f t="shared" si="23"/>
        <v>-7632.6145737793477</v>
      </c>
      <c r="W121" s="121">
        <f t="shared" si="23"/>
        <v>-8494.1262923860395</v>
      </c>
      <c r="X121" s="121">
        <f t="shared" si="23"/>
        <v>-9368.5606867718161</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-113666.06936603296</v>
      </c>
      <c r="F122" s="121">
        <f t="shared" ref="F122:AR122" si="24">F120</f>
        <v>-114607.01598020463</v>
      </c>
      <c r="G122" s="121">
        <f t="shared" si="24"/>
        <v>-115567.51842587232</v>
      </c>
      <c r="H122" s="121">
        <f t="shared" si="24"/>
        <v>-116548.06049763833</v>
      </c>
      <c r="I122" s="121">
        <f t="shared" si="24"/>
        <v>-117549.1399130237</v>
      </c>
      <c r="J122" s="121">
        <f t="shared" si="24"/>
        <v>-118571.26875462165</v>
      </c>
      <c r="K122" s="121">
        <f t="shared" si="24"/>
        <v>-119614.97392704975</v>
      </c>
      <c r="L122" s="121">
        <f t="shared" si="24"/>
        <v>-120680.79762920769</v>
      </c>
      <c r="M122" s="121">
        <f t="shared" si="24"/>
        <v>-121769.29784236642</v>
      </c>
      <c r="N122" s="121">
        <f t="shared" si="24"/>
        <v>-122881.04883463233</v>
      </c>
      <c r="O122" s="121">
        <f t="shared" si="24"/>
        <v>-124016.64168234888</v>
      </c>
      <c r="P122" s="121">
        <f t="shared" si="24"/>
        <v>-125176.68480901768</v>
      </c>
      <c r="Q122" s="121">
        <f t="shared" si="24"/>
        <v>-126361.80454234127</v>
      </c>
      <c r="R122" s="121">
        <f t="shared" si="24"/>
        <v>-127572.6456900109</v>
      </c>
      <c r="S122" s="121">
        <f t="shared" si="24"/>
        <v>-128809.87213488386</v>
      </c>
      <c r="T122" s="121">
        <f t="shared" si="24"/>
        <v>-5947.5980841848741</v>
      </c>
      <c r="U122" s="121">
        <f t="shared" si="24"/>
        <v>-6783.8345554476455</v>
      </c>
      <c r="V122" s="121">
        <f t="shared" si="24"/>
        <v>-7632.6145737793477</v>
      </c>
      <c r="W122" s="121">
        <f t="shared" si="24"/>
        <v>-8494.1262923860395</v>
      </c>
      <c r="X122" s="121">
        <f t="shared" si="24"/>
        <v>-9368.5606867718161</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1890000</v>
      </c>
      <c r="F123" s="123">
        <f t="shared" si="25"/>
        <v>1890000</v>
      </c>
      <c r="G123" s="123">
        <f t="shared" si="25"/>
        <v>1890000</v>
      </c>
      <c r="H123" s="123">
        <f t="shared" si="25"/>
        <v>1890000</v>
      </c>
      <c r="I123" s="123">
        <f t="shared" si="25"/>
        <v>1890000</v>
      </c>
      <c r="J123" s="123">
        <f t="shared" si="25"/>
        <v>1890000</v>
      </c>
      <c r="K123" s="123">
        <f t="shared" si="25"/>
        <v>1890000</v>
      </c>
      <c r="L123" s="123">
        <f t="shared" si="25"/>
        <v>1890000</v>
      </c>
      <c r="M123" s="123">
        <f t="shared" si="25"/>
        <v>1890000</v>
      </c>
      <c r="N123" s="123">
        <f t="shared" si="25"/>
        <v>1890000</v>
      </c>
      <c r="O123" s="123">
        <f t="shared" si="25"/>
        <v>1890000</v>
      </c>
      <c r="P123" s="123">
        <f t="shared" si="25"/>
        <v>1890000</v>
      </c>
      <c r="Q123" s="123">
        <f t="shared" si="25"/>
        <v>1890000</v>
      </c>
      <c r="R123" s="123">
        <f t="shared" si="25"/>
        <v>1890000</v>
      </c>
      <c r="S123" s="123">
        <f t="shared" si="25"/>
        <v>1890000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1157154</v>
      </c>
      <c r="F124" s="143">
        <f t="shared" ref="F124:Y124" si="26">E124-($C$5*F97+F109+F113)</f>
        <v>1063281.0225721889</v>
      </c>
      <c r="G124" s="143">
        <f t="shared" si="26"/>
        <v>968329.38550659316</v>
      </c>
      <c r="H124" s="143">
        <f t="shared" si="26"/>
        <v>872245.3616458904</v>
      </c>
      <c r="I124" s="143">
        <f t="shared" si="26"/>
        <v>774973.10377120192</v>
      </c>
      <c r="J124" s="143">
        <f t="shared" si="26"/>
        <v>676454.56680577248</v>
      </c>
      <c r="K124" s="143">
        <f t="shared" si="26"/>
        <v>576629.42724186624</v>
      </c>
      <c r="L124" s="143">
        <f t="shared" si="26"/>
        <v>475434.99969288358</v>
      </c>
      <c r="M124" s="143">
        <f t="shared" si="26"/>
        <v>372806.15046925884</v>
      </c>
      <c r="N124" s="143">
        <f t="shared" si="26"/>
        <v>268675.20807314024</v>
      </c>
      <c r="O124" s="143">
        <f t="shared" si="26"/>
        <v>162971.87050316273</v>
      </c>
      <c r="P124" s="143">
        <f t="shared" si="26"/>
        <v>55623.109256808457</v>
      </c>
      <c r="Q124" s="143">
        <f t="shared" si="26"/>
        <v>-53446.930086100023</v>
      </c>
      <c r="R124" s="143">
        <f t="shared" si="26"/>
        <v>-164317.0308193189</v>
      </c>
      <c r="S124" s="143">
        <f t="shared" si="26"/>
        <v>-277069.01173029153</v>
      </c>
      <c r="T124" s="143">
        <f t="shared" si="26"/>
        <v>-391787.83751360344</v>
      </c>
      <c r="U124" s="143">
        <f t="shared" si="26"/>
        <v>-505522.85568366502</v>
      </c>
      <c r="V124" s="143">
        <f t="shared" si="26"/>
        <v>-618259.30912627757</v>
      </c>
      <c r="W124" s="143">
        <f t="shared" si="26"/>
        <v>-729982.21937052929</v>
      </c>
      <c r="X124" s="143">
        <f t="shared" si="26"/>
        <v>-840676.3832684448</v>
      </c>
      <c r="Y124" s="143">
        <f t="shared" si="26"/>
        <v>-840676.3832684448</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1.472454913465522</v>
      </c>
      <c r="F125" s="310">
        <f>IF(F91&gt;$C$76,"",(F110+F97*$C$5)/-F115)</f>
        <v>1.463391862831118</v>
      </c>
      <c r="G125" s="310">
        <f t="shared" ref="G125:AR125" si="27">IF(G91&gt;$C$76,"",(G110+G97*$C$5)/-G115)</f>
        <v>1.4541928664371977</v>
      </c>
      <c r="H125" s="310">
        <f t="shared" si="27"/>
        <v>1.4448558850973694</v>
      </c>
      <c r="I125" s="310">
        <f t="shared" si="27"/>
        <v>1.4353788490374431</v>
      </c>
      <c r="J125" s="310">
        <f t="shared" si="27"/>
        <v>1.4257596574366178</v>
      </c>
      <c r="K125" s="310">
        <f t="shared" si="27"/>
        <v>1.4159961779617805</v>
      </c>
      <c r="L125" s="310">
        <f t="shared" si="27"/>
        <v>1.40608624629482</v>
      </c>
      <c r="M125" s="310">
        <f t="shared" si="27"/>
        <v>1.3960276656528556</v>
      </c>
      <c r="N125" s="310">
        <f t="shared" si="27"/>
        <v>1.3858182063012618</v>
      </c>
      <c r="O125" s="310">
        <f t="shared" si="27"/>
        <v>1.3754556050593938</v>
      </c>
      <c r="P125" s="310">
        <f t="shared" si="27"/>
        <v>1.3649375647988977</v>
      </c>
      <c r="Q125" s="310">
        <f t="shared" si="27"/>
        <v>1.3542617539344948</v>
      </c>
      <c r="R125" s="310">
        <f t="shared" si="27"/>
        <v>1.3434258059071253</v>
      </c>
      <c r="S125" s="310">
        <f t="shared" si="27"/>
        <v>1.3324273186593458</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-896285.33791995153</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12012734.010564666</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1.4046980252583492</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4.4% / 2.9%</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1890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24" priority="5" operator="containsText" text="Pas op">
      <formula>NOT(ISERROR(SEARCH("Pas op",G1)))</formula>
    </cfRule>
  </conditionalFormatting>
  <conditionalFormatting sqref="G165">
    <cfRule type="containsText" dxfId="23" priority="4" operator="containsText" text="Pas op">
      <formula>NOT(ISERROR(SEARCH("Pas op",G165)))</formula>
    </cfRule>
  </conditionalFormatting>
  <conditionalFormatting sqref="G144 G147:G149">
    <cfRule type="containsText" dxfId="22" priority="3" operator="containsText" text="Pas op">
      <formula>NOT(ISERROR(SEARCH("Pas op",G144)))</formula>
    </cfRule>
  </conditionalFormatting>
  <conditionalFormatting sqref="G84">
    <cfRule type="containsText" dxfId="21" priority="2" operator="containsText" text="Pas op">
      <formula>NOT(ISERROR(SEARCH("Pas op",G84)))</formula>
    </cfRule>
  </conditionalFormatting>
  <conditionalFormatting sqref="G83">
    <cfRule type="containsText" dxfId="20"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47CDBEDE-4C48-444E-A582-458C75E73116}">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218C-D160-4A14-B335-160F5FCB0897}">
  <sheetPr codeName="Sheet98">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385</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0.10199999999999999</v>
      </c>
      <c r="D5" s="130" t="str">
        <f>CONCATENATE("Euro/",$C$9)</f>
        <v>Euro/kWh</v>
      </c>
      <c r="E5" s="385"/>
      <c r="F5" s="386"/>
      <c r="G5" s="386"/>
      <c r="H5" s="386"/>
      <c r="I5" s="386"/>
      <c r="J5" s="386"/>
      <c r="K5" s="386"/>
      <c r="L5" s="386"/>
      <c r="M5" s="387"/>
      <c r="N5" s="31"/>
    </row>
    <row r="6" spans="1:26" x14ac:dyDescent="0.2">
      <c r="B6" s="3" t="s">
        <v>106</v>
      </c>
      <c r="C6" s="131">
        <f>ROUND((C5-C7)/C8*1000,0)</f>
        <v>329</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1750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1750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0.10299999999999999</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1750000</v>
      </c>
      <c r="F94" s="93">
        <f t="shared" si="1"/>
        <v>1750000</v>
      </c>
      <c r="G94" s="93">
        <f t="shared" si="1"/>
        <v>1750000</v>
      </c>
      <c r="H94" s="93">
        <f t="shared" si="1"/>
        <v>1750000</v>
      </c>
      <c r="I94" s="93">
        <f t="shared" si="1"/>
        <v>1750000</v>
      </c>
      <c r="J94" s="93">
        <f t="shared" si="1"/>
        <v>1750000</v>
      </c>
      <c r="K94" s="93">
        <f t="shared" si="1"/>
        <v>1750000</v>
      </c>
      <c r="L94" s="93">
        <f t="shared" si="1"/>
        <v>1750000</v>
      </c>
      <c r="M94" s="93">
        <f t="shared" si="1"/>
        <v>1750000</v>
      </c>
      <c r="N94" s="93">
        <f t="shared" si="1"/>
        <v>1750000</v>
      </c>
      <c r="O94" s="93">
        <f t="shared" si="1"/>
        <v>1750000</v>
      </c>
      <c r="P94" s="93">
        <f t="shared" si="1"/>
        <v>1750000</v>
      </c>
      <c r="Q94" s="93">
        <f t="shared" si="1"/>
        <v>1750000</v>
      </c>
      <c r="R94" s="93">
        <f t="shared" si="1"/>
        <v>1750000</v>
      </c>
      <c r="S94" s="93">
        <f t="shared" si="1"/>
        <v>1750000</v>
      </c>
      <c r="T94" s="93">
        <f t="shared" si="1"/>
        <v>1750000</v>
      </c>
      <c r="U94" s="93">
        <f t="shared" si="1"/>
        <v>1750000</v>
      </c>
      <c r="V94" s="93">
        <f t="shared" si="1"/>
        <v>1750000</v>
      </c>
      <c r="W94" s="93">
        <f t="shared" si="1"/>
        <v>1750000</v>
      </c>
      <c r="X94" s="93">
        <f t="shared" si="1"/>
        <v>1750000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1750000</v>
      </c>
      <c r="F97" s="99">
        <f t="shared" ref="F97:AR97" si="4">SUM(F94:F96)</f>
        <v>1750000</v>
      </c>
      <c r="G97" s="99">
        <f t="shared" si="4"/>
        <v>1750000</v>
      </c>
      <c r="H97" s="99">
        <f t="shared" si="4"/>
        <v>1750000</v>
      </c>
      <c r="I97" s="99">
        <f t="shared" si="4"/>
        <v>1750000</v>
      </c>
      <c r="J97" s="99">
        <f t="shared" si="4"/>
        <v>1750000</v>
      </c>
      <c r="K97" s="99">
        <f t="shared" si="4"/>
        <v>1750000</v>
      </c>
      <c r="L97" s="99">
        <f t="shared" si="4"/>
        <v>1750000</v>
      </c>
      <c r="M97" s="99">
        <f t="shared" si="4"/>
        <v>1750000</v>
      </c>
      <c r="N97" s="99">
        <f t="shared" si="4"/>
        <v>1750000</v>
      </c>
      <c r="O97" s="99">
        <f t="shared" si="4"/>
        <v>1750000</v>
      </c>
      <c r="P97" s="99">
        <f t="shared" si="4"/>
        <v>1750000</v>
      </c>
      <c r="Q97" s="99">
        <f t="shared" si="4"/>
        <v>1750000</v>
      </c>
      <c r="R97" s="99">
        <f t="shared" si="4"/>
        <v>1750000</v>
      </c>
      <c r="S97" s="99">
        <f t="shared" si="4"/>
        <v>1750000</v>
      </c>
      <c r="T97" s="99">
        <f t="shared" si="4"/>
        <v>1750000</v>
      </c>
      <c r="U97" s="99">
        <f t="shared" si="4"/>
        <v>1750000</v>
      </c>
      <c r="V97" s="99">
        <f t="shared" si="4"/>
        <v>1750000</v>
      </c>
      <c r="W97" s="99">
        <f t="shared" si="4"/>
        <v>1750000</v>
      </c>
      <c r="X97" s="99">
        <f t="shared" si="4"/>
        <v>1750000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-50500</v>
      </c>
      <c r="F99" s="93">
        <f t="shared" si="5"/>
        <v>-51257.499999999993</v>
      </c>
      <c r="G99" s="93">
        <f t="shared" si="5"/>
        <v>-52026.362499999988</v>
      </c>
      <c r="H99" s="93">
        <f t="shared" si="5"/>
        <v>-52806.757937499977</v>
      </c>
      <c r="I99" s="93">
        <f t="shared" si="5"/>
        <v>-53598.859306562474</v>
      </c>
      <c r="J99" s="93">
        <f t="shared" si="5"/>
        <v>-54402.842196160898</v>
      </c>
      <c r="K99" s="93">
        <f t="shared" si="5"/>
        <v>-55218.884829103306</v>
      </c>
      <c r="L99" s="93">
        <f t="shared" si="5"/>
        <v>-56047.168101539843</v>
      </c>
      <c r="M99" s="93">
        <f t="shared" si="5"/>
        <v>-56887.875623062937</v>
      </c>
      <c r="N99" s="93">
        <f t="shared" si="5"/>
        <v>-57741.193757408873</v>
      </c>
      <c r="O99" s="93">
        <f t="shared" si="5"/>
        <v>-58607.31166377</v>
      </c>
      <c r="P99" s="93">
        <f t="shared" si="5"/>
        <v>-59486.421338726548</v>
      </c>
      <c r="Q99" s="93">
        <f t="shared" si="5"/>
        <v>-60378.717658807429</v>
      </c>
      <c r="R99" s="93">
        <f t="shared" si="5"/>
        <v>-61284.398423689541</v>
      </c>
      <c r="S99" s="93">
        <f t="shared" si="5"/>
        <v>-62203.664400044865</v>
      </c>
      <c r="T99" s="93">
        <f t="shared" si="5"/>
        <v>-63136.71936604553</v>
      </c>
      <c r="U99" s="93">
        <f t="shared" si="5"/>
        <v>-64083.7701565362</v>
      </c>
      <c r="V99" s="93">
        <f t="shared" si="5"/>
        <v>-65045.026708884237</v>
      </c>
      <c r="W99" s="93">
        <f t="shared" si="5"/>
        <v>-66020.702109517501</v>
      </c>
      <c r="X99" s="93">
        <f t="shared" si="5"/>
        <v>-67011.012641160254</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54250</v>
      </c>
      <c r="U106" s="105">
        <f t="shared" si="12"/>
        <v>54250</v>
      </c>
      <c r="V106" s="105">
        <f t="shared" si="12"/>
        <v>54250</v>
      </c>
      <c r="W106" s="105">
        <f t="shared" si="12"/>
        <v>54250</v>
      </c>
      <c r="X106" s="105">
        <f t="shared" si="12"/>
        <v>54250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54250</v>
      </c>
      <c r="U108" s="93">
        <f t="shared" si="13"/>
        <v>54250</v>
      </c>
      <c r="V108" s="93">
        <f t="shared" si="13"/>
        <v>54250</v>
      </c>
      <c r="W108" s="93">
        <f t="shared" si="13"/>
        <v>54250</v>
      </c>
      <c r="X108" s="93">
        <f t="shared" si="13"/>
        <v>54250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-50500</v>
      </c>
      <c r="F109" s="96">
        <f t="shared" si="14"/>
        <v>-51257.499999999993</v>
      </c>
      <c r="G109" s="96">
        <f t="shared" si="14"/>
        <v>-52026.362499999988</v>
      </c>
      <c r="H109" s="96">
        <f t="shared" si="14"/>
        <v>-52806.757937499977</v>
      </c>
      <c r="I109" s="96">
        <f t="shared" si="14"/>
        <v>-53598.859306562474</v>
      </c>
      <c r="J109" s="96">
        <f t="shared" si="14"/>
        <v>-54402.842196160898</v>
      </c>
      <c r="K109" s="96">
        <f t="shared" si="14"/>
        <v>-55218.884829103306</v>
      </c>
      <c r="L109" s="96">
        <f t="shared" si="14"/>
        <v>-56047.168101539843</v>
      </c>
      <c r="M109" s="96">
        <f t="shared" si="14"/>
        <v>-56887.875623062937</v>
      </c>
      <c r="N109" s="96">
        <f t="shared" si="14"/>
        <v>-57741.193757408873</v>
      </c>
      <c r="O109" s="96">
        <f t="shared" si="14"/>
        <v>-58607.31166377</v>
      </c>
      <c r="P109" s="96">
        <f t="shared" si="14"/>
        <v>-59486.421338726548</v>
      </c>
      <c r="Q109" s="96">
        <f t="shared" si="14"/>
        <v>-60378.717658807429</v>
      </c>
      <c r="R109" s="96">
        <f t="shared" si="14"/>
        <v>-61284.398423689541</v>
      </c>
      <c r="S109" s="96">
        <f t="shared" si="14"/>
        <v>-62203.664400044865</v>
      </c>
      <c r="T109" s="96">
        <f t="shared" si="14"/>
        <v>-63136.71936604553</v>
      </c>
      <c r="U109" s="96">
        <f t="shared" si="14"/>
        <v>-64083.7701565362</v>
      </c>
      <c r="V109" s="96">
        <f t="shared" si="14"/>
        <v>-65045.026708884237</v>
      </c>
      <c r="W109" s="96">
        <f t="shared" si="14"/>
        <v>-66020.702109517501</v>
      </c>
      <c r="X109" s="96">
        <f t="shared" si="14"/>
        <v>-67011.012641160254</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-50500</v>
      </c>
      <c r="F110" s="105">
        <f t="shared" ref="F110:AR110" si="15">SUM(F108:F109)</f>
        <v>-51257.499999999993</v>
      </c>
      <c r="G110" s="105">
        <f t="shared" si="15"/>
        <v>-52026.362499999988</v>
      </c>
      <c r="H110" s="105">
        <f t="shared" si="15"/>
        <v>-52806.757937499977</v>
      </c>
      <c r="I110" s="105">
        <f t="shared" si="15"/>
        <v>-53598.859306562474</v>
      </c>
      <c r="J110" s="105">
        <f t="shared" si="15"/>
        <v>-54402.842196160898</v>
      </c>
      <c r="K110" s="105">
        <f t="shared" si="15"/>
        <v>-55218.884829103306</v>
      </c>
      <c r="L110" s="105">
        <f t="shared" si="15"/>
        <v>-56047.168101539843</v>
      </c>
      <c r="M110" s="105">
        <f t="shared" si="15"/>
        <v>-56887.875623062937</v>
      </c>
      <c r="N110" s="105">
        <f t="shared" si="15"/>
        <v>-57741.193757408873</v>
      </c>
      <c r="O110" s="105">
        <f t="shared" si="15"/>
        <v>-58607.31166377</v>
      </c>
      <c r="P110" s="105">
        <f t="shared" si="15"/>
        <v>-59486.421338726548</v>
      </c>
      <c r="Q110" s="105">
        <f t="shared" si="15"/>
        <v>-60378.717658807429</v>
      </c>
      <c r="R110" s="105">
        <f t="shared" si="15"/>
        <v>-61284.398423689541</v>
      </c>
      <c r="S110" s="105">
        <f t="shared" si="15"/>
        <v>-62203.664400044865</v>
      </c>
      <c r="T110" s="105">
        <f t="shared" si="15"/>
        <v>-8886.7193660455305</v>
      </c>
      <c r="U110" s="105">
        <f t="shared" si="15"/>
        <v>-9833.7701565362004</v>
      </c>
      <c r="V110" s="105">
        <f t="shared" si="15"/>
        <v>-10795.026708884237</v>
      </c>
      <c r="W110" s="105">
        <f t="shared" si="15"/>
        <v>-11770.702109517501</v>
      </c>
      <c r="X110" s="105">
        <f t="shared" si="15"/>
        <v>-12761.012641160254</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-168833.33333333331</v>
      </c>
      <c r="F117" s="110">
        <f t="shared" ref="F117:AR117" si="20">F110+F112+F113</f>
        <v>-167776.95590552216</v>
      </c>
      <c r="G117" s="110">
        <f t="shared" si="20"/>
        <v>-166668.45526773762</v>
      </c>
      <c r="H117" s="110">
        <f t="shared" si="20"/>
        <v>-165505.77985763061</v>
      </c>
      <c r="I117" s="110">
        <f t="shared" si="20"/>
        <v>-164286.80289941985</v>
      </c>
      <c r="J117" s="110">
        <f t="shared" si="20"/>
        <v>-163009.31972029048</v>
      </c>
      <c r="K117" s="110">
        <f t="shared" si="20"/>
        <v>-161671.04497209957</v>
      </c>
      <c r="L117" s="110">
        <f t="shared" si="20"/>
        <v>-160269.6097550632</v>
      </c>
      <c r="M117" s="110">
        <f t="shared" si="20"/>
        <v>-158802.55863998178</v>
      </c>
      <c r="N117" s="110">
        <f t="shared" si="20"/>
        <v>-157267.34658544205</v>
      </c>
      <c r="O117" s="110">
        <f t="shared" si="20"/>
        <v>-155661.33574630649</v>
      </c>
      <c r="P117" s="110">
        <f t="shared" si="20"/>
        <v>-153981.79216967401</v>
      </c>
      <c r="Q117" s="110">
        <f t="shared" si="20"/>
        <v>-152225.88237436023</v>
      </c>
      <c r="R117" s="110">
        <f t="shared" si="20"/>
        <v>-150390.6698098089</v>
      </c>
      <c r="S117" s="110">
        <f t="shared" si="20"/>
        <v>-148473.11119020058</v>
      </c>
      <c r="T117" s="110">
        <f t="shared" si="20"/>
        <v>-8886.7193660455305</v>
      </c>
      <c r="U117" s="110">
        <f t="shared" si="20"/>
        <v>-9833.7701565362004</v>
      </c>
      <c r="V117" s="110">
        <f t="shared" si="20"/>
        <v>-10795.026708884237</v>
      </c>
      <c r="W117" s="110">
        <f t="shared" si="20"/>
        <v>-11770.702109517501</v>
      </c>
      <c r="X117" s="110">
        <f t="shared" si="20"/>
        <v>-12761.012641160254</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25324.999999999996</v>
      </c>
      <c r="F118" s="112">
        <f t="shared" si="21"/>
        <v>25166.543385828325</v>
      </c>
      <c r="G118" s="112">
        <f t="shared" si="21"/>
        <v>25000.268290160642</v>
      </c>
      <c r="H118" s="112">
        <f t="shared" si="21"/>
        <v>24825.86697864459</v>
      </c>
      <c r="I118" s="112">
        <f t="shared" si="21"/>
        <v>24643.020434912978</v>
      </c>
      <c r="J118" s="112">
        <f t="shared" si="21"/>
        <v>24451.397958043573</v>
      </c>
      <c r="K118" s="112">
        <f t="shared" si="21"/>
        <v>24250.656745814933</v>
      </c>
      <c r="L118" s="112">
        <f t="shared" si="21"/>
        <v>24040.441463259478</v>
      </c>
      <c r="M118" s="112">
        <f t="shared" si="21"/>
        <v>23820.383795997266</v>
      </c>
      <c r="N118" s="112">
        <f t="shared" si="21"/>
        <v>23590.101987816306</v>
      </c>
      <c r="O118" s="112">
        <f t="shared" si="21"/>
        <v>23349.200361945972</v>
      </c>
      <c r="P118" s="112">
        <f t="shared" si="21"/>
        <v>23097.268825451101</v>
      </c>
      <c r="Q118" s="112">
        <f t="shared" si="21"/>
        <v>22833.882356154034</v>
      </c>
      <c r="R118" s="112">
        <f t="shared" si="21"/>
        <v>22558.600471471334</v>
      </c>
      <c r="S118" s="112">
        <f t="shared" si="21"/>
        <v>22270.966678530087</v>
      </c>
      <c r="T118" s="112">
        <f t="shared" si="21"/>
        <v>1333.0079049068295</v>
      </c>
      <c r="U118" s="112">
        <f t="shared" si="21"/>
        <v>1475.0655234804301</v>
      </c>
      <c r="V118" s="112">
        <f t="shared" si="21"/>
        <v>1619.2540063326355</v>
      </c>
      <c r="W118" s="112">
        <f t="shared" si="21"/>
        <v>1765.605316427625</v>
      </c>
      <c r="X118" s="112">
        <f t="shared" si="21"/>
        <v>1914.151896174038</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-112000.06936603296</v>
      </c>
      <c r="F120" s="116">
        <f t="shared" si="22"/>
        <v>-112916.02598020463</v>
      </c>
      <c r="G120" s="116">
        <f t="shared" si="22"/>
        <v>-113851.1635758723</v>
      </c>
      <c r="H120" s="116">
        <f t="shared" si="22"/>
        <v>-114805.96032488832</v>
      </c>
      <c r="I120" s="116">
        <f t="shared" si="22"/>
        <v>-115780.90823768244</v>
      </c>
      <c r="J120" s="116">
        <f t="shared" si="22"/>
        <v>-116776.51360415028</v>
      </c>
      <c r="K120" s="116">
        <f t="shared" si="22"/>
        <v>-117793.29744932133</v>
      </c>
      <c r="L120" s="116">
        <f t="shared" si="22"/>
        <v>-118831.79600431331</v>
      </c>
      <c r="M120" s="116">
        <f t="shared" si="22"/>
        <v>-119892.56119309863</v>
      </c>
      <c r="N120" s="116">
        <f t="shared" si="22"/>
        <v>-120976.16113562553</v>
      </c>
      <c r="O120" s="116">
        <f t="shared" si="22"/>
        <v>-122083.18066785698</v>
      </c>
      <c r="P120" s="116">
        <f t="shared" si="22"/>
        <v>-123214.22187930842</v>
      </c>
      <c r="Q120" s="116">
        <f t="shared" si="22"/>
        <v>-124369.90466868636</v>
      </c>
      <c r="R120" s="116">
        <f t="shared" si="22"/>
        <v>-125550.86731825116</v>
      </c>
      <c r="S120" s="116">
        <f t="shared" si="22"/>
        <v>-126757.76708754772</v>
      </c>
      <c r="T120" s="116">
        <f t="shared" si="22"/>
        <v>-7553.7114611387005</v>
      </c>
      <c r="U120" s="116">
        <f t="shared" si="22"/>
        <v>-8358.7046330557696</v>
      </c>
      <c r="V120" s="116">
        <f t="shared" si="22"/>
        <v>-9175.7727025516015</v>
      </c>
      <c r="W120" s="116">
        <f t="shared" si="22"/>
        <v>-10005.096793089875</v>
      </c>
      <c r="X120" s="116">
        <f t="shared" si="22"/>
        <v>-10846.860744986216</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-25175.000000000004</v>
      </c>
      <c r="F121" s="121">
        <f t="shared" ref="F121:AR121" si="23">F110+F118</f>
        <v>-26090.956614171668</v>
      </c>
      <c r="G121" s="121">
        <f t="shared" si="23"/>
        <v>-27026.094209839346</v>
      </c>
      <c r="H121" s="121">
        <f t="shared" si="23"/>
        <v>-27980.890958855387</v>
      </c>
      <c r="I121" s="121">
        <f t="shared" si="23"/>
        <v>-28955.838871649496</v>
      </c>
      <c r="J121" s="121">
        <f t="shared" si="23"/>
        <v>-29951.444238117325</v>
      </c>
      <c r="K121" s="121">
        <f t="shared" si="23"/>
        <v>-30968.228083288373</v>
      </c>
      <c r="L121" s="121">
        <f t="shared" si="23"/>
        <v>-32006.726638280365</v>
      </c>
      <c r="M121" s="121">
        <f t="shared" si="23"/>
        <v>-33067.491827065671</v>
      </c>
      <c r="N121" s="121">
        <f t="shared" si="23"/>
        <v>-34151.091769592567</v>
      </c>
      <c r="O121" s="121">
        <f t="shared" si="23"/>
        <v>-35258.111301824028</v>
      </c>
      <c r="P121" s="121">
        <f t="shared" si="23"/>
        <v>-36389.152513275447</v>
      </c>
      <c r="Q121" s="121">
        <f t="shared" si="23"/>
        <v>-37544.835302653395</v>
      </c>
      <c r="R121" s="121">
        <f t="shared" si="23"/>
        <v>-38725.797952218207</v>
      </c>
      <c r="S121" s="121">
        <f t="shared" si="23"/>
        <v>-39932.697721514778</v>
      </c>
      <c r="T121" s="121">
        <f t="shared" si="23"/>
        <v>-7553.7114611387005</v>
      </c>
      <c r="U121" s="121">
        <f t="shared" si="23"/>
        <v>-8358.7046330557696</v>
      </c>
      <c r="V121" s="121">
        <f t="shared" si="23"/>
        <v>-9175.7727025516015</v>
      </c>
      <c r="W121" s="121">
        <f t="shared" si="23"/>
        <v>-10005.096793089875</v>
      </c>
      <c r="X121" s="121">
        <f t="shared" si="23"/>
        <v>-10846.860744986216</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-112000.06936603296</v>
      </c>
      <c r="F122" s="121">
        <f t="shared" ref="F122:AR122" si="24">F120</f>
        <v>-112916.02598020463</v>
      </c>
      <c r="G122" s="121">
        <f t="shared" si="24"/>
        <v>-113851.1635758723</v>
      </c>
      <c r="H122" s="121">
        <f t="shared" si="24"/>
        <v>-114805.96032488832</v>
      </c>
      <c r="I122" s="121">
        <f t="shared" si="24"/>
        <v>-115780.90823768244</v>
      </c>
      <c r="J122" s="121">
        <f t="shared" si="24"/>
        <v>-116776.51360415028</v>
      </c>
      <c r="K122" s="121">
        <f t="shared" si="24"/>
        <v>-117793.29744932133</v>
      </c>
      <c r="L122" s="121">
        <f t="shared" si="24"/>
        <v>-118831.79600431331</v>
      </c>
      <c r="M122" s="121">
        <f t="shared" si="24"/>
        <v>-119892.56119309863</v>
      </c>
      <c r="N122" s="121">
        <f t="shared" si="24"/>
        <v>-120976.16113562553</v>
      </c>
      <c r="O122" s="121">
        <f t="shared" si="24"/>
        <v>-122083.18066785698</v>
      </c>
      <c r="P122" s="121">
        <f t="shared" si="24"/>
        <v>-123214.22187930842</v>
      </c>
      <c r="Q122" s="121">
        <f t="shared" si="24"/>
        <v>-124369.90466868636</v>
      </c>
      <c r="R122" s="121">
        <f t="shared" si="24"/>
        <v>-125550.86731825116</v>
      </c>
      <c r="S122" s="121">
        <f t="shared" si="24"/>
        <v>-126757.76708754772</v>
      </c>
      <c r="T122" s="121">
        <f t="shared" si="24"/>
        <v>-7553.7114611387005</v>
      </c>
      <c r="U122" s="121">
        <f t="shared" si="24"/>
        <v>-8358.7046330557696</v>
      </c>
      <c r="V122" s="121">
        <f t="shared" si="24"/>
        <v>-9175.7727025516015</v>
      </c>
      <c r="W122" s="121">
        <f t="shared" si="24"/>
        <v>-10005.096793089875</v>
      </c>
      <c r="X122" s="121">
        <f t="shared" si="24"/>
        <v>-10846.860744986216</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1750000</v>
      </c>
      <c r="F123" s="123">
        <f t="shared" si="25"/>
        <v>1750000</v>
      </c>
      <c r="G123" s="123">
        <f t="shared" si="25"/>
        <v>1750000</v>
      </c>
      <c r="H123" s="123">
        <f t="shared" si="25"/>
        <v>1750000</v>
      </c>
      <c r="I123" s="123">
        <f t="shared" si="25"/>
        <v>1750000</v>
      </c>
      <c r="J123" s="123">
        <f t="shared" si="25"/>
        <v>1750000</v>
      </c>
      <c r="K123" s="123">
        <f t="shared" si="25"/>
        <v>1750000</v>
      </c>
      <c r="L123" s="123">
        <f t="shared" si="25"/>
        <v>1750000</v>
      </c>
      <c r="M123" s="123">
        <f t="shared" si="25"/>
        <v>1750000</v>
      </c>
      <c r="N123" s="123">
        <f t="shared" si="25"/>
        <v>1750000</v>
      </c>
      <c r="O123" s="123">
        <f t="shared" si="25"/>
        <v>1750000</v>
      </c>
      <c r="P123" s="123">
        <f t="shared" si="25"/>
        <v>1750000</v>
      </c>
      <c r="Q123" s="123">
        <f t="shared" si="25"/>
        <v>1750000</v>
      </c>
      <c r="R123" s="123">
        <f t="shared" si="25"/>
        <v>1750000</v>
      </c>
      <c r="S123" s="123">
        <f t="shared" si="25"/>
        <v>1750000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1157000</v>
      </c>
      <c r="F124" s="143">
        <f t="shared" ref="F124:Y124" si="26">E124-($C$5*F97+F109+F113)</f>
        <v>1062943.6225721887</v>
      </c>
      <c r="G124" s="143">
        <f t="shared" si="26"/>
        <v>967778.7445065931</v>
      </c>
      <c r="H124" s="143">
        <f t="shared" si="26"/>
        <v>871451.19103089033</v>
      </c>
      <c r="I124" s="143">
        <f t="shared" si="26"/>
        <v>773904.66059697687</v>
      </c>
      <c r="J124" s="143">
        <f t="shared" si="26"/>
        <v>675080.64698393398</v>
      </c>
      <c r="K124" s="143">
        <f t="shared" si="26"/>
        <v>574918.35862270021</v>
      </c>
      <c r="L124" s="143">
        <f t="shared" si="26"/>
        <v>473354.63504443003</v>
      </c>
      <c r="M124" s="143">
        <f t="shared" si="26"/>
        <v>370323.86035107845</v>
      </c>
      <c r="N124" s="143">
        <f t="shared" si="26"/>
        <v>265757.87360318715</v>
      </c>
      <c r="O124" s="143">
        <f t="shared" si="26"/>
        <v>159585.87601616036</v>
      </c>
      <c r="P124" s="143">
        <f t="shared" si="26"/>
        <v>51734.334852501052</v>
      </c>
      <c r="Q124" s="143">
        <f t="shared" si="26"/>
        <v>-57873.116106472036</v>
      </c>
      <c r="R124" s="143">
        <f t="shared" si="26"/>
        <v>-169315.77962999648</v>
      </c>
      <c r="S124" s="143">
        <f t="shared" si="26"/>
        <v>-282676.00177312928</v>
      </c>
      <c r="T124" s="143">
        <f t="shared" si="26"/>
        <v>-398039.28240708378</v>
      </c>
      <c r="U124" s="143">
        <f t="shared" si="26"/>
        <v>-512455.51225054759</v>
      </c>
      <c r="V124" s="143">
        <f t="shared" si="26"/>
        <v>-625910.48554166337</v>
      </c>
      <c r="W124" s="143">
        <f t="shared" si="26"/>
        <v>-738389.78343214584</v>
      </c>
      <c r="X124" s="143">
        <f t="shared" si="26"/>
        <v>-849878.77079098555</v>
      </c>
      <c r="Y124" s="143">
        <f t="shared" si="26"/>
        <v>-849878.77079098555</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1.4742285947435729</v>
      </c>
      <c r="F125" s="310">
        <f>IF(F91&gt;$C$76,"",(F110+F97*$C$5)/-F115)</f>
        <v>1.4655041559895239</v>
      </c>
      <c r="G125" s="310">
        <f t="shared" ref="G125:AR125" si="27">IF(G91&gt;$C$76,"",(G110+G97*$C$5)/-G115)</f>
        <v>1.4566488506541642</v>
      </c>
      <c r="H125" s="310">
        <f t="shared" si="27"/>
        <v>1.4476607157387746</v>
      </c>
      <c r="I125" s="310">
        <f t="shared" si="27"/>
        <v>1.4385377587996537</v>
      </c>
      <c r="J125" s="310">
        <f t="shared" si="27"/>
        <v>1.4292779575064463</v>
      </c>
      <c r="K125" s="310">
        <f t="shared" si="27"/>
        <v>1.4198792591938405</v>
      </c>
      <c r="L125" s="310">
        <f t="shared" si="27"/>
        <v>1.4103395804065459</v>
      </c>
      <c r="M125" s="310">
        <f t="shared" si="27"/>
        <v>1.4006568064374416</v>
      </c>
      <c r="N125" s="310">
        <f t="shared" si="27"/>
        <v>1.3908287908588008</v>
      </c>
      <c r="O125" s="310">
        <f t="shared" si="27"/>
        <v>1.3808533550464803</v>
      </c>
      <c r="P125" s="310">
        <f t="shared" si="27"/>
        <v>1.3707282876969751</v>
      </c>
      <c r="Q125" s="310">
        <f t="shared" si="27"/>
        <v>1.3604513443372275</v>
      </c>
      <c r="R125" s="310">
        <f t="shared" si="27"/>
        <v>1.3500202468270837</v>
      </c>
      <c r="S125" s="310">
        <f t="shared" si="27"/>
        <v>1.3394326828542877</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-884131.98421956401</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11122901.861633955</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1.4090032258060543</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4.4% / 2.9%</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1750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19" priority="5" operator="containsText" text="Pas op">
      <formula>NOT(ISERROR(SEARCH("Pas op",G1)))</formula>
    </cfRule>
  </conditionalFormatting>
  <conditionalFormatting sqref="G165">
    <cfRule type="containsText" dxfId="18" priority="4" operator="containsText" text="Pas op">
      <formula>NOT(ISERROR(SEARCH("Pas op",G165)))</formula>
    </cfRule>
  </conditionalFormatting>
  <conditionalFormatting sqref="G144 G147:G149">
    <cfRule type="containsText" dxfId="17" priority="3" operator="containsText" text="Pas op">
      <formula>NOT(ISERROR(SEARCH("Pas op",G144)))</formula>
    </cfRule>
  </conditionalFormatting>
  <conditionalFormatting sqref="G84">
    <cfRule type="containsText" dxfId="16" priority="2" operator="containsText" text="Pas op">
      <formula>NOT(ISERROR(SEARCH("Pas op",G84)))</formula>
    </cfRule>
  </conditionalFormatting>
  <conditionalFormatting sqref="G83">
    <cfRule type="containsText" dxfId="15"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61207230-2E23-4E58-AE51-C87EA5631F06}">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E151-2B7C-428B-AB43-30D8A5974404}">
  <sheetPr codeName="Sheet99">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386</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0.109</v>
      </c>
      <c r="D5" s="130" t="str">
        <f>CONCATENATE("Euro/",$C$9)</f>
        <v>Euro/kWh</v>
      </c>
      <c r="E5" s="385"/>
      <c r="F5" s="386"/>
      <c r="G5" s="386"/>
      <c r="H5" s="386"/>
      <c r="I5" s="386"/>
      <c r="J5" s="386"/>
      <c r="K5" s="386"/>
      <c r="L5" s="386"/>
      <c r="M5" s="387"/>
      <c r="N5" s="31"/>
    </row>
    <row r="6" spans="1:26" x14ac:dyDescent="0.2">
      <c r="B6" s="3" t="s">
        <v>106</v>
      </c>
      <c r="C6" s="131">
        <f>ROUND((C5-C7)/C8*1000,0)</f>
        <v>362</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1620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1620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0.10299999999999999</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1620000</v>
      </c>
      <c r="F94" s="93">
        <f t="shared" si="1"/>
        <v>1620000</v>
      </c>
      <c r="G94" s="93">
        <f t="shared" si="1"/>
        <v>1620000</v>
      </c>
      <c r="H94" s="93">
        <f t="shared" si="1"/>
        <v>1620000</v>
      </c>
      <c r="I94" s="93">
        <f t="shared" si="1"/>
        <v>1620000</v>
      </c>
      <c r="J94" s="93">
        <f t="shared" si="1"/>
        <v>1620000</v>
      </c>
      <c r="K94" s="93">
        <f t="shared" si="1"/>
        <v>1620000</v>
      </c>
      <c r="L94" s="93">
        <f t="shared" si="1"/>
        <v>1620000</v>
      </c>
      <c r="M94" s="93">
        <f t="shared" si="1"/>
        <v>1620000</v>
      </c>
      <c r="N94" s="93">
        <f t="shared" si="1"/>
        <v>1620000</v>
      </c>
      <c r="O94" s="93">
        <f t="shared" si="1"/>
        <v>1620000</v>
      </c>
      <c r="P94" s="93">
        <f t="shared" si="1"/>
        <v>1620000</v>
      </c>
      <c r="Q94" s="93">
        <f t="shared" si="1"/>
        <v>1620000</v>
      </c>
      <c r="R94" s="93">
        <f t="shared" si="1"/>
        <v>1620000</v>
      </c>
      <c r="S94" s="93">
        <f t="shared" si="1"/>
        <v>1620000</v>
      </c>
      <c r="T94" s="93">
        <f t="shared" si="1"/>
        <v>1620000</v>
      </c>
      <c r="U94" s="93">
        <f t="shared" si="1"/>
        <v>1620000</v>
      </c>
      <c r="V94" s="93">
        <f t="shared" si="1"/>
        <v>1620000</v>
      </c>
      <c r="W94" s="93">
        <f t="shared" si="1"/>
        <v>1620000</v>
      </c>
      <c r="X94" s="93">
        <f t="shared" si="1"/>
        <v>1620000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1620000</v>
      </c>
      <c r="F97" s="99">
        <f t="shared" ref="F97:AR97" si="4">SUM(F94:F96)</f>
        <v>1620000</v>
      </c>
      <c r="G97" s="99">
        <f t="shared" si="4"/>
        <v>1620000</v>
      </c>
      <c r="H97" s="99">
        <f t="shared" si="4"/>
        <v>1620000</v>
      </c>
      <c r="I97" s="99">
        <f t="shared" si="4"/>
        <v>1620000</v>
      </c>
      <c r="J97" s="99">
        <f t="shared" si="4"/>
        <v>1620000</v>
      </c>
      <c r="K97" s="99">
        <f t="shared" si="4"/>
        <v>1620000</v>
      </c>
      <c r="L97" s="99">
        <f t="shared" si="4"/>
        <v>1620000</v>
      </c>
      <c r="M97" s="99">
        <f t="shared" si="4"/>
        <v>1620000</v>
      </c>
      <c r="N97" s="99">
        <f t="shared" si="4"/>
        <v>1620000</v>
      </c>
      <c r="O97" s="99">
        <f t="shared" si="4"/>
        <v>1620000</v>
      </c>
      <c r="P97" s="99">
        <f t="shared" si="4"/>
        <v>1620000</v>
      </c>
      <c r="Q97" s="99">
        <f t="shared" si="4"/>
        <v>1620000</v>
      </c>
      <c r="R97" s="99">
        <f t="shared" si="4"/>
        <v>1620000</v>
      </c>
      <c r="S97" s="99">
        <f t="shared" si="4"/>
        <v>1620000</v>
      </c>
      <c r="T97" s="99">
        <f t="shared" si="4"/>
        <v>1620000</v>
      </c>
      <c r="U97" s="99">
        <f t="shared" si="4"/>
        <v>1620000</v>
      </c>
      <c r="V97" s="99">
        <f t="shared" si="4"/>
        <v>1620000</v>
      </c>
      <c r="W97" s="99">
        <f t="shared" si="4"/>
        <v>1620000</v>
      </c>
      <c r="X97" s="99">
        <f t="shared" si="4"/>
        <v>1620000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-48680</v>
      </c>
      <c r="F99" s="93">
        <f t="shared" si="5"/>
        <v>-49410.2</v>
      </c>
      <c r="G99" s="93">
        <f t="shared" si="5"/>
        <v>-50151.352999999988</v>
      </c>
      <c r="H99" s="93">
        <f t="shared" si="5"/>
        <v>-50903.623294999983</v>
      </c>
      <c r="I99" s="93">
        <f t="shared" si="5"/>
        <v>-51667.17764442497</v>
      </c>
      <c r="J99" s="93">
        <f t="shared" si="5"/>
        <v>-52442.185309091343</v>
      </c>
      <c r="K99" s="93">
        <f t="shared" si="5"/>
        <v>-53228.818088727698</v>
      </c>
      <c r="L99" s="93">
        <f t="shared" si="5"/>
        <v>-54027.250360058606</v>
      </c>
      <c r="M99" s="93">
        <f t="shared" si="5"/>
        <v>-54837.659115459479</v>
      </c>
      <c r="N99" s="93">
        <f t="shared" si="5"/>
        <v>-55660.224002191368</v>
      </c>
      <c r="O99" s="93">
        <f t="shared" si="5"/>
        <v>-56495.12736222423</v>
      </c>
      <c r="P99" s="93">
        <f t="shared" si="5"/>
        <v>-57342.554272657588</v>
      </c>
      <c r="Q99" s="93">
        <f t="shared" si="5"/>
        <v>-58202.692586747442</v>
      </c>
      <c r="R99" s="93">
        <f t="shared" si="5"/>
        <v>-59075.73297554865</v>
      </c>
      <c r="S99" s="93">
        <f t="shared" si="5"/>
        <v>-59961.868970181858</v>
      </c>
      <c r="T99" s="93">
        <f t="shared" si="5"/>
        <v>-60861.297004734581</v>
      </c>
      <c r="U99" s="93">
        <f t="shared" si="5"/>
        <v>-61774.21645980559</v>
      </c>
      <c r="V99" s="93">
        <f t="shared" si="5"/>
        <v>-62700.829706702665</v>
      </c>
      <c r="W99" s="93">
        <f t="shared" si="5"/>
        <v>-63641.342152303201</v>
      </c>
      <c r="X99" s="93">
        <f t="shared" si="5"/>
        <v>-64595.962284587746</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50220</v>
      </c>
      <c r="U106" s="105">
        <f t="shared" si="12"/>
        <v>50220</v>
      </c>
      <c r="V106" s="105">
        <f t="shared" si="12"/>
        <v>50220</v>
      </c>
      <c r="W106" s="105">
        <f t="shared" si="12"/>
        <v>50220</v>
      </c>
      <c r="X106" s="105">
        <f t="shared" si="12"/>
        <v>50220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50220</v>
      </c>
      <c r="U108" s="93">
        <f t="shared" si="13"/>
        <v>50220</v>
      </c>
      <c r="V108" s="93">
        <f t="shared" si="13"/>
        <v>50220</v>
      </c>
      <c r="W108" s="93">
        <f t="shared" si="13"/>
        <v>50220</v>
      </c>
      <c r="X108" s="93">
        <f t="shared" si="13"/>
        <v>50220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-48680</v>
      </c>
      <c r="F109" s="96">
        <f t="shared" si="14"/>
        <v>-49410.2</v>
      </c>
      <c r="G109" s="96">
        <f t="shared" si="14"/>
        <v>-50151.352999999988</v>
      </c>
      <c r="H109" s="96">
        <f t="shared" si="14"/>
        <v>-50903.623294999983</v>
      </c>
      <c r="I109" s="96">
        <f t="shared" si="14"/>
        <v>-51667.17764442497</v>
      </c>
      <c r="J109" s="96">
        <f t="shared" si="14"/>
        <v>-52442.185309091343</v>
      </c>
      <c r="K109" s="96">
        <f t="shared" si="14"/>
        <v>-53228.818088727698</v>
      </c>
      <c r="L109" s="96">
        <f t="shared" si="14"/>
        <v>-54027.250360058606</v>
      </c>
      <c r="M109" s="96">
        <f t="shared" si="14"/>
        <v>-54837.659115459479</v>
      </c>
      <c r="N109" s="96">
        <f t="shared" si="14"/>
        <v>-55660.224002191368</v>
      </c>
      <c r="O109" s="96">
        <f t="shared" si="14"/>
        <v>-56495.12736222423</v>
      </c>
      <c r="P109" s="96">
        <f t="shared" si="14"/>
        <v>-57342.554272657588</v>
      </c>
      <c r="Q109" s="96">
        <f t="shared" si="14"/>
        <v>-58202.692586747442</v>
      </c>
      <c r="R109" s="96">
        <f t="shared" si="14"/>
        <v>-59075.73297554865</v>
      </c>
      <c r="S109" s="96">
        <f t="shared" si="14"/>
        <v>-59961.868970181858</v>
      </c>
      <c r="T109" s="96">
        <f t="shared" si="14"/>
        <v>-60861.297004734581</v>
      </c>
      <c r="U109" s="96">
        <f t="shared" si="14"/>
        <v>-61774.21645980559</v>
      </c>
      <c r="V109" s="96">
        <f t="shared" si="14"/>
        <v>-62700.829706702665</v>
      </c>
      <c r="W109" s="96">
        <f t="shared" si="14"/>
        <v>-63641.342152303201</v>
      </c>
      <c r="X109" s="96">
        <f t="shared" si="14"/>
        <v>-64595.962284587746</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-48680</v>
      </c>
      <c r="F110" s="105">
        <f t="shared" ref="F110:AR110" si="15">SUM(F108:F109)</f>
        <v>-49410.2</v>
      </c>
      <c r="G110" s="105">
        <f t="shared" si="15"/>
        <v>-50151.352999999988</v>
      </c>
      <c r="H110" s="105">
        <f t="shared" si="15"/>
        <v>-50903.623294999983</v>
      </c>
      <c r="I110" s="105">
        <f t="shared" si="15"/>
        <v>-51667.17764442497</v>
      </c>
      <c r="J110" s="105">
        <f t="shared" si="15"/>
        <v>-52442.185309091343</v>
      </c>
      <c r="K110" s="105">
        <f t="shared" si="15"/>
        <v>-53228.818088727698</v>
      </c>
      <c r="L110" s="105">
        <f t="shared" si="15"/>
        <v>-54027.250360058606</v>
      </c>
      <c r="M110" s="105">
        <f t="shared" si="15"/>
        <v>-54837.659115459479</v>
      </c>
      <c r="N110" s="105">
        <f t="shared" si="15"/>
        <v>-55660.224002191368</v>
      </c>
      <c r="O110" s="105">
        <f t="shared" si="15"/>
        <v>-56495.12736222423</v>
      </c>
      <c r="P110" s="105">
        <f t="shared" si="15"/>
        <v>-57342.554272657588</v>
      </c>
      <c r="Q110" s="105">
        <f t="shared" si="15"/>
        <v>-58202.692586747442</v>
      </c>
      <c r="R110" s="105">
        <f t="shared" si="15"/>
        <v>-59075.73297554865</v>
      </c>
      <c r="S110" s="105">
        <f t="shared" si="15"/>
        <v>-59961.868970181858</v>
      </c>
      <c r="T110" s="105">
        <f t="shared" si="15"/>
        <v>-10641.297004734581</v>
      </c>
      <c r="U110" s="105">
        <f t="shared" si="15"/>
        <v>-11554.21645980559</v>
      </c>
      <c r="V110" s="105">
        <f t="shared" si="15"/>
        <v>-12480.829706702665</v>
      </c>
      <c r="W110" s="105">
        <f t="shared" si="15"/>
        <v>-13421.342152303201</v>
      </c>
      <c r="X110" s="105">
        <f t="shared" si="15"/>
        <v>-14375.962284587746</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-167013.33333333331</v>
      </c>
      <c r="F117" s="110">
        <f t="shared" ref="F117:AR117" si="20">F110+F112+F113</f>
        <v>-165929.65590552217</v>
      </c>
      <c r="G117" s="110">
        <f t="shared" si="20"/>
        <v>-164793.44576773763</v>
      </c>
      <c r="H117" s="110">
        <f t="shared" si="20"/>
        <v>-163602.64521513061</v>
      </c>
      <c r="I117" s="110">
        <f t="shared" si="20"/>
        <v>-162355.12123728235</v>
      </c>
      <c r="J117" s="110">
        <f t="shared" si="20"/>
        <v>-161048.66283322091</v>
      </c>
      <c r="K117" s="110">
        <f t="shared" si="20"/>
        <v>-159680.97823172397</v>
      </c>
      <c r="L117" s="110">
        <f t="shared" si="20"/>
        <v>-158249.69201358195</v>
      </c>
      <c r="M117" s="110">
        <f t="shared" si="20"/>
        <v>-156752.34213237831</v>
      </c>
      <c r="N117" s="110">
        <f t="shared" si="20"/>
        <v>-155186.37683022456</v>
      </c>
      <c r="O117" s="110">
        <f t="shared" si="20"/>
        <v>-153549.15144476073</v>
      </c>
      <c r="P117" s="110">
        <f t="shared" si="20"/>
        <v>-151837.92510360506</v>
      </c>
      <c r="Q117" s="110">
        <f t="shared" si="20"/>
        <v>-150049.85730230025</v>
      </c>
      <c r="R117" s="110">
        <f t="shared" si="20"/>
        <v>-148182.00436166799</v>
      </c>
      <c r="S117" s="110">
        <f t="shared" si="20"/>
        <v>-146231.31576033757</v>
      </c>
      <c r="T117" s="110">
        <f t="shared" si="20"/>
        <v>-10641.297004734581</v>
      </c>
      <c r="U117" s="110">
        <f t="shared" si="20"/>
        <v>-11554.21645980559</v>
      </c>
      <c r="V117" s="110">
        <f t="shared" si="20"/>
        <v>-12480.829706702665</v>
      </c>
      <c r="W117" s="110">
        <f t="shared" si="20"/>
        <v>-13421.342152303201</v>
      </c>
      <c r="X117" s="110">
        <f t="shared" si="20"/>
        <v>-14375.962284587746</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25051.999999999996</v>
      </c>
      <c r="F118" s="112">
        <f t="shared" si="21"/>
        <v>24889.448385828324</v>
      </c>
      <c r="G118" s="112">
        <f t="shared" si="21"/>
        <v>24719.016865160644</v>
      </c>
      <c r="H118" s="112">
        <f t="shared" si="21"/>
        <v>24540.396782269592</v>
      </c>
      <c r="I118" s="112">
        <f t="shared" si="21"/>
        <v>24353.268185592351</v>
      </c>
      <c r="J118" s="112">
        <f t="shared" si="21"/>
        <v>24157.299424983135</v>
      </c>
      <c r="K118" s="112">
        <f t="shared" si="21"/>
        <v>23952.146734758597</v>
      </c>
      <c r="L118" s="112">
        <f t="shared" si="21"/>
        <v>23737.453802037293</v>
      </c>
      <c r="M118" s="112">
        <f t="shared" si="21"/>
        <v>23512.851319856745</v>
      </c>
      <c r="N118" s="112">
        <f t="shared" si="21"/>
        <v>23277.956524533682</v>
      </c>
      <c r="O118" s="112">
        <f t="shared" si="21"/>
        <v>23032.372716714108</v>
      </c>
      <c r="P118" s="112">
        <f t="shared" si="21"/>
        <v>22775.688765540759</v>
      </c>
      <c r="Q118" s="112">
        <f t="shared" si="21"/>
        <v>22507.478595345037</v>
      </c>
      <c r="R118" s="112">
        <f t="shared" si="21"/>
        <v>22227.300654250197</v>
      </c>
      <c r="S118" s="112">
        <f t="shared" si="21"/>
        <v>21934.697364050637</v>
      </c>
      <c r="T118" s="112">
        <f t="shared" si="21"/>
        <v>1596.1945507101871</v>
      </c>
      <c r="U118" s="112">
        <f t="shared" si="21"/>
        <v>1733.1324689708383</v>
      </c>
      <c r="V118" s="112">
        <f t="shared" si="21"/>
        <v>1872.1244560053997</v>
      </c>
      <c r="W118" s="112">
        <f t="shared" si="21"/>
        <v>2013.20132284548</v>
      </c>
      <c r="X118" s="112">
        <f t="shared" si="21"/>
        <v>2156.3943426881619</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-110453.06936603296</v>
      </c>
      <c r="F120" s="116">
        <f t="shared" si="22"/>
        <v>-111345.82098020465</v>
      </c>
      <c r="G120" s="116">
        <f t="shared" si="22"/>
        <v>-112257.40550087232</v>
      </c>
      <c r="H120" s="116">
        <f t="shared" si="22"/>
        <v>-113188.29587876337</v>
      </c>
      <c r="I120" s="116">
        <f t="shared" si="22"/>
        <v>-114138.97882486557</v>
      </c>
      <c r="J120" s="116">
        <f t="shared" si="22"/>
        <v>-115109.95525014117</v>
      </c>
      <c r="K120" s="116">
        <f t="shared" si="22"/>
        <v>-116101.74072000207</v>
      </c>
      <c r="L120" s="116">
        <f t="shared" si="22"/>
        <v>-117114.86592405429</v>
      </c>
      <c r="M120" s="116">
        <f t="shared" si="22"/>
        <v>-118149.8771616357</v>
      </c>
      <c r="N120" s="116">
        <f t="shared" si="22"/>
        <v>-119207.33684369063</v>
      </c>
      <c r="O120" s="116">
        <f t="shared" si="22"/>
        <v>-120287.8240115431</v>
      </c>
      <c r="P120" s="116">
        <f t="shared" si="22"/>
        <v>-121391.9348731498</v>
      </c>
      <c r="Q120" s="116">
        <f t="shared" si="22"/>
        <v>-122520.28335743536</v>
      </c>
      <c r="R120" s="116">
        <f t="shared" si="22"/>
        <v>-123673.50168733142</v>
      </c>
      <c r="S120" s="116">
        <f t="shared" si="22"/>
        <v>-124852.24097216417</v>
      </c>
      <c r="T120" s="116">
        <f t="shared" si="22"/>
        <v>-9045.1024540243943</v>
      </c>
      <c r="U120" s="116">
        <f t="shared" si="22"/>
        <v>-9821.0839908347516</v>
      </c>
      <c r="V120" s="116">
        <f t="shared" si="22"/>
        <v>-10608.705250697265</v>
      </c>
      <c r="W120" s="116">
        <f t="shared" si="22"/>
        <v>-11408.140829457721</v>
      </c>
      <c r="X120" s="116">
        <f t="shared" si="22"/>
        <v>-12219.567941899584</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-23628.000000000004</v>
      </c>
      <c r="F121" s="121">
        <f t="shared" ref="F121:AR121" si="23">F110+F118</f>
        <v>-24520.751614171673</v>
      </c>
      <c r="G121" s="121">
        <f t="shared" si="23"/>
        <v>-25432.336134839345</v>
      </c>
      <c r="H121" s="121">
        <f t="shared" si="23"/>
        <v>-26363.226512730391</v>
      </c>
      <c r="I121" s="121">
        <f t="shared" si="23"/>
        <v>-27313.909458832619</v>
      </c>
      <c r="J121" s="121">
        <f t="shared" si="23"/>
        <v>-28284.885884108207</v>
      </c>
      <c r="K121" s="121">
        <f t="shared" si="23"/>
        <v>-29276.671353969101</v>
      </c>
      <c r="L121" s="121">
        <f t="shared" si="23"/>
        <v>-30289.796558021313</v>
      </c>
      <c r="M121" s="121">
        <f t="shared" si="23"/>
        <v>-31324.807795602734</v>
      </c>
      <c r="N121" s="121">
        <f t="shared" si="23"/>
        <v>-32382.267477657686</v>
      </c>
      <c r="O121" s="121">
        <f t="shared" si="23"/>
        <v>-33462.754645510126</v>
      </c>
      <c r="P121" s="121">
        <f t="shared" si="23"/>
        <v>-34566.865507116832</v>
      </c>
      <c r="Q121" s="121">
        <f t="shared" si="23"/>
        <v>-35695.213991402401</v>
      </c>
      <c r="R121" s="121">
        <f t="shared" si="23"/>
        <v>-36848.432321298453</v>
      </c>
      <c r="S121" s="121">
        <f t="shared" si="23"/>
        <v>-38027.171606131218</v>
      </c>
      <c r="T121" s="121">
        <f t="shared" si="23"/>
        <v>-9045.1024540243943</v>
      </c>
      <c r="U121" s="121">
        <f t="shared" si="23"/>
        <v>-9821.0839908347516</v>
      </c>
      <c r="V121" s="121">
        <f t="shared" si="23"/>
        <v>-10608.705250697265</v>
      </c>
      <c r="W121" s="121">
        <f t="shared" si="23"/>
        <v>-11408.140829457721</v>
      </c>
      <c r="X121" s="121">
        <f t="shared" si="23"/>
        <v>-12219.567941899584</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-110453.06936603296</v>
      </c>
      <c r="F122" s="121">
        <f t="shared" ref="F122:AR122" si="24">F120</f>
        <v>-111345.82098020465</v>
      </c>
      <c r="G122" s="121">
        <f t="shared" si="24"/>
        <v>-112257.40550087232</v>
      </c>
      <c r="H122" s="121">
        <f t="shared" si="24"/>
        <v>-113188.29587876337</v>
      </c>
      <c r="I122" s="121">
        <f t="shared" si="24"/>
        <v>-114138.97882486557</v>
      </c>
      <c r="J122" s="121">
        <f t="shared" si="24"/>
        <v>-115109.95525014117</v>
      </c>
      <c r="K122" s="121">
        <f t="shared" si="24"/>
        <v>-116101.74072000207</v>
      </c>
      <c r="L122" s="121">
        <f t="shared" si="24"/>
        <v>-117114.86592405429</v>
      </c>
      <c r="M122" s="121">
        <f t="shared" si="24"/>
        <v>-118149.8771616357</v>
      </c>
      <c r="N122" s="121">
        <f t="shared" si="24"/>
        <v>-119207.33684369063</v>
      </c>
      <c r="O122" s="121">
        <f t="shared" si="24"/>
        <v>-120287.8240115431</v>
      </c>
      <c r="P122" s="121">
        <f t="shared" si="24"/>
        <v>-121391.9348731498</v>
      </c>
      <c r="Q122" s="121">
        <f t="shared" si="24"/>
        <v>-122520.28335743536</v>
      </c>
      <c r="R122" s="121">
        <f t="shared" si="24"/>
        <v>-123673.50168733142</v>
      </c>
      <c r="S122" s="121">
        <f t="shared" si="24"/>
        <v>-124852.24097216417</v>
      </c>
      <c r="T122" s="121">
        <f t="shared" si="24"/>
        <v>-9045.1024540243943</v>
      </c>
      <c r="U122" s="121">
        <f t="shared" si="24"/>
        <v>-9821.0839908347516</v>
      </c>
      <c r="V122" s="121">
        <f t="shared" si="24"/>
        <v>-10608.705250697265</v>
      </c>
      <c r="W122" s="121">
        <f t="shared" si="24"/>
        <v>-11408.140829457721</v>
      </c>
      <c r="X122" s="121">
        <f t="shared" si="24"/>
        <v>-12219.567941899584</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1620000</v>
      </c>
      <c r="F123" s="123">
        <f t="shared" si="25"/>
        <v>1620000</v>
      </c>
      <c r="G123" s="123">
        <f t="shared" si="25"/>
        <v>1620000</v>
      </c>
      <c r="H123" s="123">
        <f t="shared" si="25"/>
        <v>1620000</v>
      </c>
      <c r="I123" s="123">
        <f t="shared" si="25"/>
        <v>1620000</v>
      </c>
      <c r="J123" s="123">
        <f t="shared" si="25"/>
        <v>1620000</v>
      </c>
      <c r="K123" s="123">
        <f t="shared" si="25"/>
        <v>1620000</v>
      </c>
      <c r="L123" s="123">
        <f t="shared" si="25"/>
        <v>1620000</v>
      </c>
      <c r="M123" s="123">
        <f t="shared" si="25"/>
        <v>1620000</v>
      </c>
      <c r="N123" s="123">
        <f t="shared" si="25"/>
        <v>1620000</v>
      </c>
      <c r="O123" s="123">
        <f t="shared" si="25"/>
        <v>1620000</v>
      </c>
      <c r="P123" s="123">
        <f t="shared" si="25"/>
        <v>1620000</v>
      </c>
      <c r="Q123" s="123">
        <f t="shared" si="25"/>
        <v>1620000</v>
      </c>
      <c r="R123" s="123">
        <f t="shared" si="25"/>
        <v>1620000</v>
      </c>
      <c r="S123" s="123">
        <f t="shared" si="25"/>
        <v>1620000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1157100</v>
      </c>
      <c r="F124" s="143">
        <f t="shared" ref="F124:Y124" si="26">E124-($C$5*F97+F109+F113)</f>
        <v>1063116.3225721889</v>
      </c>
      <c r="G124" s="143">
        <f t="shared" si="26"/>
        <v>967996.43500659324</v>
      </c>
      <c r="H124" s="143">
        <f t="shared" si="26"/>
        <v>871685.74688839051</v>
      </c>
      <c r="I124" s="143">
        <f t="shared" si="26"/>
        <v>774127.53479233955</v>
      </c>
      <c r="J124" s="143">
        <f t="shared" si="26"/>
        <v>675262.8642922272</v>
      </c>
      <c r="K124" s="143">
        <f t="shared" si="26"/>
        <v>575030.50919061783</v>
      </c>
      <c r="L124" s="143">
        <f t="shared" si="26"/>
        <v>473366.86787086644</v>
      </c>
      <c r="M124" s="143">
        <f t="shared" si="26"/>
        <v>370205.87666991143</v>
      </c>
      <c r="N124" s="143">
        <f t="shared" si="26"/>
        <v>265478.92016680265</v>
      </c>
      <c r="O124" s="143">
        <f t="shared" si="26"/>
        <v>159114.73827823007</v>
      </c>
      <c r="P124" s="143">
        <f t="shared" si="26"/>
        <v>51039.330048501797</v>
      </c>
      <c r="Q124" s="143">
        <f t="shared" si="26"/>
        <v>-58824.145982531292</v>
      </c>
      <c r="R124" s="143">
        <f t="shared" si="26"/>
        <v>-170555.4749541966</v>
      </c>
      <c r="S124" s="143">
        <f t="shared" si="26"/>
        <v>-284237.4925271924</v>
      </c>
      <c r="T124" s="143">
        <f t="shared" si="26"/>
        <v>-399956.19552245783</v>
      </c>
      <c r="U124" s="143">
        <f t="shared" si="26"/>
        <v>-514761.97906265222</v>
      </c>
      <c r="V124" s="143">
        <f t="shared" si="26"/>
        <v>-628641.1493559496</v>
      </c>
      <c r="W124" s="143">
        <f t="shared" si="26"/>
        <v>-741579.8072036464</v>
      </c>
      <c r="X124" s="143">
        <f t="shared" si="26"/>
        <v>-853563.84491905861</v>
      </c>
      <c r="Y124" s="143">
        <f t="shared" si="26"/>
        <v>-853563.84491905861</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1.4730768536539294</v>
      </c>
      <c r="F125" s="310">
        <f>IF(F91&gt;$C$76,"",(F110+F97*$C$5)/-F115)</f>
        <v>1.4646668402173533</v>
      </c>
      <c r="G125" s="310">
        <f t="shared" ref="G125:AR125" si="27">IF(G91&gt;$C$76,"",(G110+G97*$C$5)/-G115)</f>
        <v>1.4561306765792281</v>
      </c>
      <c r="H125" s="310">
        <f t="shared" si="27"/>
        <v>1.4474664704865319</v>
      </c>
      <c r="I125" s="310">
        <f t="shared" si="27"/>
        <v>1.4386723013024447</v>
      </c>
      <c r="J125" s="310">
        <f t="shared" si="27"/>
        <v>1.4297462195805961</v>
      </c>
      <c r="K125" s="310">
        <f t="shared" si="27"/>
        <v>1.4206862466329202</v>
      </c>
      <c r="L125" s="310">
        <f t="shared" si="27"/>
        <v>1.411490374091029</v>
      </c>
      <c r="M125" s="310">
        <f t="shared" si="27"/>
        <v>1.4021565634610094</v>
      </c>
      <c r="N125" s="310">
        <f t="shared" si="27"/>
        <v>1.3926827456715394</v>
      </c>
      <c r="O125" s="310">
        <f t="shared" si="27"/>
        <v>1.383066820615227</v>
      </c>
      <c r="P125" s="310">
        <f t="shared" si="27"/>
        <v>1.3733066566830705</v>
      </c>
      <c r="Q125" s="310">
        <f t="shared" si="27"/>
        <v>1.3634000902919317</v>
      </c>
      <c r="R125" s="310">
        <f t="shared" si="27"/>
        <v>1.3533449254049255</v>
      </c>
      <c r="S125" s="310">
        <f t="shared" si="27"/>
        <v>1.3431389330446146</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-872846.72721206141</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10296629.151912572</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1.4102021811810901</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4.4% / 2.9%</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1620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14" priority="5" operator="containsText" text="Pas op">
      <formula>NOT(ISERROR(SEARCH("Pas op",G1)))</formula>
    </cfRule>
  </conditionalFormatting>
  <conditionalFormatting sqref="G165">
    <cfRule type="containsText" dxfId="13" priority="4" operator="containsText" text="Pas op">
      <formula>NOT(ISERROR(SEARCH("Pas op",G165)))</formula>
    </cfRule>
  </conditionalFormatting>
  <conditionalFormatting sqref="G144 G147:G149">
    <cfRule type="containsText" dxfId="12" priority="3" operator="containsText" text="Pas op">
      <formula>NOT(ISERROR(SEARCH("Pas op",G144)))</formula>
    </cfRule>
  </conditionalFormatting>
  <conditionalFormatting sqref="G84">
    <cfRule type="containsText" dxfId="11" priority="2" operator="containsText" text="Pas op">
      <formula>NOT(ISERROR(SEARCH("Pas op",G84)))</formula>
    </cfRule>
  </conditionalFormatting>
  <conditionalFormatting sqref="G83">
    <cfRule type="containsText" dxfId="10"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9C4178FD-8498-4BD4-9510-C60C9CC04929}">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54D1-BD47-424B-8A69-D4DE7B12CEAC}">
  <sheetPr codeName="Sheet100">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387</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0.1168</v>
      </c>
      <c r="D5" s="130" t="str">
        <f>CONCATENATE("Euro/",$C$9)</f>
        <v>Euro/kWh</v>
      </c>
      <c r="E5" s="385"/>
      <c r="F5" s="386"/>
      <c r="G5" s="386"/>
      <c r="H5" s="386"/>
      <c r="I5" s="386"/>
      <c r="J5" s="386"/>
      <c r="K5" s="386"/>
      <c r="L5" s="386"/>
      <c r="M5" s="387"/>
      <c r="N5" s="31"/>
    </row>
    <row r="6" spans="1:26" x14ac:dyDescent="0.2">
      <c r="B6" s="3" t="s">
        <v>106</v>
      </c>
      <c r="C6" s="131">
        <f>ROUND((C5-C7)/C8*1000,0)</f>
        <v>398</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1500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1500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0.104</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1500000</v>
      </c>
      <c r="F94" s="93">
        <f t="shared" si="1"/>
        <v>1500000</v>
      </c>
      <c r="G94" s="93">
        <f t="shared" si="1"/>
        <v>1500000</v>
      </c>
      <c r="H94" s="93">
        <f t="shared" si="1"/>
        <v>1500000</v>
      </c>
      <c r="I94" s="93">
        <f t="shared" si="1"/>
        <v>1500000</v>
      </c>
      <c r="J94" s="93">
        <f t="shared" si="1"/>
        <v>1500000</v>
      </c>
      <c r="K94" s="93">
        <f t="shared" si="1"/>
        <v>1500000</v>
      </c>
      <c r="L94" s="93">
        <f t="shared" si="1"/>
        <v>1500000</v>
      </c>
      <c r="M94" s="93">
        <f t="shared" si="1"/>
        <v>1500000</v>
      </c>
      <c r="N94" s="93">
        <f t="shared" si="1"/>
        <v>1500000</v>
      </c>
      <c r="O94" s="93">
        <f t="shared" si="1"/>
        <v>1500000</v>
      </c>
      <c r="P94" s="93">
        <f t="shared" si="1"/>
        <v>1500000</v>
      </c>
      <c r="Q94" s="93">
        <f t="shared" si="1"/>
        <v>1500000</v>
      </c>
      <c r="R94" s="93">
        <f t="shared" si="1"/>
        <v>1500000</v>
      </c>
      <c r="S94" s="93">
        <f t="shared" si="1"/>
        <v>1500000</v>
      </c>
      <c r="T94" s="93">
        <f t="shared" si="1"/>
        <v>1500000</v>
      </c>
      <c r="U94" s="93">
        <f t="shared" si="1"/>
        <v>1500000</v>
      </c>
      <c r="V94" s="93">
        <f t="shared" si="1"/>
        <v>1500000</v>
      </c>
      <c r="W94" s="93">
        <f t="shared" si="1"/>
        <v>1500000</v>
      </c>
      <c r="X94" s="93">
        <f t="shared" si="1"/>
        <v>1500000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1500000</v>
      </c>
      <c r="F97" s="99">
        <f t="shared" ref="F97:AR97" si="4">SUM(F94:F96)</f>
        <v>1500000</v>
      </c>
      <c r="G97" s="99">
        <f t="shared" si="4"/>
        <v>1500000</v>
      </c>
      <c r="H97" s="99">
        <f t="shared" si="4"/>
        <v>1500000</v>
      </c>
      <c r="I97" s="99">
        <f t="shared" si="4"/>
        <v>1500000</v>
      </c>
      <c r="J97" s="99">
        <f t="shared" si="4"/>
        <v>1500000</v>
      </c>
      <c r="K97" s="99">
        <f t="shared" si="4"/>
        <v>1500000</v>
      </c>
      <c r="L97" s="99">
        <f t="shared" si="4"/>
        <v>1500000</v>
      </c>
      <c r="M97" s="99">
        <f t="shared" si="4"/>
        <v>1500000</v>
      </c>
      <c r="N97" s="99">
        <f t="shared" si="4"/>
        <v>1500000</v>
      </c>
      <c r="O97" s="99">
        <f t="shared" si="4"/>
        <v>1500000</v>
      </c>
      <c r="P97" s="99">
        <f t="shared" si="4"/>
        <v>1500000</v>
      </c>
      <c r="Q97" s="99">
        <f t="shared" si="4"/>
        <v>1500000</v>
      </c>
      <c r="R97" s="99">
        <f t="shared" si="4"/>
        <v>1500000</v>
      </c>
      <c r="S97" s="99">
        <f t="shared" si="4"/>
        <v>1500000</v>
      </c>
      <c r="T97" s="99">
        <f t="shared" si="4"/>
        <v>1500000</v>
      </c>
      <c r="U97" s="99">
        <f t="shared" si="4"/>
        <v>1500000</v>
      </c>
      <c r="V97" s="99">
        <f t="shared" si="4"/>
        <v>1500000</v>
      </c>
      <c r="W97" s="99">
        <f t="shared" si="4"/>
        <v>1500000</v>
      </c>
      <c r="X97" s="99">
        <f t="shared" si="4"/>
        <v>1500000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-47000</v>
      </c>
      <c r="F99" s="93">
        <f t="shared" si="5"/>
        <v>-47704.999999999993</v>
      </c>
      <c r="G99" s="93">
        <f t="shared" si="5"/>
        <v>-48420.57499999999</v>
      </c>
      <c r="H99" s="93">
        <f t="shared" si="5"/>
        <v>-49146.88362499998</v>
      </c>
      <c r="I99" s="93">
        <f t="shared" si="5"/>
        <v>-49884.086879374976</v>
      </c>
      <c r="J99" s="93">
        <f t="shared" si="5"/>
        <v>-50632.348182565591</v>
      </c>
      <c r="K99" s="93">
        <f t="shared" si="5"/>
        <v>-51391.833405304067</v>
      </c>
      <c r="L99" s="93">
        <f t="shared" si="5"/>
        <v>-52162.710906383618</v>
      </c>
      <c r="M99" s="93">
        <f t="shared" si="5"/>
        <v>-52945.151569979367</v>
      </c>
      <c r="N99" s="93">
        <f t="shared" si="5"/>
        <v>-53739.328843529052</v>
      </c>
      <c r="O99" s="93">
        <f t="shared" si="5"/>
        <v>-54545.418776181985</v>
      </c>
      <c r="P99" s="93">
        <f t="shared" si="5"/>
        <v>-55363.600057824704</v>
      </c>
      <c r="Q99" s="93">
        <f t="shared" si="5"/>
        <v>-56194.054058692062</v>
      </c>
      <c r="R99" s="93">
        <f t="shared" si="5"/>
        <v>-57036.964869572439</v>
      </c>
      <c r="S99" s="93">
        <f t="shared" si="5"/>
        <v>-57892.519342616011</v>
      </c>
      <c r="T99" s="93">
        <f t="shared" si="5"/>
        <v>-58760.907132755245</v>
      </c>
      <c r="U99" s="93">
        <f t="shared" si="5"/>
        <v>-59642.320739746567</v>
      </c>
      <c r="V99" s="93">
        <f t="shared" si="5"/>
        <v>-60536.955550842758</v>
      </c>
      <c r="W99" s="93">
        <f t="shared" si="5"/>
        <v>-61445.009884105391</v>
      </c>
      <c r="X99" s="93">
        <f t="shared" si="5"/>
        <v>-62366.685032366971</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46500</v>
      </c>
      <c r="U106" s="105">
        <f t="shared" si="12"/>
        <v>46500</v>
      </c>
      <c r="V106" s="105">
        <f t="shared" si="12"/>
        <v>46500</v>
      </c>
      <c r="W106" s="105">
        <f t="shared" si="12"/>
        <v>46500</v>
      </c>
      <c r="X106" s="105">
        <f t="shared" si="12"/>
        <v>46500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46500</v>
      </c>
      <c r="U108" s="93">
        <f t="shared" si="13"/>
        <v>46500</v>
      </c>
      <c r="V108" s="93">
        <f t="shared" si="13"/>
        <v>46500</v>
      </c>
      <c r="W108" s="93">
        <f t="shared" si="13"/>
        <v>46500</v>
      </c>
      <c r="X108" s="93">
        <f t="shared" si="13"/>
        <v>46500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-47000</v>
      </c>
      <c r="F109" s="96">
        <f t="shared" si="14"/>
        <v>-47704.999999999993</v>
      </c>
      <c r="G109" s="96">
        <f t="shared" si="14"/>
        <v>-48420.57499999999</v>
      </c>
      <c r="H109" s="96">
        <f t="shared" si="14"/>
        <v>-49146.88362499998</v>
      </c>
      <c r="I109" s="96">
        <f t="shared" si="14"/>
        <v>-49884.086879374976</v>
      </c>
      <c r="J109" s="96">
        <f t="shared" si="14"/>
        <v>-50632.348182565591</v>
      </c>
      <c r="K109" s="96">
        <f t="shared" si="14"/>
        <v>-51391.833405304067</v>
      </c>
      <c r="L109" s="96">
        <f t="shared" si="14"/>
        <v>-52162.710906383618</v>
      </c>
      <c r="M109" s="96">
        <f t="shared" si="14"/>
        <v>-52945.151569979367</v>
      </c>
      <c r="N109" s="96">
        <f t="shared" si="14"/>
        <v>-53739.328843529052</v>
      </c>
      <c r="O109" s="96">
        <f t="shared" si="14"/>
        <v>-54545.418776181985</v>
      </c>
      <c r="P109" s="96">
        <f t="shared" si="14"/>
        <v>-55363.600057824704</v>
      </c>
      <c r="Q109" s="96">
        <f t="shared" si="14"/>
        <v>-56194.054058692062</v>
      </c>
      <c r="R109" s="96">
        <f t="shared" si="14"/>
        <v>-57036.964869572439</v>
      </c>
      <c r="S109" s="96">
        <f t="shared" si="14"/>
        <v>-57892.519342616011</v>
      </c>
      <c r="T109" s="96">
        <f t="shared" si="14"/>
        <v>-58760.907132755245</v>
      </c>
      <c r="U109" s="96">
        <f t="shared" si="14"/>
        <v>-59642.320739746567</v>
      </c>
      <c r="V109" s="96">
        <f t="shared" si="14"/>
        <v>-60536.955550842758</v>
      </c>
      <c r="W109" s="96">
        <f t="shared" si="14"/>
        <v>-61445.009884105391</v>
      </c>
      <c r="X109" s="96">
        <f t="shared" si="14"/>
        <v>-62366.685032366971</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-47000</v>
      </c>
      <c r="F110" s="105">
        <f t="shared" ref="F110:AR110" si="15">SUM(F108:F109)</f>
        <v>-47704.999999999993</v>
      </c>
      <c r="G110" s="105">
        <f t="shared" si="15"/>
        <v>-48420.57499999999</v>
      </c>
      <c r="H110" s="105">
        <f t="shared" si="15"/>
        <v>-49146.88362499998</v>
      </c>
      <c r="I110" s="105">
        <f t="shared" si="15"/>
        <v>-49884.086879374976</v>
      </c>
      <c r="J110" s="105">
        <f t="shared" si="15"/>
        <v>-50632.348182565591</v>
      </c>
      <c r="K110" s="105">
        <f t="shared" si="15"/>
        <v>-51391.833405304067</v>
      </c>
      <c r="L110" s="105">
        <f t="shared" si="15"/>
        <v>-52162.710906383618</v>
      </c>
      <c r="M110" s="105">
        <f t="shared" si="15"/>
        <v>-52945.151569979367</v>
      </c>
      <c r="N110" s="105">
        <f t="shared" si="15"/>
        <v>-53739.328843529052</v>
      </c>
      <c r="O110" s="105">
        <f t="shared" si="15"/>
        <v>-54545.418776181985</v>
      </c>
      <c r="P110" s="105">
        <f t="shared" si="15"/>
        <v>-55363.600057824704</v>
      </c>
      <c r="Q110" s="105">
        <f t="shared" si="15"/>
        <v>-56194.054058692062</v>
      </c>
      <c r="R110" s="105">
        <f t="shared" si="15"/>
        <v>-57036.964869572439</v>
      </c>
      <c r="S110" s="105">
        <f t="shared" si="15"/>
        <v>-57892.519342616011</v>
      </c>
      <c r="T110" s="105">
        <f t="shared" si="15"/>
        <v>-12260.907132755245</v>
      </c>
      <c r="U110" s="105">
        <f t="shared" si="15"/>
        <v>-13142.320739746567</v>
      </c>
      <c r="V110" s="105">
        <f t="shared" si="15"/>
        <v>-14036.955550842758</v>
      </c>
      <c r="W110" s="105">
        <f t="shared" si="15"/>
        <v>-14945.009884105391</v>
      </c>
      <c r="X110" s="105">
        <f t="shared" si="15"/>
        <v>-15866.685032366971</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-165333.33333333331</v>
      </c>
      <c r="F117" s="110">
        <f t="shared" ref="F117:AR117" si="20">F110+F112+F113</f>
        <v>-164224.45590552216</v>
      </c>
      <c r="G117" s="110">
        <f t="shared" si="20"/>
        <v>-163062.66776773764</v>
      </c>
      <c r="H117" s="110">
        <f t="shared" si="20"/>
        <v>-161845.9055451306</v>
      </c>
      <c r="I117" s="110">
        <f t="shared" si="20"/>
        <v>-160572.03047223235</v>
      </c>
      <c r="J117" s="110">
        <f t="shared" si="20"/>
        <v>-159238.82570669515</v>
      </c>
      <c r="K117" s="110">
        <f t="shared" si="20"/>
        <v>-157843.99354830035</v>
      </c>
      <c r="L117" s="110">
        <f t="shared" si="20"/>
        <v>-156385.15255990697</v>
      </c>
      <c r="M117" s="110">
        <f t="shared" si="20"/>
        <v>-154859.83458689821</v>
      </c>
      <c r="N117" s="110">
        <f t="shared" si="20"/>
        <v>-153265.48167156224</v>
      </c>
      <c r="O117" s="110">
        <f t="shared" si="20"/>
        <v>-151599.44285871848</v>
      </c>
      <c r="P117" s="110">
        <f t="shared" si="20"/>
        <v>-149858.97088877216</v>
      </c>
      <c r="Q117" s="110">
        <f t="shared" si="20"/>
        <v>-148041.21877424486</v>
      </c>
      <c r="R117" s="110">
        <f t="shared" si="20"/>
        <v>-146143.23625569179</v>
      </c>
      <c r="S117" s="110">
        <f t="shared" si="20"/>
        <v>-144161.96613277172</v>
      </c>
      <c r="T117" s="110">
        <f t="shared" si="20"/>
        <v>-12260.907132755245</v>
      </c>
      <c r="U117" s="110">
        <f t="shared" si="20"/>
        <v>-13142.320739746567</v>
      </c>
      <c r="V117" s="110">
        <f t="shared" si="20"/>
        <v>-14036.955550842758</v>
      </c>
      <c r="W117" s="110">
        <f t="shared" si="20"/>
        <v>-14945.009884105391</v>
      </c>
      <c r="X117" s="110">
        <f t="shared" si="20"/>
        <v>-15866.685032366971</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24799.999999999996</v>
      </c>
      <c r="F118" s="112">
        <f t="shared" si="21"/>
        <v>24633.668385828325</v>
      </c>
      <c r="G118" s="112">
        <f t="shared" si="21"/>
        <v>24459.400165160645</v>
      </c>
      <c r="H118" s="112">
        <f t="shared" si="21"/>
        <v>24276.885831769589</v>
      </c>
      <c r="I118" s="112">
        <f t="shared" si="21"/>
        <v>24085.804570834851</v>
      </c>
      <c r="J118" s="112">
        <f t="shared" si="21"/>
        <v>23885.82385600427</v>
      </c>
      <c r="K118" s="112">
        <f t="shared" si="21"/>
        <v>23676.599032245053</v>
      </c>
      <c r="L118" s="112">
        <f t="shared" si="21"/>
        <v>23457.772883986047</v>
      </c>
      <c r="M118" s="112">
        <f t="shared" si="21"/>
        <v>23228.975188034732</v>
      </c>
      <c r="N118" s="112">
        <f t="shared" si="21"/>
        <v>22989.822250734334</v>
      </c>
      <c r="O118" s="112">
        <f t="shared" si="21"/>
        <v>22739.91642880777</v>
      </c>
      <c r="P118" s="112">
        <f t="shared" si="21"/>
        <v>22478.845633315825</v>
      </c>
      <c r="Q118" s="112">
        <f t="shared" si="21"/>
        <v>22206.182816136727</v>
      </c>
      <c r="R118" s="112">
        <f t="shared" si="21"/>
        <v>21921.485438353768</v>
      </c>
      <c r="S118" s="112">
        <f t="shared" si="21"/>
        <v>21624.294919915756</v>
      </c>
      <c r="T118" s="112">
        <f t="shared" si="21"/>
        <v>1839.1360699132867</v>
      </c>
      <c r="U118" s="112">
        <f t="shared" si="21"/>
        <v>1971.348110961985</v>
      </c>
      <c r="V118" s="112">
        <f t="shared" si="21"/>
        <v>2105.5433326264138</v>
      </c>
      <c r="W118" s="112">
        <f t="shared" si="21"/>
        <v>2241.7514826158085</v>
      </c>
      <c r="X118" s="112">
        <f t="shared" si="21"/>
        <v>2380.0027548550456</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-109025.06936603296</v>
      </c>
      <c r="F120" s="116">
        <f t="shared" si="22"/>
        <v>-109896.40098020463</v>
      </c>
      <c r="G120" s="116">
        <f t="shared" si="22"/>
        <v>-110786.24420087232</v>
      </c>
      <c r="H120" s="116">
        <f t="shared" si="22"/>
        <v>-111695.06715926336</v>
      </c>
      <c r="I120" s="116">
        <f t="shared" si="22"/>
        <v>-112623.35167457309</v>
      </c>
      <c r="J120" s="116">
        <f t="shared" si="22"/>
        <v>-113571.59369259428</v>
      </c>
      <c r="K120" s="116">
        <f t="shared" si="22"/>
        <v>-114540.30373909196</v>
      </c>
      <c r="L120" s="116">
        <f t="shared" si="22"/>
        <v>-115530.00738843052</v>
      </c>
      <c r="M120" s="116">
        <f t="shared" si="22"/>
        <v>-116541.24574797761</v>
      </c>
      <c r="N120" s="116">
        <f t="shared" si="22"/>
        <v>-117574.57595882767</v>
      </c>
      <c r="O120" s="116">
        <f t="shared" si="22"/>
        <v>-118630.57171340717</v>
      </c>
      <c r="P120" s="116">
        <f t="shared" si="22"/>
        <v>-119709.82379054185</v>
      </c>
      <c r="Q120" s="116">
        <f t="shared" si="22"/>
        <v>-120812.94060858829</v>
      </c>
      <c r="R120" s="116">
        <f t="shared" si="22"/>
        <v>-121940.54879725163</v>
      </c>
      <c r="S120" s="116">
        <f t="shared" si="22"/>
        <v>-123093.29378873319</v>
      </c>
      <c r="T120" s="116">
        <f t="shared" si="22"/>
        <v>-10421.771062841957</v>
      </c>
      <c r="U120" s="116">
        <f t="shared" si="22"/>
        <v>-11170.972628784582</v>
      </c>
      <c r="V120" s="116">
        <f t="shared" si="22"/>
        <v>-11931.412218216345</v>
      </c>
      <c r="W120" s="116">
        <f t="shared" si="22"/>
        <v>-12703.258401489584</v>
      </c>
      <c r="X120" s="116">
        <f t="shared" si="22"/>
        <v>-13486.682277511925</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-22200.000000000004</v>
      </c>
      <c r="F121" s="121">
        <f t="shared" ref="F121:AR121" si="23">F110+F118</f>
        <v>-23071.331614171668</v>
      </c>
      <c r="G121" s="121">
        <f t="shared" si="23"/>
        <v>-23961.174834839345</v>
      </c>
      <c r="H121" s="121">
        <f t="shared" si="23"/>
        <v>-24869.997793230392</v>
      </c>
      <c r="I121" s="121">
        <f t="shared" si="23"/>
        <v>-25798.282308540125</v>
      </c>
      <c r="J121" s="121">
        <f t="shared" si="23"/>
        <v>-26746.524326561321</v>
      </c>
      <c r="K121" s="121">
        <f t="shared" si="23"/>
        <v>-27715.234373059015</v>
      </c>
      <c r="L121" s="121">
        <f t="shared" si="23"/>
        <v>-28704.938022397571</v>
      </c>
      <c r="M121" s="121">
        <f t="shared" si="23"/>
        <v>-29716.176381944635</v>
      </c>
      <c r="N121" s="121">
        <f t="shared" si="23"/>
        <v>-30749.506592794718</v>
      </c>
      <c r="O121" s="121">
        <f t="shared" si="23"/>
        <v>-31805.502347374215</v>
      </c>
      <c r="P121" s="121">
        <f t="shared" si="23"/>
        <v>-32884.754424508879</v>
      </c>
      <c r="Q121" s="121">
        <f t="shared" si="23"/>
        <v>-33987.871242555339</v>
      </c>
      <c r="R121" s="121">
        <f t="shared" si="23"/>
        <v>-35115.479431218671</v>
      </c>
      <c r="S121" s="121">
        <f t="shared" si="23"/>
        <v>-36268.224422700252</v>
      </c>
      <c r="T121" s="121">
        <f t="shared" si="23"/>
        <v>-10421.771062841957</v>
      </c>
      <c r="U121" s="121">
        <f t="shared" si="23"/>
        <v>-11170.972628784582</v>
      </c>
      <c r="V121" s="121">
        <f t="shared" si="23"/>
        <v>-11931.412218216345</v>
      </c>
      <c r="W121" s="121">
        <f t="shared" si="23"/>
        <v>-12703.258401489584</v>
      </c>
      <c r="X121" s="121">
        <f t="shared" si="23"/>
        <v>-13486.682277511925</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-109025.06936603296</v>
      </c>
      <c r="F122" s="121">
        <f t="shared" ref="F122:AR122" si="24">F120</f>
        <v>-109896.40098020463</v>
      </c>
      <c r="G122" s="121">
        <f t="shared" si="24"/>
        <v>-110786.24420087232</v>
      </c>
      <c r="H122" s="121">
        <f t="shared" si="24"/>
        <v>-111695.06715926336</v>
      </c>
      <c r="I122" s="121">
        <f t="shared" si="24"/>
        <v>-112623.35167457309</v>
      </c>
      <c r="J122" s="121">
        <f t="shared" si="24"/>
        <v>-113571.59369259428</v>
      </c>
      <c r="K122" s="121">
        <f t="shared" si="24"/>
        <v>-114540.30373909196</v>
      </c>
      <c r="L122" s="121">
        <f t="shared" si="24"/>
        <v>-115530.00738843052</v>
      </c>
      <c r="M122" s="121">
        <f t="shared" si="24"/>
        <v>-116541.24574797761</v>
      </c>
      <c r="N122" s="121">
        <f t="shared" si="24"/>
        <v>-117574.57595882767</v>
      </c>
      <c r="O122" s="121">
        <f t="shared" si="24"/>
        <v>-118630.57171340717</v>
      </c>
      <c r="P122" s="121">
        <f t="shared" si="24"/>
        <v>-119709.82379054185</v>
      </c>
      <c r="Q122" s="121">
        <f t="shared" si="24"/>
        <v>-120812.94060858829</v>
      </c>
      <c r="R122" s="121">
        <f t="shared" si="24"/>
        <v>-121940.54879725163</v>
      </c>
      <c r="S122" s="121">
        <f t="shared" si="24"/>
        <v>-123093.29378873319</v>
      </c>
      <c r="T122" s="121">
        <f t="shared" si="24"/>
        <v>-10421.771062841957</v>
      </c>
      <c r="U122" s="121">
        <f t="shared" si="24"/>
        <v>-11170.972628784582</v>
      </c>
      <c r="V122" s="121">
        <f t="shared" si="24"/>
        <v>-11931.412218216345</v>
      </c>
      <c r="W122" s="121">
        <f t="shared" si="24"/>
        <v>-12703.258401489584</v>
      </c>
      <c r="X122" s="121">
        <f t="shared" si="24"/>
        <v>-13486.682277511925</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1500000</v>
      </c>
      <c r="F123" s="123">
        <f t="shared" si="25"/>
        <v>1500000</v>
      </c>
      <c r="G123" s="123">
        <f t="shared" si="25"/>
        <v>1500000</v>
      </c>
      <c r="H123" s="123">
        <f t="shared" si="25"/>
        <v>1500000</v>
      </c>
      <c r="I123" s="123">
        <f t="shared" si="25"/>
        <v>1500000</v>
      </c>
      <c r="J123" s="123">
        <f t="shared" si="25"/>
        <v>1500000</v>
      </c>
      <c r="K123" s="123">
        <f t="shared" si="25"/>
        <v>1500000</v>
      </c>
      <c r="L123" s="123">
        <f t="shared" si="25"/>
        <v>1500000</v>
      </c>
      <c r="M123" s="123">
        <f t="shared" si="25"/>
        <v>1500000</v>
      </c>
      <c r="N123" s="123">
        <f t="shared" si="25"/>
        <v>1500000</v>
      </c>
      <c r="O123" s="123">
        <f t="shared" si="25"/>
        <v>1500000</v>
      </c>
      <c r="P123" s="123">
        <f t="shared" si="25"/>
        <v>1500000</v>
      </c>
      <c r="Q123" s="123">
        <f t="shared" si="25"/>
        <v>1500000</v>
      </c>
      <c r="R123" s="123">
        <f t="shared" si="25"/>
        <v>1500000</v>
      </c>
      <c r="S123" s="123">
        <f t="shared" si="25"/>
        <v>1500000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1156800</v>
      </c>
      <c r="F124" s="143">
        <f t="shared" ref="F124:Y124" si="26">E124-($C$5*F97+F109+F113)</f>
        <v>1062491.1225721887</v>
      </c>
      <c r="G124" s="143">
        <f t="shared" si="26"/>
        <v>967020.457006593</v>
      </c>
      <c r="H124" s="143">
        <f t="shared" si="26"/>
        <v>870333.02921839035</v>
      </c>
      <c r="I124" s="143">
        <f t="shared" si="26"/>
        <v>772371.72635728936</v>
      </c>
      <c r="J124" s="143">
        <f t="shared" si="26"/>
        <v>673077.21873065119</v>
      </c>
      <c r="K124" s="143">
        <f t="shared" si="26"/>
        <v>572387.87894561817</v>
      </c>
      <c r="L124" s="143">
        <f t="shared" si="26"/>
        <v>470239.6981721918</v>
      </c>
      <c r="M124" s="143">
        <f t="shared" si="26"/>
        <v>366566.1994257567</v>
      </c>
      <c r="N124" s="143">
        <f t="shared" si="26"/>
        <v>261298.34776398557</v>
      </c>
      <c r="O124" s="143">
        <f t="shared" si="26"/>
        <v>154364.45728937077</v>
      </c>
      <c r="P124" s="143">
        <f t="shared" si="26"/>
        <v>45690.094844809617</v>
      </c>
      <c r="Q124" s="143">
        <f t="shared" si="26"/>
        <v>-64802.019714278838</v>
      </c>
      <c r="R124" s="143">
        <f t="shared" si="26"/>
        <v>-177192.11679192039</v>
      </c>
      <c r="S124" s="143">
        <f t="shared" si="26"/>
        <v>-291563.48399248201</v>
      </c>
      <c r="T124" s="143">
        <f t="shared" si="26"/>
        <v>-408002.5768597268</v>
      </c>
      <c r="U124" s="143">
        <f t="shared" si="26"/>
        <v>-523560.25611998024</v>
      </c>
      <c r="V124" s="143">
        <f t="shared" si="26"/>
        <v>-638223.30056913744</v>
      </c>
      <c r="W124" s="143">
        <f t="shared" si="26"/>
        <v>-751978.29068503203</v>
      </c>
      <c r="X124" s="143">
        <f t="shared" si="26"/>
        <v>-864811.60565266502</v>
      </c>
      <c r="Y124" s="143">
        <f t="shared" si="26"/>
        <v>-864811.60565266502</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1.4765320769228596</v>
      </c>
      <c r="F125" s="310">
        <f>IF(F91&gt;$C$76,"",(F110+F97*$C$5)/-F115)</f>
        <v>1.4684123022408735</v>
      </c>
      <c r="G125" s="310">
        <f t="shared" ref="G125:AR125" si="27">IF(G91&gt;$C$76,"",(G110+G97*$C$5)/-G115)</f>
        <v>1.4601707309386576</v>
      </c>
      <c r="H125" s="310">
        <f t="shared" si="27"/>
        <v>1.4518055360669087</v>
      </c>
      <c r="I125" s="310">
        <f t="shared" si="27"/>
        <v>1.4433148632720834</v>
      </c>
      <c r="J125" s="310">
        <f t="shared" si="27"/>
        <v>1.434696830385336</v>
      </c>
      <c r="K125" s="310">
        <f t="shared" si="27"/>
        <v>1.4259495270052871</v>
      </c>
      <c r="L125" s="310">
        <f t="shared" si="27"/>
        <v>1.4170710140745375</v>
      </c>
      <c r="M125" s="310">
        <f t="shared" si="27"/>
        <v>1.4080593234498266</v>
      </c>
      <c r="N125" s="310">
        <f t="shared" si="27"/>
        <v>1.3989124574657452</v>
      </c>
      <c r="O125" s="310">
        <f t="shared" si="27"/>
        <v>1.3896283884919021</v>
      </c>
      <c r="P125" s="310">
        <f t="shared" si="27"/>
        <v>1.3802050584834518</v>
      </c>
      <c r="Q125" s="310">
        <f t="shared" si="27"/>
        <v>1.3706403785248749</v>
      </c>
      <c r="R125" s="310">
        <f t="shared" si="27"/>
        <v>1.3609322283669192</v>
      </c>
      <c r="S125" s="310">
        <f t="shared" si="27"/>
        <v>1.3510784559565943</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-857359.1315430199</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9480281.3569013663</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1.4158272781097236</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4.5% / 2.9%</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1500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9" priority="5" operator="containsText" text="Pas op">
      <formula>NOT(ISERROR(SEARCH("Pas op",G1)))</formula>
    </cfRule>
  </conditionalFormatting>
  <conditionalFormatting sqref="G165">
    <cfRule type="containsText" dxfId="8" priority="4" operator="containsText" text="Pas op">
      <formula>NOT(ISERROR(SEARCH("Pas op",G165)))</formula>
    </cfRule>
  </conditionalFormatting>
  <conditionalFormatting sqref="G144 G147:G149">
    <cfRule type="containsText" dxfId="7" priority="3" operator="containsText" text="Pas op">
      <formula>NOT(ISERROR(SEARCH("Pas op",G144)))</formula>
    </cfRule>
  </conditionalFormatting>
  <conditionalFormatting sqref="G84">
    <cfRule type="containsText" dxfId="6" priority="2" operator="containsText" text="Pas op">
      <formula>NOT(ISERROR(SEARCH("Pas op",G84)))</formula>
    </cfRule>
  </conditionalFormatting>
  <conditionalFormatting sqref="G83">
    <cfRule type="containsText" dxfId="5"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FB79D70D-401E-431B-8E85-AD53D8F948B2}">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1AD4-B01B-4AA5-ACB0-7F6B4BA6DAC1}">
  <sheetPr codeName="Sheet101">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360</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0.1263</v>
      </c>
      <c r="D5" s="130" t="str">
        <f>CONCATENATE("Euro/",$C$9)</f>
        <v>Euro/kWh</v>
      </c>
      <c r="E5" s="385"/>
      <c r="F5" s="386"/>
      <c r="G5" s="386"/>
      <c r="H5" s="386"/>
      <c r="I5" s="386"/>
      <c r="J5" s="386"/>
      <c r="K5" s="386"/>
      <c r="L5" s="386"/>
      <c r="M5" s="387"/>
      <c r="N5" s="31"/>
    </row>
    <row r="6" spans="1:26" x14ac:dyDescent="0.2">
      <c r="B6" s="3" t="s">
        <v>106</v>
      </c>
      <c r="C6" s="131">
        <f>ROUND((C5-C7)/C8*1000,0)</f>
        <v>377</v>
      </c>
      <c r="D6" s="30" t="s">
        <v>107</v>
      </c>
      <c r="E6" s="385"/>
      <c r="F6" s="386"/>
      <c r="G6" s="386"/>
      <c r="H6" s="386"/>
      <c r="I6" s="386"/>
      <c r="J6" s="386"/>
      <c r="K6" s="386"/>
      <c r="L6" s="386"/>
      <c r="M6" s="387"/>
      <c r="N6" s="31"/>
    </row>
    <row r="7" spans="1:26" x14ac:dyDescent="0.2">
      <c r="B7" s="3" t="s">
        <v>108</v>
      </c>
      <c r="C7" s="325">
        <v>4.4900000000000002E-2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50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50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5000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4800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0.24</v>
      </c>
      <c r="D36" s="41" t="s">
        <v>56</v>
      </c>
      <c r="E36" s="385"/>
      <c r="F36" s="386"/>
      <c r="G36" s="386"/>
      <c r="H36" s="386"/>
      <c r="I36" s="386"/>
      <c r="J36" s="386"/>
      <c r="K36" s="386"/>
      <c r="L36" s="386"/>
      <c r="M36" s="387"/>
    </row>
    <row r="37" spans="1:13" x14ac:dyDescent="0.2">
      <c r="A37" s="37"/>
      <c r="B37" s="12" t="s">
        <v>22</v>
      </c>
      <c r="C37" s="52">
        <v>100</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5</v>
      </c>
      <c r="D39" s="41" t="s">
        <v>57</v>
      </c>
      <c r="E39" s="385"/>
      <c r="F39" s="386"/>
      <c r="G39" s="386"/>
      <c r="H39" s="386"/>
      <c r="I39" s="386"/>
      <c r="J39" s="386"/>
      <c r="K39" s="386"/>
      <c r="L39" s="386"/>
      <c r="M39" s="387"/>
    </row>
    <row r="40" spans="1:13" x14ac:dyDescent="0.2">
      <c r="A40" s="37"/>
      <c r="B40" s="5" t="s">
        <v>24</v>
      </c>
      <c r="C40" s="54">
        <v>2.8999999999999998E-3</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c r="D60" s="35" t="s">
        <v>78</v>
      </c>
      <c r="E60" s="286"/>
      <c r="F60" s="286"/>
      <c r="G60" s="286"/>
      <c r="H60" s="286"/>
      <c r="I60" s="286"/>
      <c r="J60" s="286"/>
      <c r="K60" s="286"/>
      <c r="L60" s="286"/>
      <c r="M60" s="286"/>
    </row>
    <row r="61" spans="1:13" x14ac:dyDescent="0.2">
      <c r="A61" s="37"/>
      <c r="B61" s="4" t="s">
        <v>287</v>
      </c>
      <c r="C61" s="56"/>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0.11</v>
      </c>
      <c r="D70" s="41"/>
      <c r="E70" s="390"/>
      <c r="F70" s="391"/>
      <c r="G70" s="391"/>
      <c r="H70" s="391"/>
      <c r="I70" s="391"/>
      <c r="J70" s="391"/>
      <c r="K70" s="391"/>
      <c r="L70" s="391"/>
      <c r="M70" s="392"/>
    </row>
    <row r="71" spans="1:15" x14ac:dyDescent="0.2">
      <c r="A71" s="37"/>
      <c r="B71" s="5" t="s">
        <v>37</v>
      </c>
      <c r="C71" s="60">
        <v>0.3</v>
      </c>
      <c r="D71" s="41"/>
      <c r="E71" s="390"/>
      <c r="F71" s="391"/>
      <c r="G71" s="391"/>
      <c r="H71" s="391"/>
      <c r="I71" s="391"/>
      <c r="J71" s="391"/>
      <c r="K71" s="391"/>
      <c r="L71" s="391"/>
      <c r="M71" s="392"/>
    </row>
    <row r="72" spans="1:15" x14ac:dyDescent="0.2">
      <c r="A72" s="37"/>
      <c r="B72" s="15" t="s">
        <v>38</v>
      </c>
      <c r="C72" s="61">
        <f>1-C71</f>
        <v>0.7</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15</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-240000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250000</v>
      </c>
      <c r="F94" s="93">
        <f t="shared" si="1"/>
        <v>250000</v>
      </c>
      <c r="G94" s="93">
        <f t="shared" si="1"/>
        <v>250000</v>
      </c>
      <c r="H94" s="93">
        <f t="shared" si="1"/>
        <v>250000</v>
      </c>
      <c r="I94" s="93">
        <f t="shared" si="1"/>
        <v>250000</v>
      </c>
      <c r="J94" s="93">
        <f t="shared" si="1"/>
        <v>250000</v>
      </c>
      <c r="K94" s="93">
        <f t="shared" si="1"/>
        <v>250000</v>
      </c>
      <c r="L94" s="93">
        <f t="shared" si="1"/>
        <v>250000</v>
      </c>
      <c r="M94" s="93">
        <f t="shared" si="1"/>
        <v>250000</v>
      </c>
      <c r="N94" s="93">
        <f t="shared" si="1"/>
        <v>250000</v>
      </c>
      <c r="O94" s="93">
        <f t="shared" si="1"/>
        <v>250000</v>
      </c>
      <c r="P94" s="93">
        <f t="shared" si="1"/>
        <v>250000</v>
      </c>
      <c r="Q94" s="93">
        <f t="shared" si="1"/>
        <v>250000</v>
      </c>
      <c r="R94" s="93">
        <f t="shared" si="1"/>
        <v>250000</v>
      </c>
      <c r="S94" s="93">
        <f t="shared" si="1"/>
        <v>250000</v>
      </c>
      <c r="T94" s="93">
        <f t="shared" si="1"/>
        <v>0</v>
      </c>
      <c r="U94" s="93">
        <f t="shared" si="1"/>
        <v>0</v>
      </c>
      <c r="V94" s="93">
        <f t="shared" si="1"/>
        <v>0</v>
      </c>
      <c r="W94" s="93">
        <f t="shared" si="1"/>
        <v>0</v>
      </c>
      <c r="X94" s="93">
        <f t="shared" si="1"/>
        <v>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250000</v>
      </c>
      <c r="F97" s="99">
        <f t="shared" ref="F97:AR97" si="4">SUM(F94:F96)</f>
        <v>250000</v>
      </c>
      <c r="G97" s="99">
        <f t="shared" si="4"/>
        <v>250000</v>
      </c>
      <c r="H97" s="99">
        <f t="shared" si="4"/>
        <v>250000</v>
      </c>
      <c r="I97" s="99">
        <f t="shared" si="4"/>
        <v>250000</v>
      </c>
      <c r="J97" s="99">
        <f t="shared" si="4"/>
        <v>250000</v>
      </c>
      <c r="K97" s="99">
        <f t="shared" si="4"/>
        <v>250000</v>
      </c>
      <c r="L97" s="99">
        <f t="shared" si="4"/>
        <v>250000</v>
      </c>
      <c r="M97" s="99">
        <f t="shared" si="4"/>
        <v>250000</v>
      </c>
      <c r="N97" s="99">
        <f t="shared" si="4"/>
        <v>250000</v>
      </c>
      <c r="O97" s="99">
        <f t="shared" si="4"/>
        <v>250000</v>
      </c>
      <c r="P97" s="99">
        <f t="shared" si="4"/>
        <v>250000</v>
      </c>
      <c r="Q97" s="99">
        <f t="shared" si="4"/>
        <v>250000</v>
      </c>
      <c r="R97" s="99">
        <f t="shared" si="4"/>
        <v>250000</v>
      </c>
      <c r="S97" s="99">
        <f t="shared" si="4"/>
        <v>250000</v>
      </c>
      <c r="T97" s="99">
        <f t="shared" si="4"/>
        <v>0</v>
      </c>
      <c r="U97" s="99">
        <f t="shared" si="4"/>
        <v>0</v>
      </c>
      <c r="V97" s="99">
        <f t="shared" si="4"/>
        <v>0</v>
      </c>
      <c r="W97" s="99">
        <f t="shared" si="4"/>
        <v>0</v>
      </c>
      <c r="X97" s="99">
        <f t="shared" si="4"/>
        <v>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-5725</v>
      </c>
      <c r="F99" s="93">
        <f t="shared" si="5"/>
        <v>-5810.8749999999991</v>
      </c>
      <c r="G99" s="93">
        <f t="shared" si="5"/>
        <v>-5898.0381249999982</v>
      </c>
      <c r="H99" s="93">
        <f t="shared" si="5"/>
        <v>-5986.5086968749974</v>
      </c>
      <c r="I99" s="93">
        <f t="shared" si="5"/>
        <v>-6076.3063273281214</v>
      </c>
      <c r="J99" s="93">
        <f t="shared" si="5"/>
        <v>-6167.4509222380429</v>
      </c>
      <c r="K99" s="93">
        <f t="shared" si="5"/>
        <v>-6259.9626860716126</v>
      </c>
      <c r="L99" s="93">
        <f t="shared" si="5"/>
        <v>-6353.8621263626856</v>
      </c>
      <c r="M99" s="93">
        <f t="shared" si="5"/>
        <v>-6449.1700582581252</v>
      </c>
      <c r="N99" s="93">
        <f t="shared" si="5"/>
        <v>-6545.9076091319967</v>
      </c>
      <c r="O99" s="93">
        <f t="shared" si="5"/>
        <v>-6644.0962232689753</v>
      </c>
      <c r="P99" s="93">
        <f t="shared" si="5"/>
        <v>-6743.7576666180094</v>
      </c>
      <c r="Q99" s="93">
        <f t="shared" si="5"/>
        <v>-6844.9140316172779</v>
      </c>
      <c r="R99" s="93">
        <f t="shared" si="5"/>
        <v>-6947.5877420915367</v>
      </c>
      <c r="S99" s="93">
        <f t="shared" si="5"/>
        <v>-7051.8015582229082</v>
      </c>
      <c r="T99" s="93">
        <f t="shared" si="5"/>
        <v>0</v>
      </c>
      <c r="U99" s="93">
        <f t="shared" si="5"/>
        <v>0</v>
      </c>
      <c r="V99" s="93">
        <f t="shared" si="5"/>
        <v>0</v>
      </c>
      <c r="W99" s="93">
        <f t="shared" si="5"/>
        <v>0</v>
      </c>
      <c r="X99" s="93">
        <f t="shared" si="5"/>
        <v>0</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0</v>
      </c>
      <c r="U101" s="100">
        <f t="shared" si="7"/>
        <v>0</v>
      </c>
      <c r="V101" s="100">
        <f t="shared" si="7"/>
        <v>0</v>
      </c>
      <c r="W101" s="100">
        <f t="shared" si="7"/>
        <v>0</v>
      </c>
      <c r="X101" s="100">
        <f t="shared" si="7"/>
        <v>0</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0</v>
      </c>
      <c r="U103" s="100">
        <f t="shared" si="9"/>
        <v>0</v>
      </c>
      <c r="V103" s="100">
        <f t="shared" si="9"/>
        <v>0</v>
      </c>
      <c r="W103" s="100">
        <f t="shared" si="9"/>
        <v>0</v>
      </c>
      <c r="X103" s="100">
        <f t="shared" si="9"/>
        <v>0</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0</v>
      </c>
      <c r="U106" s="105">
        <f t="shared" si="12"/>
        <v>0</v>
      </c>
      <c r="V106" s="105">
        <f t="shared" si="12"/>
        <v>0</v>
      </c>
      <c r="W106" s="105">
        <f t="shared" si="12"/>
        <v>0</v>
      </c>
      <c r="X106" s="105">
        <f t="shared" si="12"/>
        <v>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0</v>
      </c>
      <c r="U108" s="93">
        <f t="shared" si="13"/>
        <v>0</v>
      </c>
      <c r="V108" s="93">
        <f t="shared" si="13"/>
        <v>0</v>
      </c>
      <c r="W108" s="93">
        <f t="shared" si="13"/>
        <v>0</v>
      </c>
      <c r="X108" s="93">
        <f t="shared" si="13"/>
        <v>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-5725</v>
      </c>
      <c r="F109" s="96">
        <f t="shared" si="14"/>
        <v>-5810.8749999999991</v>
      </c>
      <c r="G109" s="96">
        <f t="shared" si="14"/>
        <v>-5898.0381249999982</v>
      </c>
      <c r="H109" s="96">
        <f t="shared" si="14"/>
        <v>-5986.5086968749974</v>
      </c>
      <c r="I109" s="96">
        <f t="shared" si="14"/>
        <v>-6076.3063273281214</v>
      </c>
      <c r="J109" s="96">
        <f t="shared" si="14"/>
        <v>-6167.4509222380429</v>
      </c>
      <c r="K109" s="96">
        <f t="shared" si="14"/>
        <v>-6259.9626860716126</v>
      </c>
      <c r="L109" s="96">
        <f t="shared" si="14"/>
        <v>-6353.8621263626856</v>
      </c>
      <c r="M109" s="96">
        <f t="shared" si="14"/>
        <v>-6449.1700582581252</v>
      </c>
      <c r="N109" s="96">
        <f t="shared" si="14"/>
        <v>-6545.9076091319967</v>
      </c>
      <c r="O109" s="96">
        <f t="shared" si="14"/>
        <v>-6644.0962232689753</v>
      </c>
      <c r="P109" s="96">
        <f t="shared" si="14"/>
        <v>-6743.7576666180094</v>
      </c>
      <c r="Q109" s="96">
        <f t="shared" si="14"/>
        <v>-6844.9140316172779</v>
      </c>
      <c r="R109" s="96">
        <f t="shared" si="14"/>
        <v>-6947.5877420915367</v>
      </c>
      <c r="S109" s="96">
        <f t="shared" si="14"/>
        <v>-7051.8015582229082</v>
      </c>
      <c r="T109" s="96">
        <f t="shared" si="14"/>
        <v>0</v>
      </c>
      <c r="U109" s="96">
        <f t="shared" si="14"/>
        <v>0</v>
      </c>
      <c r="V109" s="96">
        <f t="shared" si="14"/>
        <v>0</v>
      </c>
      <c r="W109" s="96">
        <f t="shared" si="14"/>
        <v>0</v>
      </c>
      <c r="X109" s="96">
        <f t="shared" si="14"/>
        <v>0</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-5725</v>
      </c>
      <c r="F110" s="105">
        <f t="shared" ref="F110:AR110" si="15">SUM(F108:F109)</f>
        <v>-5810.8749999999991</v>
      </c>
      <c r="G110" s="105">
        <f t="shared" si="15"/>
        <v>-5898.0381249999982</v>
      </c>
      <c r="H110" s="105">
        <f t="shared" si="15"/>
        <v>-5986.5086968749974</v>
      </c>
      <c r="I110" s="105">
        <f t="shared" si="15"/>
        <v>-6076.3063273281214</v>
      </c>
      <c r="J110" s="105">
        <f t="shared" si="15"/>
        <v>-6167.4509222380429</v>
      </c>
      <c r="K110" s="105">
        <f t="shared" si="15"/>
        <v>-6259.9626860716126</v>
      </c>
      <c r="L110" s="105">
        <f t="shared" si="15"/>
        <v>-6353.8621263626856</v>
      </c>
      <c r="M110" s="105">
        <f t="shared" si="15"/>
        <v>-6449.1700582581252</v>
      </c>
      <c r="N110" s="105">
        <f t="shared" si="15"/>
        <v>-6545.9076091319967</v>
      </c>
      <c r="O110" s="105">
        <f t="shared" si="15"/>
        <v>-6644.0962232689753</v>
      </c>
      <c r="P110" s="105">
        <f t="shared" si="15"/>
        <v>-6743.7576666180094</v>
      </c>
      <c r="Q110" s="105">
        <f t="shared" si="15"/>
        <v>-6844.9140316172779</v>
      </c>
      <c r="R110" s="105">
        <f t="shared" si="15"/>
        <v>-6947.5877420915367</v>
      </c>
      <c r="S110" s="105">
        <f t="shared" si="15"/>
        <v>-7051.8015582229082</v>
      </c>
      <c r="T110" s="105">
        <f t="shared" si="15"/>
        <v>0</v>
      </c>
      <c r="U110" s="105">
        <f t="shared" si="15"/>
        <v>0</v>
      </c>
      <c r="V110" s="105">
        <f t="shared" si="15"/>
        <v>0</v>
      </c>
      <c r="W110" s="105">
        <f t="shared" si="15"/>
        <v>0</v>
      </c>
      <c r="X110" s="105">
        <f t="shared" si="15"/>
        <v>0</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-16000</v>
      </c>
      <c r="F112" s="93">
        <f t="shared" si="16"/>
        <v>-16000</v>
      </c>
      <c r="G112" s="93">
        <f t="shared" si="16"/>
        <v>-16000</v>
      </c>
      <c r="H112" s="93">
        <f t="shared" si="16"/>
        <v>-16000</v>
      </c>
      <c r="I112" s="93">
        <f t="shared" si="16"/>
        <v>-16000</v>
      </c>
      <c r="J112" s="93">
        <f t="shared" si="16"/>
        <v>-16000</v>
      </c>
      <c r="K112" s="93">
        <f t="shared" si="16"/>
        <v>-16000</v>
      </c>
      <c r="L112" s="93">
        <f t="shared" si="16"/>
        <v>-16000</v>
      </c>
      <c r="M112" s="93">
        <f t="shared" si="16"/>
        <v>-16000</v>
      </c>
      <c r="N112" s="93">
        <f t="shared" si="16"/>
        <v>-16000</v>
      </c>
      <c r="O112" s="93">
        <f t="shared" si="16"/>
        <v>-16000</v>
      </c>
      <c r="P112" s="93">
        <f t="shared" si="16"/>
        <v>-16000</v>
      </c>
      <c r="Q112" s="93">
        <f t="shared" si="16"/>
        <v>-16000</v>
      </c>
      <c r="R112" s="93">
        <f t="shared" si="16"/>
        <v>-16000</v>
      </c>
      <c r="S112" s="93">
        <f t="shared" si="16"/>
        <v>-16000</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-5880.0000000000009</v>
      </c>
      <c r="F113" s="96">
        <f t="shared" si="17"/>
        <v>-5575.2685921277262</v>
      </c>
      <c r="G113" s="96">
        <f t="shared" si="17"/>
        <v>-5259.8715849799246</v>
      </c>
      <c r="H113" s="96">
        <f t="shared" si="17"/>
        <v>-4933.4356825819468</v>
      </c>
      <c r="I113" s="96">
        <f t="shared" si="17"/>
        <v>-4595.5745236000421</v>
      </c>
      <c r="J113" s="96">
        <f t="shared" si="17"/>
        <v>-4245.8882240537687</v>
      </c>
      <c r="K113" s="96">
        <f t="shared" si="17"/>
        <v>-3883.9629040233767</v>
      </c>
      <c r="L113" s="96">
        <f t="shared" si="17"/>
        <v>-3509.3701977919222</v>
      </c>
      <c r="M113" s="96">
        <f t="shared" si="17"/>
        <v>-3121.6667468423648</v>
      </c>
      <c r="N113" s="96">
        <f t="shared" si="17"/>
        <v>-2720.3936751095739</v>
      </c>
      <c r="O113" s="96">
        <f t="shared" si="17"/>
        <v>-2305.0760458661352</v>
      </c>
      <c r="P113" s="96">
        <f t="shared" si="17"/>
        <v>-1875.2222995991763</v>
      </c>
      <c r="Q113" s="96">
        <f t="shared" si="17"/>
        <v>-1430.3236722128734</v>
      </c>
      <c r="R113" s="96">
        <f t="shared" si="17"/>
        <v>-969.85359286805021</v>
      </c>
      <c r="S113" s="96">
        <f t="shared" si="17"/>
        <v>-493.26706074615828</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-8706.6116534935391</v>
      </c>
      <c r="F114" s="96">
        <f t="shared" si="18"/>
        <v>-9011.3430613658129</v>
      </c>
      <c r="G114" s="96">
        <f t="shared" si="18"/>
        <v>-9326.7400685136163</v>
      </c>
      <c r="H114" s="96">
        <f t="shared" si="18"/>
        <v>-9653.1759709115904</v>
      </c>
      <c r="I114" s="96">
        <f t="shared" si="18"/>
        <v>-9991.037129893497</v>
      </c>
      <c r="J114" s="96">
        <f t="shared" si="18"/>
        <v>-10340.723429439769</v>
      </c>
      <c r="K114" s="96">
        <f t="shared" si="18"/>
        <v>-10702.648749470161</v>
      </c>
      <c r="L114" s="96">
        <f t="shared" si="18"/>
        <v>-11077.241455701618</v>
      </c>
      <c r="M114" s="96">
        <f t="shared" si="18"/>
        <v>-11464.944906651173</v>
      </c>
      <c r="N114" s="96">
        <f t="shared" si="18"/>
        <v>-11866.217978383964</v>
      </c>
      <c r="O114" s="96">
        <f t="shared" si="18"/>
        <v>-12281.535607627404</v>
      </c>
      <c r="P114" s="96">
        <f t="shared" si="18"/>
        <v>-12711.389353894361</v>
      </c>
      <c r="Q114" s="96">
        <f t="shared" si="18"/>
        <v>-13156.287981280664</v>
      </c>
      <c r="R114" s="96">
        <f t="shared" si="18"/>
        <v>-13616.758060625489</v>
      </c>
      <c r="S114" s="96">
        <f t="shared" si="18"/>
        <v>-14093.34459274738</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-14586.611653493539</v>
      </c>
      <c r="F115" s="105">
        <f t="shared" ref="F115:AR115" si="19">SUM(F113,F114)</f>
        <v>-14586.611653493539</v>
      </c>
      <c r="G115" s="105">
        <f t="shared" si="19"/>
        <v>-14586.611653493541</v>
      </c>
      <c r="H115" s="105">
        <f t="shared" si="19"/>
        <v>-14586.611653493537</v>
      </c>
      <c r="I115" s="105">
        <f t="shared" si="19"/>
        <v>-14586.611653493539</v>
      </c>
      <c r="J115" s="105">
        <f t="shared" si="19"/>
        <v>-14586.611653493539</v>
      </c>
      <c r="K115" s="105">
        <f t="shared" si="19"/>
        <v>-14586.611653493539</v>
      </c>
      <c r="L115" s="105">
        <f t="shared" si="19"/>
        <v>-14586.611653493541</v>
      </c>
      <c r="M115" s="105">
        <f t="shared" si="19"/>
        <v>-14586.611653493539</v>
      </c>
      <c r="N115" s="105">
        <f t="shared" si="19"/>
        <v>-14586.611653493537</v>
      </c>
      <c r="O115" s="105">
        <f t="shared" si="19"/>
        <v>-14586.611653493539</v>
      </c>
      <c r="P115" s="105">
        <f t="shared" si="19"/>
        <v>-14586.611653493537</v>
      </c>
      <c r="Q115" s="105">
        <f t="shared" si="19"/>
        <v>-14586.611653493537</v>
      </c>
      <c r="R115" s="105">
        <f t="shared" si="19"/>
        <v>-14586.611653493539</v>
      </c>
      <c r="S115" s="105">
        <f t="shared" si="19"/>
        <v>-14586.611653493539</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-27605</v>
      </c>
      <c r="F117" s="110">
        <f t="shared" ref="F117:AR117" si="20">F110+F112+F113</f>
        <v>-27386.143592127726</v>
      </c>
      <c r="G117" s="110">
        <f t="shared" si="20"/>
        <v>-27157.909709979926</v>
      </c>
      <c r="H117" s="110">
        <f t="shared" si="20"/>
        <v>-26919.944379456945</v>
      </c>
      <c r="I117" s="110">
        <f t="shared" si="20"/>
        <v>-26671.880850928166</v>
      </c>
      <c r="J117" s="110">
        <f t="shared" si="20"/>
        <v>-26413.339146291812</v>
      </c>
      <c r="K117" s="110">
        <f t="shared" si="20"/>
        <v>-26143.92559009499</v>
      </c>
      <c r="L117" s="110">
        <f t="shared" si="20"/>
        <v>-25863.232324154607</v>
      </c>
      <c r="M117" s="110">
        <f t="shared" si="20"/>
        <v>-25570.836805100491</v>
      </c>
      <c r="N117" s="110">
        <f t="shared" si="20"/>
        <v>-25266.30128424157</v>
      </c>
      <c r="O117" s="110">
        <f t="shared" si="20"/>
        <v>-24949.17226913511</v>
      </c>
      <c r="P117" s="110">
        <f t="shared" si="20"/>
        <v>-24618.979966217186</v>
      </c>
      <c r="Q117" s="110">
        <f t="shared" si="20"/>
        <v>-24275.237703830153</v>
      </c>
      <c r="R117" s="110">
        <f t="shared" si="20"/>
        <v>-23917.441334959585</v>
      </c>
      <c r="S117" s="110">
        <f t="shared" si="20"/>
        <v>-23545.068618969068</v>
      </c>
      <c r="T117" s="110">
        <f t="shared" si="20"/>
        <v>0</v>
      </c>
      <c r="U117" s="110">
        <f t="shared" si="20"/>
        <v>0</v>
      </c>
      <c r="V117" s="110">
        <f t="shared" si="20"/>
        <v>0</v>
      </c>
      <c r="W117" s="110">
        <f t="shared" si="20"/>
        <v>0</v>
      </c>
      <c r="X117" s="110">
        <f t="shared" si="20"/>
        <v>0</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4140.75</v>
      </c>
      <c r="F118" s="112">
        <f t="shared" si="21"/>
        <v>4107.9215388191587</v>
      </c>
      <c r="G118" s="112">
        <f t="shared" si="21"/>
        <v>4073.6864564969887</v>
      </c>
      <c r="H118" s="112">
        <f t="shared" si="21"/>
        <v>4037.9916569185416</v>
      </c>
      <c r="I118" s="112">
        <f t="shared" si="21"/>
        <v>4000.7821276392247</v>
      </c>
      <c r="J118" s="112">
        <f t="shared" si="21"/>
        <v>3962.0008719437715</v>
      </c>
      <c r="K118" s="112">
        <f t="shared" si="21"/>
        <v>3921.5888385142484</v>
      </c>
      <c r="L118" s="112">
        <f t="shared" si="21"/>
        <v>3879.4848486231908</v>
      </c>
      <c r="M118" s="112">
        <f t="shared" si="21"/>
        <v>3835.6255207650734</v>
      </c>
      <c r="N118" s="112">
        <f t="shared" si="21"/>
        <v>3789.9451926362353</v>
      </c>
      <c r="O118" s="112">
        <f t="shared" si="21"/>
        <v>3742.3758403702664</v>
      </c>
      <c r="P118" s="112">
        <f t="shared" si="21"/>
        <v>3692.8469949325777</v>
      </c>
      <c r="Q118" s="112">
        <f t="shared" si="21"/>
        <v>3641.2856555745229</v>
      </c>
      <c r="R118" s="112">
        <f t="shared" si="21"/>
        <v>3587.6162002439378</v>
      </c>
      <c r="S118" s="112">
        <f t="shared" si="21"/>
        <v>3531.7602928453603</v>
      </c>
      <c r="T118" s="112">
        <f t="shared" si="21"/>
        <v>0</v>
      </c>
      <c r="U118" s="112">
        <f t="shared" si="21"/>
        <v>0</v>
      </c>
      <c r="V118" s="112">
        <f t="shared" si="21"/>
        <v>0</v>
      </c>
      <c r="W118" s="112">
        <f t="shared" si="21"/>
        <v>0</v>
      </c>
      <c r="X118" s="112">
        <f t="shared" si="21"/>
        <v>0</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-16170.861653493539</v>
      </c>
      <c r="F120" s="116">
        <f t="shared" si="22"/>
        <v>-16289.56511467438</v>
      </c>
      <c r="G120" s="116">
        <f t="shared" si="22"/>
        <v>-16410.963321996551</v>
      </c>
      <c r="H120" s="116">
        <f t="shared" si="22"/>
        <v>-16535.128693449995</v>
      </c>
      <c r="I120" s="116">
        <f t="shared" si="22"/>
        <v>-16662.135853182437</v>
      </c>
      <c r="J120" s="116">
        <f t="shared" si="22"/>
        <v>-16792.061703787811</v>
      </c>
      <c r="K120" s="116">
        <f t="shared" si="22"/>
        <v>-16924.985501050902</v>
      </c>
      <c r="L120" s="116">
        <f t="shared" si="22"/>
        <v>-17060.988931233038</v>
      </c>
      <c r="M120" s="116">
        <f t="shared" si="22"/>
        <v>-17200.156190986592</v>
      </c>
      <c r="N120" s="116">
        <f t="shared" si="22"/>
        <v>-17342.574069989299</v>
      </c>
      <c r="O120" s="116">
        <f t="shared" si="22"/>
        <v>-17488.332036392247</v>
      </c>
      <c r="P120" s="116">
        <f t="shared" si="22"/>
        <v>-17637.522325178968</v>
      </c>
      <c r="Q120" s="116">
        <f t="shared" si="22"/>
        <v>-17790.24002953629</v>
      </c>
      <c r="R120" s="116">
        <f t="shared" si="22"/>
        <v>-17946.58319534114</v>
      </c>
      <c r="S120" s="116">
        <f t="shared" si="22"/>
        <v>-18106.652918871088</v>
      </c>
      <c r="T120" s="116">
        <f t="shared" si="22"/>
        <v>0</v>
      </c>
      <c r="U120" s="116">
        <f t="shared" si="22"/>
        <v>0</v>
      </c>
      <c r="V120" s="116">
        <f t="shared" si="22"/>
        <v>0</v>
      </c>
      <c r="W120" s="116">
        <f t="shared" si="22"/>
        <v>0</v>
      </c>
      <c r="X120" s="116">
        <f t="shared" si="22"/>
        <v>0</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-240000</v>
      </c>
      <c r="E121" s="121">
        <f>E110+E118</f>
        <v>-1584.25</v>
      </c>
      <c r="F121" s="121">
        <f t="shared" ref="F121:AR121" si="23">F110+F118</f>
        <v>-1702.9534611808403</v>
      </c>
      <c r="G121" s="121">
        <f t="shared" si="23"/>
        <v>-1824.3516685030095</v>
      </c>
      <c r="H121" s="121">
        <f t="shared" si="23"/>
        <v>-1948.5170399564558</v>
      </c>
      <c r="I121" s="121">
        <f t="shared" si="23"/>
        <v>-2075.5241996888967</v>
      </c>
      <c r="J121" s="121">
        <f t="shared" si="23"/>
        <v>-2205.4500502942715</v>
      </c>
      <c r="K121" s="121">
        <f t="shared" si="23"/>
        <v>-2338.3738475573641</v>
      </c>
      <c r="L121" s="121">
        <f t="shared" si="23"/>
        <v>-2474.3772777394947</v>
      </c>
      <c r="M121" s="121">
        <f t="shared" si="23"/>
        <v>-2613.5445374930518</v>
      </c>
      <c r="N121" s="121">
        <f t="shared" si="23"/>
        <v>-2755.9624164957613</v>
      </c>
      <c r="O121" s="121">
        <f t="shared" si="23"/>
        <v>-2901.720382898709</v>
      </c>
      <c r="P121" s="121">
        <f t="shared" si="23"/>
        <v>-3050.9106716854317</v>
      </c>
      <c r="Q121" s="121">
        <f t="shared" si="23"/>
        <v>-3203.628376042755</v>
      </c>
      <c r="R121" s="121">
        <f t="shared" si="23"/>
        <v>-3359.9715418475989</v>
      </c>
      <c r="S121" s="121">
        <f t="shared" si="23"/>
        <v>-3520.0412653775479</v>
      </c>
      <c r="T121" s="121">
        <f t="shared" si="23"/>
        <v>0</v>
      </c>
      <c r="U121" s="121">
        <f t="shared" si="23"/>
        <v>0</v>
      </c>
      <c r="V121" s="121">
        <f t="shared" si="23"/>
        <v>0</v>
      </c>
      <c r="W121" s="121">
        <f t="shared" si="23"/>
        <v>0</v>
      </c>
      <c r="X121" s="121">
        <f t="shared" si="23"/>
        <v>0</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-72000</v>
      </c>
      <c r="E122" s="121">
        <f>E120</f>
        <v>-16170.861653493539</v>
      </c>
      <c r="F122" s="121">
        <f t="shared" ref="F122:AR122" si="24">F120</f>
        <v>-16289.56511467438</v>
      </c>
      <c r="G122" s="121">
        <f t="shared" si="24"/>
        <v>-16410.963321996551</v>
      </c>
      <c r="H122" s="121">
        <f t="shared" si="24"/>
        <v>-16535.128693449995</v>
      </c>
      <c r="I122" s="121">
        <f t="shared" si="24"/>
        <v>-16662.135853182437</v>
      </c>
      <c r="J122" s="121">
        <f t="shared" si="24"/>
        <v>-16792.061703787811</v>
      </c>
      <c r="K122" s="121">
        <f t="shared" si="24"/>
        <v>-16924.985501050902</v>
      </c>
      <c r="L122" s="121">
        <f t="shared" si="24"/>
        <v>-17060.988931233038</v>
      </c>
      <c r="M122" s="121">
        <f t="shared" si="24"/>
        <v>-17200.156190986592</v>
      </c>
      <c r="N122" s="121">
        <f t="shared" si="24"/>
        <v>-17342.574069989299</v>
      </c>
      <c r="O122" s="121">
        <f t="shared" si="24"/>
        <v>-17488.332036392247</v>
      </c>
      <c r="P122" s="121">
        <f t="shared" si="24"/>
        <v>-17637.522325178968</v>
      </c>
      <c r="Q122" s="121">
        <f t="shared" si="24"/>
        <v>-17790.24002953629</v>
      </c>
      <c r="R122" s="121">
        <f t="shared" si="24"/>
        <v>-17946.58319534114</v>
      </c>
      <c r="S122" s="121">
        <f t="shared" si="24"/>
        <v>-18106.652918871088</v>
      </c>
      <c r="T122" s="121">
        <f t="shared" si="24"/>
        <v>0</v>
      </c>
      <c r="U122" s="121">
        <f t="shared" si="24"/>
        <v>0</v>
      </c>
      <c r="V122" s="121">
        <f t="shared" si="24"/>
        <v>0</v>
      </c>
      <c r="W122" s="121">
        <f t="shared" si="24"/>
        <v>0</v>
      </c>
      <c r="X122" s="121">
        <f t="shared" si="24"/>
        <v>0</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250000</v>
      </c>
      <c r="F123" s="123">
        <f t="shared" si="25"/>
        <v>250000</v>
      </c>
      <c r="G123" s="123">
        <f t="shared" si="25"/>
        <v>250000</v>
      </c>
      <c r="H123" s="123">
        <f t="shared" si="25"/>
        <v>250000</v>
      </c>
      <c r="I123" s="123">
        <f t="shared" si="25"/>
        <v>250000</v>
      </c>
      <c r="J123" s="123">
        <f t="shared" si="25"/>
        <v>250000</v>
      </c>
      <c r="K123" s="123">
        <f t="shared" si="25"/>
        <v>250000</v>
      </c>
      <c r="L123" s="123">
        <f t="shared" si="25"/>
        <v>250000</v>
      </c>
      <c r="M123" s="123">
        <f t="shared" si="25"/>
        <v>250000</v>
      </c>
      <c r="N123" s="123">
        <f t="shared" si="25"/>
        <v>250000</v>
      </c>
      <c r="O123" s="123">
        <f t="shared" si="25"/>
        <v>250000</v>
      </c>
      <c r="P123" s="123">
        <f t="shared" si="25"/>
        <v>250000</v>
      </c>
      <c r="Q123" s="123">
        <f t="shared" si="25"/>
        <v>250000</v>
      </c>
      <c r="R123" s="123">
        <f t="shared" si="25"/>
        <v>250000</v>
      </c>
      <c r="S123" s="123">
        <f t="shared" si="25"/>
        <v>250000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240000</v>
      </c>
      <c r="E124" s="143">
        <f>D124-($C$5*E97+E109+E113)</f>
        <v>220030</v>
      </c>
      <c r="F124" s="143">
        <f t="shared" ref="F124:Y124" si="26">E124-($C$5*F97+F109+F113)</f>
        <v>199841.14359212772</v>
      </c>
      <c r="G124" s="143">
        <f t="shared" si="26"/>
        <v>179424.05330210764</v>
      </c>
      <c r="H124" s="143">
        <f t="shared" si="26"/>
        <v>158768.99768156459</v>
      </c>
      <c r="I124" s="143">
        <f t="shared" si="26"/>
        <v>137865.87853249276</v>
      </c>
      <c r="J124" s="143">
        <f t="shared" si="26"/>
        <v>116704.21767878457</v>
      </c>
      <c r="K124" s="143">
        <f t="shared" si="26"/>
        <v>95273.143268879561</v>
      </c>
      <c r="L124" s="143">
        <f t="shared" si="26"/>
        <v>73561.375593034172</v>
      </c>
      <c r="M124" s="143">
        <f t="shared" si="26"/>
        <v>51557.212398134667</v>
      </c>
      <c r="N124" s="143">
        <f t="shared" si="26"/>
        <v>29248.513682376237</v>
      </c>
      <c r="O124" s="143">
        <f t="shared" si="26"/>
        <v>6622.6859515113465</v>
      </c>
      <c r="P124" s="143">
        <f t="shared" si="26"/>
        <v>-16333.334082271467</v>
      </c>
      <c r="Q124" s="143">
        <f t="shared" si="26"/>
        <v>-39633.096378441318</v>
      </c>
      <c r="R124" s="143">
        <f t="shared" si="26"/>
        <v>-63290.655043481733</v>
      </c>
      <c r="S124" s="143">
        <f t="shared" si="26"/>
        <v>-87320.586424512672</v>
      </c>
      <c r="T124" s="143">
        <f t="shared" si="26"/>
        <v>-87320.586424512672</v>
      </c>
      <c r="U124" s="143">
        <f t="shared" si="26"/>
        <v>-87320.586424512672</v>
      </c>
      <c r="V124" s="143">
        <f t="shared" si="26"/>
        <v>-87320.586424512672</v>
      </c>
      <c r="W124" s="143">
        <f t="shared" si="26"/>
        <v>-87320.586424512672</v>
      </c>
      <c r="X124" s="143">
        <f t="shared" si="26"/>
        <v>-87320.586424512672</v>
      </c>
      <c r="Y124" s="143">
        <f t="shared" si="26"/>
        <v>-87320.586424512672</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1.7721730456715659</v>
      </c>
      <c r="F125" s="310">
        <f>IF(F91&gt;$C$76,"",(F110+F97*$C$5)/-F115)</f>
        <v>1.7662857976910225</v>
      </c>
      <c r="G125" s="310">
        <f t="shared" ref="G125:AR125" si="27">IF(G91&gt;$C$76,"",(G110+G97*$C$5)/-G115)</f>
        <v>1.7603102409907707</v>
      </c>
      <c r="H125" s="310">
        <f t="shared" si="27"/>
        <v>1.7542450509400163</v>
      </c>
      <c r="I125" s="310">
        <f t="shared" si="27"/>
        <v>1.7480888830384993</v>
      </c>
      <c r="J125" s="310">
        <f t="shared" si="27"/>
        <v>1.7418403726184599</v>
      </c>
      <c r="K125" s="310">
        <f t="shared" si="27"/>
        <v>1.7354981345421201</v>
      </c>
      <c r="L125" s="310">
        <f t="shared" si="27"/>
        <v>1.7290607628946351</v>
      </c>
      <c r="M125" s="310">
        <f t="shared" si="27"/>
        <v>1.7225268306724379</v>
      </c>
      <c r="N125" s="310">
        <f t="shared" si="27"/>
        <v>1.7158948894669079</v>
      </c>
      <c r="O125" s="310">
        <f t="shared" si="27"/>
        <v>1.7091634691432946</v>
      </c>
      <c r="P125" s="310">
        <f t="shared" si="27"/>
        <v>1.7023310775148273</v>
      </c>
      <c r="Q125" s="310">
        <f t="shared" si="27"/>
        <v>1.6953962000119329</v>
      </c>
      <c r="R125" s="310">
        <f t="shared" si="27"/>
        <v>1.688357299346495</v>
      </c>
      <c r="S125" s="310">
        <f t="shared" si="27"/>
        <v>1.6812128151710757</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-121053.39840628422</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1528059.7848800647</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240000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1.728158991314271</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5.4% / 3.8%</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168000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72000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5000</v>
      </c>
      <c r="F138" s="154"/>
    </row>
    <row r="139" spans="2:45" x14ac:dyDescent="0.2">
      <c r="B139" s="155" t="s">
        <v>122</v>
      </c>
      <c r="C139" s="158" t="s">
        <v>123</v>
      </c>
      <c r="D139" s="159" t="str">
        <f>CONCATENATE( "tussen ", INDEX(D91:X91, MATCH(0,D124:X124, -1)), " en ",  1 + INDEX(D91:X91, MATCH(0,D124:X124, -1)), " jaren")</f>
        <v>tussen 11 en 12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4" priority="5" operator="containsText" text="Pas op">
      <formula>NOT(ISERROR(SEARCH("Pas op",G1)))</formula>
    </cfRule>
  </conditionalFormatting>
  <conditionalFormatting sqref="G165">
    <cfRule type="containsText" dxfId="3" priority="4" operator="containsText" text="Pas op">
      <formula>NOT(ISERROR(SEARCH("Pas op",G165)))</formula>
    </cfRule>
  </conditionalFormatting>
  <conditionalFormatting sqref="G144 G147:G149">
    <cfRule type="containsText" dxfId="2" priority="3" operator="containsText" text="Pas op">
      <formula>NOT(ISERROR(SEARCH("Pas op",G144)))</formula>
    </cfRule>
  </conditionalFormatting>
  <conditionalFormatting sqref="G84">
    <cfRule type="containsText" dxfId="1" priority="2" operator="containsText" text="Pas op">
      <formula>NOT(ISERROR(SEARCH("Pas op",G84)))</formula>
    </cfRule>
  </conditionalFormatting>
  <conditionalFormatting sqref="G83">
    <cfRule type="containsText" dxfId="0"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C7D26D0E-83EC-4B3B-9F56-DD4465605AC6}">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904A-F54B-4782-BC94-369F9058C68B}">
  <sheetPr codeName="Sheet2">
    <pageSetUpPr fitToPage="1"/>
  </sheetPr>
  <dimension ref="A2:Z18"/>
  <sheetViews>
    <sheetView showGridLines="0" zoomScale="85" zoomScaleNormal="85" workbookViewId="0">
      <pane xSplit="3" ySplit="4" topLeftCell="D5" activePane="bottomRight" state="frozen"/>
      <selection pane="topRight" activeCell="D1" sqref="D1"/>
      <selection pane="bottomLeft" activeCell="A5" sqref="A5"/>
      <selection pane="bottomRight" activeCell="B35" sqref="B35"/>
    </sheetView>
  </sheetViews>
  <sheetFormatPr defaultColWidth="9.140625" defaultRowHeight="12.75" x14ac:dyDescent="0.2"/>
  <cols>
    <col min="1" max="1" width="12.140625" style="354" customWidth="1"/>
    <col min="2" max="2" width="118.85546875" style="355" customWidth="1"/>
    <col min="3" max="3" width="18.5703125" style="220" customWidth="1"/>
    <col min="4" max="4" width="17.140625" style="317" customWidth="1"/>
    <col min="5" max="5" width="17.140625" style="321" customWidth="1"/>
    <col min="6" max="6" width="24.28515625" style="220" hidden="1" customWidth="1"/>
    <col min="7" max="7" width="24.28515625" style="212" customWidth="1"/>
    <col min="8" max="8" width="24.28515625" style="212" hidden="1" customWidth="1"/>
    <col min="9" max="10" width="19.140625" style="321" customWidth="1"/>
    <col min="11" max="11" width="17.140625" style="321" customWidth="1"/>
    <col min="12" max="12" width="17.140625" style="221" customWidth="1"/>
    <col min="13" max="13" width="24.140625" style="221" customWidth="1"/>
    <col min="14" max="14" width="19.28515625" style="323" customWidth="1"/>
    <col min="15" max="15" width="17.140625" style="279" customWidth="1"/>
    <col min="16" max="16" width="25.5703125" style="212" customWidth="1"/>
    <col min="17" max="17" width="9.140625" style="203"/>
    <col min="18" max="18" width="8.42578125" style="203" bestFit="1" customWidth="1"/>
    <col min="19" max="23" width="9.140625" style="203"/>
    <col min="24" max="24" width="11.140625" style="203" customWidth="1"/>
    <col min="25" max="16384" width="9.140625" style="203"/>
  </cols>
  <sheetData>
    <row r="2" spans="1:26" s="197" customFormat="1" ht="47.25" customHeight="1" x14ac:dyDescent="0.2">
      <c r="A2" s="350" t="s">
        <v>134</v>
      </c>
      <c r="B2" s="222" t="s">
        <v>0</v>
      </c>
      <c r="C2" s="192" t="s">
        <v>135</v>
      </c>
      <c r="D2" s="195" t="s">
        <v>136</v>
      </c>
      <c r="E2" s="318" t="s">
        <v>274</v>
      </c>
      <c r="F2" s="194" t="s">
        <v>137</v>
      </c>
      <c r="G2" s="195" t="s">
        <v>152</v>
      </c>
      <c r="H2" s="195" t="s">
        <v>353</v>
      </c>
      <c r="I2" s="318" t="s">
        <v>108</v>
      </c>
      <c r="J2" s="318" t="s">
        <v>153</v>
      </c>
      <c r="K2" s="318" t="s">
        <v>273</v>
      </c>
      <c r="L2" s="193" t="s">
        <v>275</v>
      </c>
      <c r="M2" s="193" t="s">
        <v>276</v>
      </c>
      <c r="N2" s="318" t="s">
        <v>138</v>
      </c>
      <c r="O2" s="194" t="s">
        <v>139</v>
      </c>
      <c r="P2" s="196" t="s">
        <v>140</v>
      </c>
      <c r="R2" s="314"/>
    </row>
    <row r="3" spans="1:26" s="197" customFormat="1" ht="15" customHeight="1" x14ac:dyDescent="0.2">
      <c r="A3" s="351"/>
      <c r="B3" s="222"/>
      <c r="C3" s="192" t="s">
        <v>331</v>
      </c>
      <c r="D3" s="195" t="s">
        <v>141</v>
      </c>
      <c r="E3" s="318" t="s">
        <v>142</v>
      </c>
      <c r="F3" s="198"/>
      <c r="G3" s="198" t="s">
        <v>154</v>
      </c>
      <c r="H3" s="198" t="s">
        <v>354</v>
      </c>
      <c r="I3" s="318" t="s">
        <v>142</v>
      </c>
      <c r="J3" s="318" t="s">
        <v>142</v>
      </c>
      <c r="K3" s="318" t="s">
        <v>142</v>
      </c>
      <c r="L3" s="193" t="s">
        <v>142</v>
      </c>
      <c r="M3" s="193" t="s">
        <v>142</v>
      </c>
      <c r="N3" s="318" t="s">
        <v>143</v>
      </c>
      <c r="O3" s="311" t="s">
        <v>144</v>
      </c>
      <c r="P3" s="199" t="s">
        <v>145</v>
      </c>
    </row>
    <row r="4" spans="1:26" s="197" customFormat="1" ht="28.5" customHeight="1" x14ac:dyDescent="0.2">
      <c r="A4" s="351"/>
      <c r="B4" s="222"/>
      <c r="C4" s="192"/>
      <c r="D4" s="195" t="s">
        <v>155</v>
      </c>
      <c r="E4" s="318" t="s">
        <v>2</v>
      </c>
      <c r="F4" s="198"/>
      <c r="G4" s="198"/>
      <c r="H4" s="198"/>
      <c r="I4" s="318" t="s">
        <v>147</v>
      </c>
      <c r="J4" s="318"/>
      <c r="K4" s="318"/>
      <c r="L4" s="193"/>
      <c r="M4" s="193"/>
      <c r="N4" s="318" t="s">
        <v>148</v>
      </c>
      <c r="O4" s="311"/>
      <c r="P4" s="199"/>
    </row>
    <row r="5" spans="1:26" ht="15.95" customHeight="1" x14ac:dyDescent="0.2">
      <c r="A5" s="352"/>
      <c r="B5" s="216" t="s">
        <v>149</v>
      </c>
      <c r="C5" s="201"/>
      <c r="D5" s="201"/>
      <c r="E5" s="319"/>
      <c r="F5" s="201"/>
      <c r="G5" s="202"/>
      <c r="H5" s="202"/>
      <c r="I5" s="319"/>
      <c r="J5" s="319"/>
      <c r="K5" s="319"/>
      <c r="L5" s="201"/>
      <c r="M5" s="201"/>
      <c r="N5" s="319"/>
      <c r="O5" s="312"/>
      <c r="P5" s="200"/>
      <c r="X5" s="204"/>
      <c r="Y5" s="204"/>
      <c r="Z5" s="204"/>
    </row>
    <row r="6" spans="1:26" x14ac:dyDescent="0.2">
      <c r="A6" s="353"/>
      <c r="B6" s="213" t="s">
        <v>361</v>
      </c>
      <c r="C6" s="218"/>
      <c r="D6" s="316"/>
      <c r="E6" s="320"/>
      <c r="F6" s="213"/>
      <c r="G6" s="211"/>
      <c r="H6" s="211"/>
      <c r="I6" s="322"/>
      <c r="J6" s="322"/>
      <c r="K6" s="322"/>
      <c r="L6" s="219"/>
      <c r="M6" s="219"/>
      <c r="N6" s="320"/>
      <c r="O6" s="313"/>
      <c r="P6" s="217"/>
    </row>
    <row r="7" spans="1:26" x14ac:dyDescent="0.2">
      <c r="A7" s="373">
        <v>1</v>
      </c>
      <c r="B7" s="402" t="str">
        <f t="shared" ref="B7:B9" ca="1" si="0">INDIRECT(CONCATENATE("'",A7,"'!A2"))</f>
        <v>Zon-PV 60 kW op kleinverbruikersaansluiting</v>
      </c>
      <c r="C7" s="403" t="s">
        <v>150</v>
      </c>
      <c r="D7" s="404">
        <f ca="1">ROUND((E7-F7*I7-F8*I8)/N7*1000,0)</f>
        <v>389</v>
      </c>
      <c r="E7" s="405">
        <f ca="1">INDIRECT(CONCATENATE("'",$A7,"'!$C$5"))</f>
        <v>0.1197</v>
      </c>
      <c r="F7" s="226">
        <v>1</v>
      </c>
      <c r="G7" s="348">
        <v>6</v>
      </c>
      <c r="H7" s="406">
        <f>F7*I7+F8*I8</f>
        <v>3.56E-2</v>
      </c>
      <c r="I7" s="349">
        <f>ROUND(IF(OR($G7=25,$G7=24,$G7=23),(VLOOKUP(1,Correctiebedragen!$A$3:$H$107,8)+$P7*VLOOKUP($G7-5,Correctiebedragen!$A$3:$H$107,8))/(1+$P7),VLOOKUP($G7,Correctiebedragen!$A$3:$H$107,8)),4)</f>
        <v>3.56E-2</v>
      </c>
      <c r="J7" s="349">
        <f>ROUND(IF(OR($G7=25,$G7=24,$G7=23),(VLOOKUP(1,Correctiebedragen!$A$3:$H$107,6)+$P7*VLOOKUP($G7-5,Correctiebedragen!$A$3:$H$107,6))/(1+$P7),VLOOKUP($G7,Correctiebedragen!$A$3:$H$107,6)),4)</f>
        <v>2.3800000000000002E-2</v>
      </c>
      <c r="K7" s="349">
        <f>ROUND(IF(OR($G7=25,$G7=24,$G7=23),(VLOOKUP(1,Correctiebedragen!$A$3:$H$107,4)+$P7*VLOOKUP($G7-9,Correctiebedragen!$A$3:$H$107,4))/(1+$P7),VLOOKUP($G7,Correctiebedragen!$A$3:$H$107,4)),4)</f>
        <v>2.7199999999999998E-2</v>
      </c>
      <c r="L7" s="407">
        <v>4.0000000000000001E-3</v>
      </c>
      <c r="M7" s="407">
        <v>0</v>
      </c>
      <c r="N7" s="405">
        <f ca="1">INDIRECT(CONCATENATE("'",$A7,"'!$C$8"))</f>
        <v>0.216</v>
      </c>
      <c r="O7" s="408">
        <f ca="1">INDIRECT(CONCATENATE("'",$A7,"'!$D$138"))</f>
        <v>900</v>
      </c>
      <c r="P7" s="409">
        <f ca="1">ROUND(INDIRECT(CONCATENATE("'",$A7,"'!$D$137")),2)</f>
        <v>0</v>
      </c>
      <c r="R7" s="401"/>
    </row>
    <row r="8" spans="1:26" x14ac:dyDescent="0.2">
      <c r="A8" s="410"/>
      <c r="B8" s="411"/>
      <c r="C8" s="403"/>
      <c r="D8" s="404"/>
      <c r="E8" s="405"/>
      <c r="F8" s="227">
        <v>0</v>
      </c>
      <c r="G8" s="348">
        <v>7</v>
      </c>
      <c r="H8" s="412"/>
      <c r="I8" s="349">
        <f>ROUND(IF(OR($G8=25,$G8=24,$G8=23),(VLOOKUP(1,Correctiebedragen!$A$3:$H$107,8)+$P8*VLOOKUP($G8-5,Correctiebedragen!$A$3:$H$107,8))/(1+$P8),VLOOKUP($G8,Correctiebedragen!$A$3:$H$107,8)),4)</f>
        <v>7.9100000000000004E-2</v>
      </c>
      <c r="J8" s="349">
        <f>ROUND(IF(OR($G8=25,$G8=24,$G8=23),(VLOOKUP(1,Correctiebedragen!$A$3:$H$107,6)+$P8*VLOOKUP($G8-5,Correctiebedragen!$A$3:$H$107,6))/(1+$P8),VLOOKUP($G8,Correctiebedragen!$A$3:$H$107,6)),4)</f>
        <v>6.7199999999999996E-2</v>
      </c>
      <c r="K8" s="349">
        <f>ROUND(IF(OR($G8=25,$G8=24,$G8=23),(VLOOKUP(1,Correctiebedragen!$A$3:$H$107,4)+$P8*VLOOKUP($G8-9,Correctiebedragen!$A$3:$H$107,4))/(1+$P8),VLOOKUP($G8,Correctiebedragen!$A$3:$H$107,4)),4)</f>
        <v>7.0599999999999996E-2</v>
      </c>
      <c r="L8" s="407">
        <v>4.0000000000000001E-3</v>
      </c>
      <c r="M8" s="407">
        <v>0</v>
      </c>
      <c r="N8" s="405"/>
      <c r="O8" s="413"/>
      <c r="P8" s="414"/>
      <c r="R8" s="401"/>
    </row>
    <row r="9" spans="1:26" x14ac:dyDescent="0.2">
      <c r="A9" s="373">
        <v>2</v>
      </c>
      <c r="B9" s="402" t="str">
        <f t="shared" ca="1" si="0"/>
        <v>Zon-PV 250 kW op grootverbruikersaansluiting</v>
      </c>
      <c r="C9" s="403" t="s">
        <v>150</v>
      </c>
      <c r="D9" s="404">
        <f ca="1">ROUND((E9-F9*I9-F10*I10)/N9*1000,0)</f>
        <v>150</v>
      </c>
      <c r="E9" s="405">
        <f ca="1">INDIRECT(CONCATENATE("'",$A9,"'!$C$5"))</f>
        <v>8.9700000000000002E-2</v>
      </c>
      <c r="F9" s="226">
        <v>0.5</v>
      </c>
      <c r="G9" s="348">
        <v>6</v>
      </c>
      <c r="H9" s="406">
        <f>F9*I9+F10*I10</f>
        <v>5.7349999999999998E-2</v>
      </c>
      <c r="I9" s="349">
        <f>ROUND(IF(OR($G9=25,$G9=24,$G9=23),(VLOOKUP(1,Correctiebedragen!$A$3:$H$107,8)+$P9*VLOOKUP($G9-5,Correctiebedragen!$A$3:$H$107,8))/(1+$P9),VLOOKUP($G9,Correctiebedragen!$A$3:$H$107,8)),4)</f>
        <v>3.56E-2</v>
      </c>
      <c r="J9" s="349">
        <f>ROUND(IF(OR($G9=25,$G9=24,$G9=23),(VLOOKUP(1,Correctiebedragen!$A$3:$H$107,6)+$P9*VLOOKUP($G9-5,Correctiebedragen!$A$3:$H$107,6))/(1+$P9),VLOOKUP($G9,Correctiebedragen!$A$3:$H$107,6)),4)</f>
        <v>2.3800000000000002E-2</v>
      </c>
      <c r="K9" s="349">
        <f>ROUND(IF(OR($G9=25,$G9=24,$G9=23),(VLOOKUP(1,Correctiebedragen!$A$3:$H$107,4)+$P9*VLOOKUP($G9-9,Correctiebedragen!$A$3:$H$107,4))/(1+$P9),VLOOKUP($G9,Correctiebedragen!$A$3:$H$107,4)),4)</f>
        <v>2.7199999999999998E-2</v>
      </c>
      <c r="L9" s="407">
        <v>4.0000000000000001E-3</v>
      </c>
      <c r="M9" s="407">
        <v>0</v>
      </c>
      <c r="N9" s="405">
        <f ca="1">INDIRECT(CONCATENATE("'",$A9,"'!$C$8"))</f>
        <v>0.216</v>
      </c>
      <c r="O9" s="408">
        <f ca="1">INDIRECT(CONCATENATE("'",$A9,"'!$D$138"))</f>
        <v>900</v>
      </c>
      <c r="P9" s="409">
        <f ca="1">ROUND(INDIRECT(CONCATENATE("'",$A9,"'!$D$137")),2)</f>
        <v>0</v>
      </c>
      <c r="R9" s="401"/>
    </row>
    <row r="10" spans="1:26" x14ac:dyDescent="0.2">
      <c r="A10" s="410"/>
      <c r="B10" s="411"/>
      <c r="C10" s="403"/>
      <c r="D10" s="404"/>
      <c r="E10" s="405"/>
      <c r="F10" s="227">
        <v>0.5</v>
      </c>
      <c r="G10" s="348">
        <v>7</v>
      </c>
      <c r="H10" s="412"/>
      <c r="I10" s="349">
        <f>ROUND(IF(OR($G10=25,$G10=24,$G10=23),(VLOOKUP(1,Correctiebedragen!$A$3:$H$107,8)+$P10*VLOOKUP($G10-5,Correctiebedragen!$A$3:$H$107,8))/(1+$P10),VLOOKUP($G10,Correctiebedragen!$A$3:$H$107,8)),4)</f>
        <v>7.9100000000000004E-2</v>
      </c>
      <c r="J10" s="349">
        <f>ROUND(IF(OR($G10=25,$G10=24,$G10=23),(VLOOKUP(1,Correctiebedragen!$A$3:$H$107,6)+$P10*VLOOKUP($G10-5,Correctiebedragen!$A$3:$H$107,6))/(1+$P10),VLOOKUP($G10,Correctiebedragen!$A$3:$H$107,6)),4)</f>
        <v>6.7199999999999996E-2</v>
      </c>
      <c r="K10" s="349">
        <f>ROUND(IF(OR($G10=25,$G10=24,$G10=23),(VLOOKUP(1,Correctiebedragen!$A$3:$H$107,4)+$P10*VLOOKUP($G10-9,Correctiebedragen!$A$3:$H$107,4))/(1+$P10),VLOOKUP($G10,Correctiebedragen!$A$3:$H$107,4)),4)</f>
        <v>7.0599999999999996E-2</v>
      </c>
      <c r="L10" s="407">
        <v>4.0000000000000001E-3</v>
      </c>
      <c r="M10" s="407">
        <v>0</v>
      </c>
      <c r="N10" s="405"/>
      <c r="O10" s="413"/>
      <c r="P10" s="414"/>
      <c r="R10" s="401"/>
    </row>
    <row r="11" spans="1:26" ht="15" x14ac:dyDescent="0.2">
      <c r="A11" s="356">
        <v>3</v>
      </c>
      <c r="B11" s="415" t="str">
        <f t="shared" ref="B11:B18" ca="1" si="1">INDIRECT(CONCATENATE("'",A11,"'!A2"))</f>
        <v>Wind op land, 15 kW, kva</v>
      </c>
      <c r="C11" s="348" t="s">
        <v>150</v>
      </c>
      <c r="D11" s="348">
        <f t="shared" ref="D11:D18" ca="1" si="2">ROUND((E11-I11)/N11*1000,0)</f>
        <v>833</v>
      </c>
      <c r="E11" s="349">
        <f t="shared" ref="E11:E18" ca="1" si="3">INDIRECT(CONCATENATE("'",$A11,"'!$C$5"))</f>
        <v>0.2109</v>
      </c>
      <c r="F11" s="205"/>
      <c r="G11" s="348">
        <v>4</v>
      </c>
      <c r="H11" s="348">
        <f t="shared" ref="H11:H18" si="4">I11</f>
        <v>3.09E-2</v>
      </c>
      <c r="I11" s="349">
        <f>ROUND(IF(OR($G11=25,$G11=24,$G11=23),(VLOOKUP(1,Correctiebedragen!$A$3:$H$107,8)+$P11*VLOOKUP($G11-5,Correctiebedragen!$A$3:$H$107,8))/(1+$P11),VLOOKUP($G11,Correctiebedragen!$A$3:$H$107,8)),4)</f>
        <v>3.09E-2</v>
      </c>
      <c r="J11" s="349">
        <f>ROUND(IF(OR($G11=25,$G11=24,$G11=23),(VLOOKUP(1,Correctiebedragen!$A$3:$H$107,6)+$P11*VLOOKUP($G11-5,Correctiebedragen!$A$3:$H$107,6))/(1+$P11),VLOOKUP($G11,Correctiebedragen!$A$3:$H$107,6)),4)</f>
        <v>2.06E-2</v>
      </c>
      <c r="K11" s="349">
        <f>ROUND(IF(OR($G11=25,$G11=24,$G11=23),(VLOOKUP(1,Correctiebedragen!$A$3:$H$107,4)+$P11*VLOOKUP($G11-9,Correctiebedragen!$A$3:$H$107,4))/(1+$P11),VLOOKUP($G11,Correctiebedragen!$A$3:$H$107,4)),4)</f>
        <v>2.8400000000000002E-2</v>
      </c>
      <c r="L11" s="407">
        <v>4.0000000000000001E-3</v>
      </c>
      <c r="M11" s="407">
        <v>0</v>
      </c>
      <c r="N11" s="349">
        <f t="shared" ref="N11:N18" ca="1" si="5">INDIRECT(CONCATENATE("'",$A11,"'!$C$8"))</f>
        <v>0.216</v>
      </c>
      <c r="O11" s="416">
        <f t="shared" ref="O11:O18" ca="1" si="6">INDIRECT(CONCATENATE("'",$A11,"'!$D$138"))</f>
        <v>2100</v>
      </c>
      <c r="P11" s="417">
        <f t="shared" ref="P11:P18" ca="1" si="7">ROUND(INDIRECT(CONCATENATE("'",$A11,"'!$D$137")),2)</f>
        <v>0</v>
      </c>
      <c r="R11" s="401"/>
    </row>
    <row r="12" spans="1:26" ht="15" x14ac:dyDescent="0.2">
      <c r="A12" s="356">
        <v>4</v>
      </c>
      <c r="B12" s="415" t="str">
        <f t="shared" ca="1" si="1"/>
        <v>Wind op land, 1000 kW, windsnelheid &gt;8,5 m/s, op gva</v>
      </c>
      <c r="C12" s="348" t="s">
        <v>150</v>
      </c>
      <c r="D12" s="348">
        <f t="shared" ca="1" si="2"/>
        <v>221</v>
      </c>
      <c r="E12" s="349">
        <f t="shared" ca="1" si="3"/>
        <v>7.8600000000000003E-2</v>
      </c>
      <c r="F12" s="205"/>
      <c r="G12" s="348">
        <v>4</v>
      </c>
      <c r="H12" s="348">
        <f t="shared" si="4"/>
        <v>3.09E-2</v>
      </c>
      <c r="I12" s="349">
        <f>ROUND(IF(OR($G12=25,$G12=24,$G12=23),(VLOOKUP(1,Correctiebedragen!$A$3:$H$107,8)+$P12*VLOOKUP($G12-5,Correctiebedragen!$A$3:$H$107,8))/(1+$P12),VLOOKUP($G12,Correctiebedragen!$A$3:$H$107,8)),4)</f>
        <v>3.09E-2</v>
      </c>
      <c r="J12" s="349">
        <f>ROUND(IF(OR($G12=25,$G12=24,$G12=23),(VLOOKUP(1,Correctiebedragen!$A$3:$H$107,6)+$P12*VLOOKUP($G12-5,Correctiebedragen!$A$3:$H$107,6))/(1+$P12),VLOOKUP($G12,Correctiebedragen!$A$3:$H$107,6)),4)</f>
        <v>2.06E-2</v>
      </c>
      <c r="K12" s="349">
        <f>ROUND(IF(OR($G12=25,$G12=24,$G12=23),(VLOOKUP(1,Correctiebedragen!$A$3:$H$107,4)+$P12*VLOOKUP($G12-9,Correctiebedragen!$A$3:$H$107,4))/(1+$P12),VLOOKUP($G12,Correctiebedragen!$A$3:$H$107,4)),4)</f>
        <v>2.8400000000000002E-2</v>
      </c>
      <c r="L12" s="407">
        <v>4.0000000000000001E-3</v>
      </c>
      <c r="M12" s="407">
        <v>0</v>
      </c>
      <c r="N12" s="349">
        <f t="shared" ca="1" si="5"/>
        <v>0.216</v>
      </c>
      <c r="O12" s="416">
        <f t="shared" ca="1" si="6"/>
        <v>2370</v>
      </c>
      <c r="P12" s="417">
        <f t="shared" ca="1" si="7"/>
        <v>0</v>
      </c>
      <c r="R12" s="401"/>
    </row>
    <row r="13" spans="1:26" ht="15" x14ac:dyDescent="0.2">
      <c r="A13" s="356">
        <v>5</v>
      </c>
      <c r="B13" s="415" t="str">
        <f t="shared" ca="1" si="1"/>
        <v>Wind op land, 1000 kW, windsnelheid 8,0 - 8,5 m/s, op gva</v>
      </c>
      <c r="C13" s="348" t="s">
        <v>150</v>
      </c>
      <c r="D13" s="348">
        <f t="shared" ca="1" si="2"/>
        <v>248</v>
      </c>
      <c r="E13" s="349">
        <f t="shared" ca="1" si="3"/>
        <v>8.4400000000000003E-2</v>
      </c>
      <c r="F13" s="205"/>
      <c r="G13" s="348">
        <v>4</v>
      </c>
      <c r="H13" s="348">
        <f t="shared" si="4"/>
        <v>3.09E-2</v>
      </c>
      <c r="I13" s="349">
        <f>ROUND(IF(OR($G13=25,$G13=24,$G13=23),(VLOOKUP(1,Correctiebedragen!$A$3:$H$107,8)+$P13*VLOOKUP($G13-5,Correctiebedragen!$A$3:$H$107,8))/(1+$P13),VLOOKUP($G13,Correctiebedragen!$A$3:$H$107,8)),4)</f>
        <v>3.09E-2</v>
      </c>
      <c r="J13" s="349">
        <f>ROUND(IF(OR($G13=25,$G13=24,$G13=23),(VLOOKUP(1,Correctiebedragen!$A$3:$H$107,6)+$P13*VLOOKUP($G13-5,Correctiebedragen!$A$3:$H$107,6))/(1+$P13),VLOOKUP($G13,Correctiebedragen!$A$3:$H$107,6)),4)</f>
        <v>2.06E-2</v>
      </c>
      <c r="K13" s="349">
        <f>ROUND(IF(OR($G13=25,$G13=24,$G13=23),(VLOOKUP(1,Correctiebedragen!$A$3:$H$107,4)+$P13*VLOOKUP($G13-9,Correctiebedragen!$A$3:$H$107,4))/(1+$P13),VLOOKUP($G13,Correctiebedragen!$A$3:$H$107,4)),4)</f>
        <v>2.8400000000000002E-2</v>
      </c>
      <c r="L13" s="407">
        <v>4.0000000000000001E-3</v>
      </c>
      <c r="M13" s="407">
        <v>0</v>
      </c>
      <c r="N13" s="349">
        <f t="shared" ca="1" si="5"/>
        <v>0.216</v>
      </c>
      <c r="O13" s="416">
        <f t="shared" ca="1" si="6"/>
        <v>2180</v>
      </c>
      <c r="P13" s="417">
        <f t="shared" ca="1" si="7"/>
        <v>0</v>
      </c>
      <c r="R13" s="401"/>
    </row>
    <row r="14" spans="1:26" ht="15" x14ac:dyDescent="0.2">
      <c r="A14" s="356">
        <v>6</v>
      </c>
      <c r="B14" s="415" t="str">
        <f t="shared" ca="1" si="1"/>
        <v>Wind op land, 1000 kW, windsnelheid 7,5 - 8,0 m/s, op gva</v>
      </c>
      <c r="C14" s="348" t="s">
        <v>150</v>
      </c>
      <c r="D14" s="348">
        <f t="shared" ca="1" si="2"/>
        <v>299</v>
      </c>
      <c r="E14" s="349">
        <f t="shared" ca="1" si="3"/>
        <v>9.5399999999999999E-2</v>
      </c>
      <c r="F14" s="205"/>
      <c r="G14" s="348">
        <v>4</v>
      </c>
      <c r="H14" s="348">
        <f t="shared" si="4"/>
        <v>3.09E-2</v>
      </c>
      <c r="I14" s="349">
        <f>ROUND(IF(OR($G14=25,$G14=24,$G14=23),(VLOOKUP(1,Correctiebedragen!$A$3:$H$107,8)+$P14*VLOOKUP($G14-5,Correctiebedragen!$A$3:$H$107,8))/(1+$P14),VLOOKUP($G14,Correctiebedragen!$A$3:$H$107,8)),4)</f>
        <v>3.09E-2</v>
      </c>
      <c r="J14" s="349">
        <f>ROUND(IF(OR($G14=25,$G14=24,$G14=23),(VLOOKUP(1,Correctiebedragen!$A$3:$H$107,6)+$P14*VLOOKUP($G14-5,Correctiebedragen!$A$3:$H$107,6))/(1+$P14),VLOOKUP($G14,Correctiebedragen!$A$3:$H$107,6)),4)</f>
        <v>2.06E-2</v>
      </c>
      <c r="K14" s="349">
        <f>ROUND(IF(OR($G14=25,$G14=24,$G14=23),(VLOOKUP(1,Correctiebedragen!$A$3:$H$107,4)+$P14*VLOOKUP($G14-9,Correctiebedragen!$A$3:$H$107,4))/(1+$P14),VLOOKUP($G14,Correctiebedragen!$A$3:$H$107,4)),4)</f>
        <v>2.8400000000000002E-2</v>
      </c>
      <c r="L14" s="407">
        <v>4.0000000000000001E-3</v>
      </c>
      <c r="M14" s="407">
        <v>0</v>
      </c>
      <c r="N14" s="349">
        <f t="shared" ca="1" si="5"/>
        <v>0.216</v>
      </c>
      <c r="O14" s="416">
        <f t="shared" ca="1" si="6"/>
        <v>1890</v>
      </c>
      <c r="P14" s="417">
        <f t="shared" ca="1" si="7"/>
        <v>0</v>
      </c>
      <c r="R14" s="401"/>
    </row>
    <row r="15" spans="1:26" ht="15" x14ac:dyDescent="0.2">
      <c r="A15" s="356">
        <v>7</v>
      </c>
      <c r="B15" s="415" t="str">
        <f t="shared" ca="1" si="1"/>
        <v>Wind op land, 1000 kW, windsnelheid 7,0 - 7,5 m/s, op gva</v>
      </c>
      <c r="C15" s="348" t="s">
        <v>150</v>
      </c>
      <c r="D15" s="348">
        <f t="shared" ca="1" si="2"/>
        <v>329</v>
      </c>
      <c r="E15" s="349">
        <f t="shared" ca="1" si="3"/>
        <v>0.10199999999999999</v>
      </c>
      <c r="F15" s="205"/>
      <c r="G15" s="348">
        <v>4</v>
      </c>
      <c r="H15" s="348">
        <f t="shared" si="4"/>
        <v>3.09E-2</v>
      </c>
      <c r="I15" s="349">
        <f>ROUND(IF(OR($G15=25,$G15=24,$G15=23),(VLOOKUP(1,Correctiebedragen!$A$3:$H$107,8)+$P15*VLOOKUP($G15-5,Correctiebedragen!$A$3:$H$107,8))/(1+$P15),VLOOKUP($G15,Correctiebedragen!$A$3:$H$107,8)),4)</f>
        <v>3.09E-2</v>
      </c>
      <c r="J15" s="349">
        <f>ROUND(IF(OR($G15=25,$G15=24,$G15=23),(VLOOKUP(1,Correctiebedragen!$A$3:$H$107,6)+$P15*VLOOKUP($G15-5,Correctiebedragen!$A$3:$H$107,6))/(1+$P15),VLOOKUP($G15,Correctiebedragen!$A$3:$H$107,6)),4)</f>
        <v>2.06E-2</v>
      </c>
      <c r="K15" s="349">
        <f>ROUND(IF(OR($G15=25,$G15=24,$G15=23),(VLOOKUP(1,Correctiebedragen!$A$3:$H$107,4)+$P15*VLOOKUP($G15-9,Correctiebedragen!$A$3:$H$107,4))/(1+$P15),VLOOKUP($G15,Correctiebedragen!$A$3:$H$107,4)),4)</f>
        <v>2.8400000000000002E-2</v>
      </c>
      <c r="L15" s="407">
        <v>4.0000000000000001E-3</v>
      </c>
      <c r="M15" s="407">
        <v>0</v>
      </c>
      <c r="N15" s="349">
        <f t="shared" ca="1" si="5"/>
        <v>0.216</v>
      </c>
      <c r="O15" s="416">
        <f t="shared" ca="1" si="6"/>
        <v>1750</v>
      </c>
      <c r="P15" s="417">
        <f t="shared" ca="1" si="7"/>
        <v>0</v>
      </c>
      <c r="R15" s="401"/>
    </row>
    <row r="16" spans="1:26" ht="15" x14ac:dyDescent="0.2">
      <c r="A16" s="356">
        <v>8</v>
      </c>
      <c r="B16" s="415" t="str">
        <f t="shared" ca="1" si="1"/>
        <v>Wind op land, 1000 kW, windsnelheid 6,75 - 7,0 m/s, op gva</v>
      </c>
      <c r="C16" s="348" t="s">
        <v>150</v>
      </c>
      <c r="D16" s="348">
        <f t="shared" ca="1" si="2"/>
        <v>362</v>
      </c>
      <c r="E16" s="349">
        <f t="shared" ca="1" si="3"/>
        <v>0.109</v>
      </c>
      <c r="F16" s="205"/>
      <c r="G16" s="348">
        <v>4</v>
      </c>
      <c r="H16" s="348">
        <f t="shared" si="4"/>
        <v>3.09E-2</v>
      </c>
      <c r="I16" s="349">
        <f>ROUND(IF(OR($G16=25,$G16=24,$G16=23),(VLOOKUP(1,Correctiebedragen!$A$3:$H$107,8)+$P16*VLOOKUP($G16-5,Correctiebedragen!$A$3:$H$107,8))/(1+$P16),VLOOKUP($G16,Correctiebedragen!$A$3:$H$107,8)),4)</f>
        <v>3.09E-2</v>
      </c>
      <c r="J16" s="349">
        <f>ROUND(IF(OR($G16=25,$G16=24,$G16=23),(VLOOKUP(1,Correctiebedragen!$A$3:$H$107,6)+$P16*VLOOKUP($G16-5,Correctiebedragen!$A$3:$H$107,6))/(1+$P16),VLOOKUP($G16,Correctiebedragen!$A$3:$H$107,6)),4)</f>
        <v>2.06E-2</v>
      </c>
      <c r="K16" s="349">
        <f>ROUND(IF(OR($G16=25,$G16=24,$G16=23),(VLOOKUP(1,Correctiebedragen!$A$3:$H$107,4)+$P16*VLOOKUP($G16-9,Correctiebedragen!$A$3:$H$107,4))/(1+$P16),VLOOKUP($G16,Correctiebedragen!$A$3:$H$107,4)),4)</f>
        <v>2.8400000000000002E-2</v>
      </c>
      <c r="L16" s="407">
        <v>4.0000000000000001E-3</v>
      </c>
      <c r="M16" s="407">
        <v>0</v>
      </c>
      <c r="N16" s="349">
        <f t="shared" ca="1" si="5"/>
        <v>0.216</v>
      </c>
      <c r="O16" s="416">
        <f t="shared" ca="1" si="6"/>
        <v>1620</v>
      </c>
      <c r="P16" s="417">
        <f t="shared" ca="1" si="7"/>
        <v>0</v>
      </c>
      <c r="R16" s="401"/>
    </row>
    <row r="17" spans="1:18" ht="15" x14ac:dyDescent="0.2">
      <c r="A17" s="356">
        <v>9</v>
      </c>
      <c r="B17" s="415" t="str">
        <f t="shared" ca="1" si="1"/>
        <v>Wind op land, 1000 kW, windsnelheid  &lt;6,75 m/s, op gva</v>
      </c>
      <c r="C17" s="348" t="s">
        <v>150</v>
      </c>
      <c r="D17" s="348">
        <f t="shared" ca="1" si="2"/>
        <v>398</v>
      </c>
      <c r="E17" s="349">
        <f t="shared" ca="1" si="3"/>
        <v>0.1168</v>
      </c>
      <c r="F17" s="205"/>
      <c r="G17" s="348">
        <v>4</v>
      </c>
      <c r="H17" s="348">
        <f t="shared" si="4"/>
        <v>3.09E-2</v>
      </c>
      <c r="I17" s="349">
        <f>ROUND(IF(OR($G17=25,$G17=24,$G17=23),(VLOOKUP(1,Correctiebedragen!$A$3:$H$107,8)+$P17*VLOOKUP($G17-5,Correctiebedragen!$A$3:$H$107,8))/(1+$P17),VLOOKUP($G17,Correctiebedragen!$A$3:$H$107,8)),4)</f>
        <v>3.09E-2</v>
      </c>
      <c r="J17" s="349">
        <f>ROUND(IF(OR($G17=25,$G17=24,$G17=23),(VLOOKUP(1,Correctiebedragen!$A$3:$H$107,6)+$P17*VLOOKUP($G17-5,Correctiebedragen!$A$3:$H$107,6))/(1+$P17),VLOOKUP($G17,Correctiebedragen!$A$3:$H$107,6)),4)</f>
        <v>2.06E-2</v>
      </c>
      <c r="K17" s="349">
        <f>ROUND(IF(OR($G17=25,$G17=24,$G17=23),(VLOOKUP(1,Correctiebedragen!$A$3:$H$107,4)+$P17*VLOOKUP($G17-9,Correctiebedragen!$A$3:$H$107,4))/(1+$P17),VLOOKUP($G17,Correctiebedragen!$A$3:$H$107,4)),4)</f>
        <v>2.8400000000000002E-2</v>
      </c>
      <c r="L17" s="407">
        <v>4.0000000000000001E-3</v>
      </c>
      <c r="M17" s="407">
        <v>0</v>
      </c>
      <c r="N17" s="349">
        <f t="shared" ca="1" si="5"/>
        <v>0.216</v>
      </c>
      <c r="O17" s="416">
        <f t="shared" ca="1" si="6"/>
        <v>1500</v>
      </c>
      <c r="P17" s="417">
        <f t="shared" ca="1" si="7"/>
        <v>0</v>
      </c>
      <c r="R17" s="401"/>
    </row>
    <row r="18" spans="1:18" ht="15" x14ac:dyDescent="0.2">
      <c r="A18" s="356">
        <v>10</v>
      </c>
      <c r="B18" s="415" t="str">
        <f t="shared" ca="1" si="1"/>
        <v>Waterkracht 50 kW</v>
      </c>
      <c r="C18" s="348" t="s">
        <v>150</v>
      </c>
      <c r="D18" s="348">
        <f t="shared" ca="1" si="2"/>
        <v>377</v>
      </c>
      <c r="E18" s="349">
        <f t="shared" ca="1" si="3"/>
        <v>0.1263</v>
      </c>
      <c r="F18" s="205"/>
      <c r="G18" s="348">
        <v>1</v>
      </c>
      <c r="H18" s="348">
        <f t="shared" si="4"/>
        <v>4.4900000000000002E-2</v>
      </c>
      <c r="I18" s="349">
        <f>ROUND(IF(OR($G18=25,$G18=24,$G18=23),(VLOOKUP(1,Correctiebedragen!$A$3:$H$107,8)+$P18*VLOOKUP($G18-5,Correctiebedragen!$A$3:$H$107,8))/(1+$P18),VLOOKUP($G18,Correctiebedragen!$A$3:$H$107,8)),4)</f>
        <v>4.4900000000000002E-2</v>
      </c>
      <c r="J18" s="349">
        <f>ROUND(IF(OR($G18=25,$G18=24,$G18=23),(VLOOKUP(1,Correctiebedragen!$A$3:$H$107,6)+$P18*VLOOKUP($G18-5,Correctiebedragen!$A$3:$H$107,6))/(1+$P18),VLOOKUP($G18,Correctiebedragen!$A$3:$H$107,6)),4)</f>
        <v>2.9899999999999999E-2</v>
      </c>
      <c r="K18" s="349">
        <f>ROUND(IF(OR($G18=25,$G18=24,$G18=23),(VLOOKUP(1,Correctiebedragen!$A$3:$H$107,4)+$P18*VLOOKUP($G18-9,Correctiebedragen!$A$3:$H$107,4))/(1+$P18),VLOOKUP($G18,Correctiebedragen!$A$3:$H$107,4)),4)</f>
        <v>3.1199999999999999E-2</v>
      </c>
      <c r="L18" s="407">
        <v>0</v>
      </c>
      <c r="M18" s="407">
        <v>0</v>
      </c>
      <c r="N18" s="349">
        <f t="shared" ca="1" si="5"/>
        <v>0.216</v>
      </c>
      <c r="O18" s="416">
        <f t="shared" ca="1" si="6"/>
        <v>5000</v>
      </c>
      <c r="P18" s="417">
        <f t="shared" ca="1" si="7"/>
        <v>0</v>
      </c>
      <c r="R18" s="401"/>
    </row>
  </sheetData>
  <mergeCells count="18">
    <mergeCell ref="A7:A8"/>
    <mergeCell ref="A9:A10"/>
    <mergeCell ref="B7:B8"/>
    <mergeCell ref="B9:B10"/>
    <mergeCell ref="C7:C8"/>
    <mergeCell ref="P7:P8"/>
    <mergeCell ref="C9:C10"/>
    <mergeCell ref="D9:D10"/>
    <mergeCell ref="E9:E10"/>
    <mergeCell ref="H9:H10"/>
    <mergeCell ref="N9:N10"/>
    <mergeCell ref="O9:O10"/>
    <mergeCell ref="P9:P10"/>
    <mergeCell ref="D7:D8"/>
    <mergeCell ref="E7:E8"/>
    <mergeCell ref="H7:H8"/>
    <mergeCell ref="N7:N8"/>
    <mergeCell ref="O7:O8"/>
  </mergeCells>
  <conditionalFormatting sqref="P11:P18">
    <cfRule type="colorScale" priority="69">
      <colorScale>
        <cfvo type="num" val="&quot;&lt;0&quot;"/>
        <cfvo type="num" val="&quot;&gt;0&quot;"/>
        <color theme="9" tint="0.39997558519241921"/>
        <color theme="4" tint="0.79998168889431442"/>
      </colorScale>
    </cfRule>
  </conditionalFormatting>
  <conditionalFormatting sqref="P7">
    <cfRule type="colorScale" priority="3">
      <colorScale>
        <cfvo type="num" val="&quot;&lt;0&quot;"/>
        <cfvo type="num" val="&quot;&gt;0&quot;"/>
        <color theme="9" tint="0.39997558519241921"/>
        <color theme="4" tint="0.79998168889431442"/>
      </colorScale>
    </cfRule>
  </conditionalFormatting>
  <conditionalFormatting sqref="P9">
    <cfRule type="colorScale" priority="2">
      <colorScale>
        <cfvo type="num" val="&quot;&lt;0&quot;"/>
        <cfvo type="num" val="&quot;&gt;0&quot;"/>
        <color theme="9" tint="0.39997558519241921"/>
        <color theme="4" tint="0.79998168889431442"/>
      </colorScale>
    </cfRule>
  </conditionalFormatting>
  <hyperlinks>
    <hyperlink ref="B7" location="'139'!A1" display="'139'!A1" xr:uid="{0E1EA204-3911-422C-B0F1-8A20E26C97E0}"/>
    <hyperlink ref="B9" location="'139'!A1" display="'139'!A1" xr:uid="{A75D55CB-A186-43EF-9251-D2005C260F90}"/>
    <hyperlink ref="A7:B7" location="'138'!A1" display="'138'!A1" xr:uid="{B9FB58A2-59F7-4222-B76E-DFAB6199FBEE}"/>
    <hyperlink ref="A9:B9" location="'139'!A1" display="'139'!A1" xr:uid="{AB08C30C-D823-4398-AB56-8548BFEE1BC7}"/>
    <hyperlink ref="B11" location="'142'!A1" display="'142'!A1" xr:uid="{61693DD1-7AA7-4E45-BD30-B0F16BC9B721}"/>
    <hyperlink ref="B12" location="'142'!A1" display="'142'!A1" xr:uid="{358201DC-964F-4411-9AAD-0AC8B8395583}"/>
    <hyperlink ref="B13" location="'142'!A1" display="'142'!A1" xr:uid="{2115EC0D-ED23-4F66-83D9-EE3FE792FF13}"/>
    <hyperlink ref="B14" location="'142'!A1" display="'142'!A1" xr:uid="{860B0B1C-1099-45EC-A938-E046853C20BC}"/>
    <hyperlink ref="B15" location="'142'!A1" display="'142'!A1" xr:uid="{4A738CA5-1B49-46D7-BCA4-5DF303CEA5BC}"/>
    <hyperlink ref="B16" location="'142'!A1" display="'142'!A1" xr:uid="{0F4635A5-FA51-4F77-8605-FE6E79D2B86E}"/>
    <hyperlink ref="B17" location="'142'!A1" display="'142'!A1" xr:uid="{BE9EB503-A691-4DA9-9A8F-7D4ED06F8EE8}"/>
    <hyperlink ref="B18" location="'142'!A1" display="'142'!A1" xr:uid="{98FBDE96-073D-4451-A083-91C7D600C2E8}"/>
    <hyperlink ref="A11:B11" location="'3'!A1" display="'3'!A1" xr:uid="{C8BCC9F9-5C77-4268-99A4-A030306D51AA}"/>
    <hyperlink ref="A12:B12" location="'4'!A1" display="'4'!A1" xr:uid="{1EFDFEB4-5BBE-4BB7-AD45-4E1F4D4D423E}"/>
    <hyperlink ref="A13:B13" location="'5'!A1" display="'5'!A1" xr:uid="{6B2EBD63-B97B-4744-8D99-85299258B6AC}"/>
    <hyperlink ref="A14:B14" location="'6'!A1" display="'6'!A1" xr:uid="{0749B658-C6BA-4618-B847-7A243C10647A}"/>
    <hyperlink ref="A15:B15" location="'7'!A1" display="'7'!A1" xr:uid="{48641DAB-096B-4994-B30D-71CDBDD425C0}"/>
    <hyperlink ref="A16:B16" location="'8'!A1" display="'8'!A1" xr:uid="{0A33DD4A-9B44-470B-B996-760BD91B6AA0}"/>
    <hyperlink ref="A17:B17" location="'9'!A1" display="'9'!A1" xr:uid="{8CAD0823-74C1-4E1F-A23D-A7EFB45D6FFD}"/>
    <hyperlink ref="A18:B18" location="'10'!A1" display="'10'!A1" xr:uid="{14A96726-9609-4888-908F-2B0677D5B920}"/>
    <hyperlink ref="A7:B8" location="'1'!A1" display="'1'!A1" xr:uid="{DF558F60-DDBC-4F36-8D81-DC9A85431993}"/>
    <hyperlink ref="A9:B10" location="'2'!A1" display="'2'!A1" xr:uid="{9BA0BD0C-8D70-4746-B347-D9C59687B929}"/>
  </hyperlinks>
  <pageMargins left="0.25" right="0.25" top="0.75" bottom="0.75" header="0.3" footer="0.3"/>
  <pageSetup paperSize="8" scale="41" fitToHeight="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EA39-6E4C-454E-B9BE-DDB4619D6150}">
  <sheetPr codeName="Sheet1">
    <pageSetUpPr fitToPage="1"/>
  </sheetPr>
  <dimension ref="A2:AA14"/>
  <sheetViews>
    <sheetView showGridLines="0" zoomScaleNormal="100" workbookViewId="0">
      <pane xSplit="1" ySplit="4" topLeftCell="B5" activePane="bottomRight" state="frozen"/>
      <selection activeCell="A193" sqref="A193:B193"/>
      <selection pane="topRight" activeCell="A193" sqref="A193:B193"/>
      <selection pane="bottomLeft" activeCell="A193" sqref="A193:B193"/>
      <selection pane="bottomRight" activeCell="A6" sqref="A6"/>
    </sheetView>
  </sheetViews>
  <sheetFormatPr defaultColWidth="9.140625" defaultRowHeight="12.75" x14ac:dyDescent="0.2"/>
  <cols>
    <col min="1" max="1" width="89.85546875" style="224" customWidth="1"/>
    <col min="2" max="3" width="17.140625" style="215" customWidth="1"/>
    <col min="4" max="4" width="17.140625" style="214" customWidth="1"/>
    <col min="5" max="5" width="19.140625" style="223" customWidth="1"/>
    <col min="6" max="6" width="19.28515625" style="215" customWidth="1"/>
    <col min="7" max="7" width="9.140625" style="203"/>
    <col min="8" max="8" width="8.42578125" style="203" bestFit="1" customWidth="1"/>
    <col min="9" max="13" width="9.140625" style="203"/>
    <col min="14" max="14" width="11.140625" style="203" customWidth="1"/>
    <col min="15" max="16384" width="9.140625" style="203"/>
  </cols>
  <sheetData>
    <row r="2" spans="1:27" s="197" customFormat="1" ht="47.25" customHeight="1" x14ac:dyDescent="0.2">
      <c r="A2" s="222" t="s">
        <v>0</v>
      </c>
      <c r="B2" s="192" t="s">
        <v>136</v>
      </c>
      <c r="C2" s="192" t="s">
        <v>135</v>
      </c>
      <c r="D2" s="193" t="s">
        <v>274</v>
      </c>
      <c r="E2" s="193" t="s">
        <v>108</v>
      </c>
      <c r="F2" s="192" t="s">
        <v>138</v>
      </c>
    </row>
    <row r="3" spans="1:27" s="197" customFormat="1" ht="15" customHeight="1" x14ac:dyDescent="0.2">
      <c r="A3" s="222"/>
      <c r="B3" s="192" t="s">
        <v>141</v>
      </c>
      <c r="C3" s="192" t="s">
        <v>331</v>
      </c>
      <c r="D3" s="193" t="s">
        <v>142</v>
      </c>
      <c r="E3" s="193" t="s">
        <v>142</v>
      </c>
      <c r="F3" s="192" t="s">
        <v>143</v>
      </c>
    </row>
    <row r="4" spans="1:27" s="197" customFormat="1" ht="15" customHeight="1" x14ac:dyDescent="0.2">
      <c r="A4" s="222"/>
      <c r="B4" s="192" t="s">
        <v>146</v>
      </c>
      <c r="C4" s="192"/>
      <c r="D4" s="193" t="s">
        <v>2</v>
      </c>
      <c r="E4" s="193" t="s">
        <v>147</v>
      </c>
      <c r="F4" s="192" t="s">
        <v>148</v>
      </c>
    </row>
    <row r="5" spans="1:27" s="206" customFormat="1" ht="12" customHeight="1" x14ac:dyDescent="0.2">
      <c r="A5" s="205" t="s">
        <v>359</v>
      </c>
      <c r="B5" s="347">
        <f ca="1">VLOOKUP(A5,Overzicht!B:N,3,FALSE)</f>
        <v>150</v>
      </c>
      <c r="C5" s="346" t="str">
        <f ca="1">VLOOKUP(A5,Overzicht!B:N,2,FALSE)</f>
        <v>Elektriciteit (kWh)</v>
      </c>
      <c r="D5" s="346">
        <f ca="1">VLOOKUP(A5,Overzicht!B:N,4,FALSE)</f>
        <v>8.9700000000000002E-2</v>
      </c>
      <c r="E5" s="346">
        <f ca="1">VLOOKUP(A5,Overzicht!B:N,7,FALSE)</f>
        <v>5.7349999999999998E-2</v>
      </c>
      <c r="F5" s="346">
        <f ca="1">VLOOKUP(A5,Overzicht!B:N,13,FALSE)</f>
        <v>0.216</v>
      </c>
      <c r="J5" s="207"/>
      <c r="K5" s="207"/>
      <c r="L5" s="208"/>
      <c r="M5" s="207"/>
      <c r="N5" s="209"/>
      <c r="O5" s="210"/>
      <c r="P5" s="207"/>
      <c r="Q5" s="207"/>
      <c r="R5" s="207"/>
      <c r="S5" s="207"/>
      <c r="T5" s="207"/>
      <c r="U5" s="207"/>
      <c r="V5" s="207"/>
      <c r="W5" s="207"/>
      <c r="X5" s="207"/>
      <c r="Y5" s="207"/>
      <c r="Z5" s="207"/>
      <c r="AA5" s="207"/>
    </row>
    <row r="6" spans="1:27" s="206" customFormat="1" ht="12" customHeight="1" x14ac:dyDescent="0.2">
      <c r="A6" s="205" t="s">
        <v>382</v>
      </c>
      <c r="B6" s="347">
        <f ca="1">VLOOKUP(A6,Overzicht!B:N,3,FALSE)</f>
        <v>221</v>
      </c>
      <c r="C6" s="346" t="str">
        <f ca="1">VLOOKUP(A6,Overzicht!B:N,2,FALSE)</f>
        <v>Elektriciteit (kWh)</v>
      </c>
      <c r="D6" s="346">
        <f ca="1">VLOOKUP(A6,Overzicht!B:N,4,FALSE)</f>
        <v>7.8600000000000003E-2</v>
      </c>
      <c r="E6" s="346">
        <f ca="1">VLOOKUP(A6,Overzicht!B:N,7,FALSE)</f>
        <v>3.09E-2</v>
      </c>
      <c r="F6" s="346">
        <f ca="1">VLOOKUP(A6,Overzicht!B:N,13,FALSE)</f>
        <v>0.216</v>
      </c>
      <c r="N6" s="209"/>
      <c r="O6" s="210"/>
      <c r="P6" s="207"/>
    </row>
    <row r="7" spans="1:27" s="206" customFormat="1" ht="12" customHeight="1" x14ac:dyDescent="0.2">
      <c r="A7" s="205" t="s">
        <v>383</v>
      </c>
      <c r="B7" s="347">
        <f ca="1">VLOOKUP(A7,Overzicht!B:N,3,FALSE)</f>
        <v>248</v>
      </c>
      <c r="C7" s="346" t="str">
        <f ca="1">VLOOKUP(A7,Overzicht!B:N,2,FALSE)</f>
        <v>Elektriciteit (kWh)</v>
      </c>
      <c r="D7" s="346">
        <f ca="1">VLOOKUP(A7,Overzicht!B:N,4,FALSE)</f>
        <v>8.4400000000000003E-2</v>
      </c>
      <c r="E7" s="346">
        <f ca="1">VLOOKUP(A7,Overzicht!B:N,7,FALSE)</f>
        <v>3.09E-2</v>
      </c>
      <c r="F7" s="346">
        <f ca="1">VLOOKUP(A7,Overzicht!B:N,13,FALSE)</f>
        <v>0.216</v>
      </c>
      <c r="N7" s="209"/>
      <c r="O7" s="210"/>
      <c r="P7" s="207"/>
    </row>
    <row r="8" spans="1:27" s="206" customFormat="1" ht="12" customHeight="1" x14ac:dyDescent="0.2">
      <c r="A8" s="205" t="s">
        <v>384</v>
      </c>
      <c r="B8" s="347">
        <f ca="1">VLOOKUP(A8,Overzicht!B:N,3,FALSE)</f>
        <v>299</v>
      </c>
      <c r="C8" s="346" t="str">
        <f ca="1">VLOOKUP(A8,Overzicht!B:N,2,FALSE)</f>
        <v>Elektriciteit (kWh)</v>
      </c>
      <c r="D8" s="346">
        <f ca="1">VLOOKUP(A8,Overzicht!B:N,4,FALSE)</f>
        <v>9.5399999999999999E-2</v>
      </c>
      <c r="E8" s="346">
        <f ca="1">VLOOKUP(A8,Overzicht!B:N,7,FALSE)</f>
        <v>3.09E-2</v>
      </c>
      <c r="F8" s="346">
        <f ca="1">VLOOKUP(A8,Overzicht!B:N,13,FALSE)</f>
        <v>0.216</v>
      </c>
      <c r="N8" s="209"/>
      <c r="O8" s="210"/>
      <c r="P8" s="207"/>
    </row>
    <row r="9" spans="1:27" s="206" customFormat="1" ht="12" customHeight="1" x14ac:dyDescent="0.2">
      <c r="A9" s="205" t="s">
        <v>385</v>
      </c>
      <c r="B9" s="347">
        <f ca="1">VLOOKUP(A9,Overzicht!B:N,3,FALSE)</f>
        <v>329</v>
      </c>
      <c r="C9" s="346" t="str">
        <f ca="1">VLOOKUP(A9,Overzicht!B:N,2,FALSE)</f>
        <v>Elektriciteit (kWh)</v>
      </c>
      <c r="D9" s="346">
        <f ca="1">VLOOKUP(A9,Overzicht!B:N,4,FALSE)</f>
        <v>0.10199999999999999</v>
      </c>
      <c r="E9" s="346">
        <f ca="1">VLOOKUP(A9,Overzicht!B:N,7,FALSE)</f>
        <v>3.09E-2</v>
      </c>
      <c r="F9" s="346">
        <f ca="1">VLOOKUP(A9,Overzicht!B:N,13,FALSE)</f>
        <v>0.216</v>
      </c>
      <c r="N9" s="209"/>
      <c r="O9" s="210"/>
      <c r="P9" s="207"/>
    </row>
    <row r="10" spans="1:27" s="206" customFormat="1" ht="12" customHeight="1" x14ac:dyDescent="0.2">
      <c r="A10" s="205" t="s">
        <v>386</v>
      </c>
      <c r="B10" s="347">
        <f ca="1">VLOOKUP(A10,Overzicht!B:N,3,FALSE)</f>
        <v>362</v>
      </c>
      <c r="C10" s="346" t="str">
        <f ca="1">VLOOKUP(A10,Overzicht!B:N,2,FALSE)</f>
        <v>Elektriciteit (kWh)</v>
      </c>
      <c r="D10" s="346">
        <f ca="1">VLOOKUP(A10,Overzicht!B:N,4,FALSE)</f>
        <v>0.109</v>
      </c>
      <c r="E10" s="346">
        <f ca="1">VLOOKUP(A10,Overzicht!B:N,7,FALSE)</f>
        <v>3.09E-2</v>
      </c>
      <c r="F10" s="346">
        <f ca="1">VLOOKUP(A10,Overzicht!B:N,13,FALSE)</f>
        <v>0.216</v>
      </c>
      <c r="N10" s="207"/>
      <c r="O10" s="210"/>
      <c r="P10" s="207"/>
    </row>
    <row r="11" spans="1:27" s="206" customFormat="1" ht="12" customHeight="1" x14ac:dyDescent="0.25">
      <c r="A11" s="205" t="s">
        <v>360</v>
      </c>
      <c r="B11" s="347">
        <f ca="1">VLOOKUP(A11,Overzicht!B:N,3,FALSE)</f>
        <v>377</v>
      </c>
      <c r="C11" s="346" t="str">
        <f ca="1">VLOOKUP(A11,Overzicht!B:N,2,FALSE)</f>
        <v>Elektriciteit (kWh)</v>
      </c>
      <c r="D11" s="346">
        <f ca="1">VLOOKUP(A11,Overzicht!B:N,4,FALSE)</f>
        <v>0.1263</v>
      </c>
      <c r="E11" s="346">
        <f ca="1">VLOOKUP(A11,Overzicht!B:N,7,FALSE)</f>
        <v>4.4900000000000002E-2</v>
      </c>
      <c r="F11" s="346">
        <f ca="1">VLOOKUP(A11,Overzicht!B:N,13,FALSE)</f>
        <v>0.216</v>
      </c>
    </row>
    <row r="12" spans="1:27" s="206" customFormat="1" ht="12" customHeight="1" x14ac:dyDescent="0.25">
      <c r="A12" s="205" t="s">
        <v>358</v>
      </c>
      <c r="B12" s="347">
        <f ca="1">VLOOKUP(A12,Overzicht!B:N,3,FALSE)</f>
        <v>389</v>
      </c>
      <c r="C12" s="346" t="str">
        <f ca="1">VLOOKUP(A12,Overzicht!B:N,2,FALSE)</f>
        <v>Elektriciteit (kWh)</v>
      </c>
      <c r="D12" s="346">
        <f ca="1">VLOOKUP(A12,Overzicht!B:N,4,FALSE)</f>
        <v>0.1197</v>
      </c>
      <c r="E12" s="346">
        <f ca="1">VLOOKUP(A12,Overzicht!B:N,7,FALSE)</f>
        <v>3.56E-2</v>
      </c>
      <c r="F12" s="346">
        <f ca="1">VLOOKUP(A12,Overzicht!B:N,13,FALSE)</f>
        <v>0.216</v>
      </c>
    </row>
    <row r="13" spans="1:27" s="206" customFormat="1" ht="12" customHeight="1" x14ac:dyDescent="0.25">
      <c r="A13" s="205" t="s">
        <v>387</v>
      </c>
      <c r="B13" s="347">
        <f ca="1">VLOOKUP(A13,Overzicht!B:N,3,FALSE)</f>
        <v>398</v>
      </c>
      <c r="C13" s="346" t="str">
        <f ca="1">VLOOKUP(A13,Overzicht!B:N,2,FALSE)</f>
        <v>Elektriciteit (kWh)</v>
      </c>
      <c r="D13" s="346">
        <f ca="1">VLOOKUP(A13,Overzicht!B:N,4,FALSE)</f>
        <v>0.1168</v>
      </c>
      <c r="E13" s="346">
        <f ca="1">VLOOKUP(A13,Overzicht!B:N,7,FALSE)</f>
        <v>3.09E-2</v>
      </c>
      <c r="F13" s="346">
        <f ca="1">VLOOKUP(A13,Overzicht!B:N,13,FALSE)</f>
        <v>0.216</v>
      </c>
    </row>
    <row r="14" spans="1:27" s="206" customFormat="1" ht="12" customHeight="1" x14ac:dyDescent="0.25">
      <c r="A14" s="205" t="s">
        <v>381</v>
      </c>
      <c r="B14" s="347">
        <f ca="1">VLOOKUP(A14,Overzicht!B:N,3,FALSE)</f>
        <v>833</v>
      </c>
      <c r="C14" s="346" t="str">
        <f ca="1">VLOOKUP(A14,Overzicht!B:N,2,FALSE)</f>
        <v>Elektriciteit (kWh)</v>
      </c>
      <c r="D14" s="346">
        <f ca="1">VLOOKUP(A14,Overzicht!B:N,4,FALSE)</f>
        <v>0.2109</v>
      </c>
      <c r="E14" s="346">
        <f ca="1">VLOOKUP(A14,Overzicht!B:N,7,FALSE)</f>
        <v>3.09E-2</v>
      </c>
      <c r="F14" s="346">
        <f ca="1">VLOOKUP(A14,Overzicht!B:N,13,FALSE)</f>
        <v>0.216</v>
      </c>
    </row>
  </sheetData>
  <pageMargins left="0.25" right="0.25" top="0.75" bottom="0.75" header="0.3" footer="0.3"/>
  <pageSetup paperSize="9" scale="61" fitToHeight="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BDD6-1F6B-4440-B8C4-6582B51ED5CC}">
  <sheetPr codeName="Sheet6"/>
  <dimension ref="A1:S87"/>
  <sheetViews>
    <sheetView showGridLines="0" workbookViewId="0">
      <pane xSplit="1" ySplit="2" topLeftCell="B3" activePane="bottomRight" state="frozen"/>
      <selection activeCell="A193" sqref="A193:B193"/>
      <selection pane="topRight" activeCell="A193" sqref="A193:B193"/>
      <selection pane="bottomLeft" activeCell="A193" sqref="A193:B193"/>
      <selection pane="bottomRight" activeCell="A7" sqref="A7"/>
    </sheetView>
  </sheetViews>
  <sheetFormatPr defaultRowHeight="15" x14ac:dyDescent="0.25"/>
  <cols>
    <col min="1" max="1" width="11.5703125" style="272" bestFit="1" customWidth="1"/>
    <col min="2" max="2" width="40.28515625" bestFit="1" customWidth="1"/>
    <col min="3" max="3" width="19.140625" customWidth="1"/>
    <col min="4" max="4" width="14.28515625" style="272" customWidth="1"/>
    <col min="5" max="5" width="71.28515625" bestFit="1" customWidth="1"/>
    <col min="6" max="6" width="14.28515625" style="272" customWidth="1"/>
    <col min="7" max="7" width="85.140625" bestFit="1" customWidth="1"/>
    <col min="8" max="8" width="14.28515625" style="272" customWidth="1"/>
    <col min="9" max="9" width="85.140625" bestFit="1" customWidth="1"/>
  </cols>
  <sheetData>
    <row r="1" spans="1:19" ht="15.75" x14ac:dyDescent="0.25">
      <c r="A1" s="228" t="s">
        <v>156</v>
      </c>
      <c r="B1" s="229" t="s">
        <v>157</v>
      </c>
      <c r="C1" s="230" t="s">
        <v>0</v>
      </c>
      <c r="D1" s="380" t="s">
        <v>273</v>
      </c>
      <c r="E1" s="381"/>
      <c r="F1" s="382" t="s">
        <v>158</v>
      </c>
      <c r="G1" s="383"/>
      <c r="H1" s="382" t="s">
        <v>108</v>
      </c>
      <c r="I1" s="383"/>
      <c r="J1" s="231"/>
      <c r="K1" s="231"/>
      <c r="L1" s="231"/>
      <c r="M1" s="231"/>
      <c r="N1" s="231"/>
      <c r="O1" s="231"/>
      <c r="P1" s="231"/>
      <c r="Q1" s="231"/>
      <c r="R1" s="231"/>
      <c r="S1" s="231"/>
    </row>
    <row r="2" spans="1:19" ht="15.75" x14ac:dyDescent="0.25">
      <c r="A2" s="232"/>
      <c r="B2" s="233"/>
      <c r="C2" s="234"/>
      <c r="D2" s="235" t="s">
        <v>45</v>
      </c>
      <c r="E2" s="236" t="s">
        <v>159</v>
      </c>
      <c r="F2" s="237" t="s">
        <v>45</v>
      </c>
      <c r="G2" s="238" t="s">
        <v>159</v>
      </c>
      <c r="H2" s="237" t="s">
        <v>45</v>
      </c>
      <c r="I2" s="238" t="s">
        <v>159</v>
      </c>
      <c r="J2" s="231"/>
      <c r="K2" s="231"/>
      <c r="L2" s="231"/>
      <c r="M2" s="231"/>
      <c r="N2" s="231"/>
      <c r="O2" s="231"/>
      <c r="P2" s="231"/>
      <c r="Q2" s="231"/>
      <c r="R2" s="231"/>
      <c r="S2" s="231"/>
    </row>
    <row r="3" spans="1:19" ht="18" customHeight="1" x14ac:dyDescent="0.25">
      <c r="A3" s="239">
        <v>1</v>
      </c>
      <c r="B3" s="240" t="s">
        <v>160</v>
      </c>
      <c r="C3" s="241" t="s">
        <v>160</v>
      </c>
      <c r="D3" s="357">
        <f>D33</f>
        <v>3.1249932509723032E-2</v>
      </c>
      <c r="E3" s="242" t="s">
        <v>271</v>
      </c>
      <c r="F3" s="327">
        <f>2/3*$D$34</f>
        <v>2.9920834847877265E-2</v>
      </c>
      <c r="G3" s="242" t="s">
        <v>161</v>
      </c>
      <c r="H3" s="332">
        <f>$D$34</f>
        <v>4.48812522718159E-2</v>
      </c>
      <c r="I3" s="243" t="s">
        <v>162</v>
      </c>
      <c r="J3" s="231"/>
      <c r="K3" s="231"/>
      <c r="L3" s="231"/>
      <c r="M3" s="231"/>
      <c r="N3" s="231"/>
      <c r="O3" s="231"/>
      <c r="P3" s="231"/>
      <c r="Q3" s="231"/>
      <c r="R3" s="231"/>
      <c r="S3" s="231"/>
    </row>
    <row r="4" spans="1:19" ht="18" customHeight="1" x14ac:dyDescent="0.25">
      <c r="A4" s="244">
        <v>4</v>
      </c>
      <c r="B4" s="245" t="s">
        <v>163</v>
      </c>
      <c r="C4" s="246" t="s">
        <v>160</v>
      </c>
      <c r="D4" s="334">
        <f>D33*D35</f>
        <v>2.8437438583847962E-2</v>
      </c>
      <c r="E4" s="247" t="s">
        <v>345</v>
      </c>
      <c r="F4" s="328">
        <f>2/3*$D$34*$D$36</f>
        <v>2.0576927710620429E-2</v>
      </c>
      <c r="G4" s="247" t="s">
        <v>164</v>
      </c>
      <c r="H4" s="333">
        <f>$D$34*$D$36</f>
        <v>3.0865391565930645E-2</v>
      </c>
      <c r="I4" s="248" t="s">
        <v>165</v>
      </c>
      <c r="J4" s="231"/>
      <c r="K4" s="231"/>
      <c r="L4" s="231"/>
      <c r="M4" s="231"/>
      <c r="N4" s="231"/>
      <c r="O4" s="231"/>
      <c r="P4" s="231"/>
      <c r="Q4" s="231"/>
      <c r="R4" s="231"/>
      <c r="S4" s="231"/>
    </row>
    <row r="5" spans="1:19" ht="18" customHeight="1" x14ac:dyDescent="0.25">
      <c r="A5" s="244">
        <v>6</v>
      </c>
      <c r="B5" s="245" t="s">
        <v>166</v>
      </c>
      <c r="C5" s="246" t="s">
        <v>160</v>
      </c>
      <c r="D5" s="334">
        <f>D33*D37</f>
        <v>2.7187441283459037E-2</v>
      </c>
      <c r="E5" s="247" t="s">
        <v>346</v>
      </c>
      <c r="F5" s="328">
        <f>2/3*$D$34*$D$38</f>
        <v>2.3760339482496506E-2</v>
      </c>
      <c r="G5" s="247" t="s">
        <v>167</v>
      </c>
      <c r="H5" s="333">
        <f>$D$34*$D$38</f>
        <v>3.564050922374476E-2</v>
      </c>
      <c r="I5" s="248" t="s">
        <v>168</v>
      </c>
      <c r="J5" s="231"/>
      <c r="K5" s="231"/>
      <c r="L5" s="231"/>
      <c r="M5" s="231"/>
      <c r="N5" s="231"/>
      <c r="O5" s="231"/>
      <c r="P5" s="285"/>
      <c r="Q5" s="231"/>
      <c r="R5" s="231"/>
      <c r="S5" s="231"/>
    </row>
    <row r="6" spans="1:19" ht="18" customHeight="1" x14ac:dyDescent="0.25">
      <c r="A6" s="244">
        <v>7</v>
      </c>
      <c r="B6" s="245" t="s">
        <v>169</v>
      </c>
      <c r="C6" s="246" t="s">
        <v>160</v>
      </c>
      <c r="D6" s="334">
        <f>D33*D37+D47+D45</f>
        <v>7.0607441283459027E-2</v>
      </c>
      <c r="E6" s="247" t="s">
        <v>347</v>
      </c>
      <c r="F6" s="328">
        <f>2/3*$D$34*$D$38+$D$47+$D$45</f>
        <v>6.7180339482496507E-2</v>
      </c>
      <c r="G6" s="247" t="s">
        <v>170</v>
      </c>
      <c r="H6" s="333">
        <f>$D$34*$D$38+$D$47+$D$45</f>
        <v>7.906050922374476E-2</v>
      </c>
      <c r="I6" s="248" t="s">
        <v>171</v>
      </c>
      <c r="J6" s="231"/>
      <c r="K6" s="231"/>
      <c r="L6" s="231"/>
      <c r="M6" s="231"/>
      <c r="N6" s="231"/>
      <c r="O6" s="231"/>
      <c r="P6" s="231"/>
      <c r="Q6" s="231"/>
      <c r="R6" s="231"/>
      <c r="S6" s="231"/>
    </row>
    <row r="7" spans="1:19" ht="18" customHeight="1" x14ac:dyDescent="0.25">
      <c r="A7" s="244">
        <v>8</v>
      </c>
      <c r="B7" s="245" t="s">
        <v>172</v>
      </c>
      <c r="C7" s="246" t="s">
        <v>160</v>
      </c>
      <c r="D7" s="334">
        <f>D33*D37+D47</f>
        <v>6.1217441283459031E-2</v>
      </c>
      <c r="E7" s="247" t="s">
        <v>348</v>
      </c>
      <c r="F7" s="328">
        <f>2/3*$D$34*$D$38+$D$47</f>
        <v>5.7790339482496504E-2</v>
      </c>
      <c r="G7" s="247" t="s">
        <v>310</v>
      </c>
      <c r="H7" s="333">
        <f>$D$34*$D$38+$D$47</f>
        <v>6.9670509223744764E-2</v>
      </c>
      <c r="I7" s="248" t="s">
        <v>309</v>
      </c>
      <c r="J7" s="231"/>
      <c r="K7" s="231"/>
      <c r="L7" s="231"/>
      <c r="M7" s="231"/>
      <c r="N7" s="231"/>
      <c r="O7" s="231"/>
      <c r="P7" s="231"/>
      <c r="Q7" s="231"/>
      <c r="R7" s="231"/>
      <c r="S7" s="231"/>
    </row>
    <row r="8" spans="1:19" ht="18" customHeight="1" x14ac:dyDescent="0.25">
      <c r="A8" s="244">
        <v>13</v>
      </c>
      <c r="B8" s="245" t="s">
        <v>330</v>
      </c>
      <c r="C8" s="246" t="s">
        <v>173</v>
      </c>
      <c r="D8" s="334">
        <f>D39</f>
        <v>1.4688267441860471E-2</v>
      </c>
      <c r="E8" s="247" t="s">
        <v>174</v>
      </c>
      <c r="F8" s="328">
        <f>2/3*$D$41</f>
        <v>1.3517616641869091E-2</v>
      </c>
      <c r="G8" s="247" t="s">
        <v>175</v>
      </c>
      <c r="H8" s="333">
        <f>$D$41</f>
        <v>2.0276424962803637E-2</v>
      </c>
      <c r="I8" s="248" t="s">
        <v>176</v>
      </c>
      <c r="J8" s="231"/>
      <c r="K8" s="231"/>
      <c r="L8" s="231"/>
      <c r="M8" s="231"/>
      <c r="N8" s="231"/>
      <c r="O8" s="231"/>
      <c r="P8" s="231"/>
      <c r="Q8" s="231"/>
      <c r="R8" s="231"/>
      <c r="S8" s="231"/>
    </row>
    <row r="9" spans="1:19" ht="18" customHeight="1" x14ac:dyDescent="0.25">
      <c r="A9" s="244">
        <v>14</v>
      </c>
      <c r="B9" s="245" t="s">
        <v>177</v>
      </c>
      <c r="C9" s="246" t="s">
        <v>178</v>
      </c>
      <c r="D9" s="334">
        <f>(D40+D49)/90%</f>
        <v>7.0024165909434138E-2</v>
      </c>
      <c r="E9" s="249" t="s">
        <v>179</v>
      </c>
      <c r="F9" s="329">
        <f>(2/3*$D$42+$D$49)/90%</f>
        <v>6.8578781017887822E-2</v>
      </c>
      <c r="G9" s="249" t="s">
        <v>180</v>
      </c>
      <c r="H9" s="334">
        <f>($D$42+$D$49)/90%</f>
        <v>7.6923779741681686E-2</v>
      </c>
      <c r="I9" s="250" t="s">
        <v>181</v>
      </c>
      <c r="J9" s="231"/>
      <c r="K9" s="231"/>
      <c r="L9" s="231"/>
      <c r="M9" s="231"/>
      <c r="N9" s="231"/>
      <c r="O9" s="231"/>
      <c r="P9" s="231"/>
      <c r="Q9" s="231"/>
      <c r="R9" s="231"/>
      <c r="S9" s="231"/>
    </row>
    <row r="10" spans="1:19" ht="18" customHeight="1" x14ac:dyDescent="0.25">
      <c r="A10" s="244">
        <v>15</v>
      </c>
      <c r="B10" s="245" t="s">
        <v>182</v>
      </c>
      <c r="C10" s="246" t="s">
        <v>178</v>
      </c>
      <c r="D10" s="334">
        <f>(D40+D51)/90%</f>
        <v>2.8984039527127706E-2</v>
      </c>
      <c r="E10" s="249" t="s">
        <v>183</v>
      </c>
      <c r="F10" s="329">
        <f>(2/3*$D$42+$D$51)/90%</f>
        <v>2.7538654635581389E-2</v>
      </c>
      <c r="G10" s="249" t="s">
        <v>184</v>
      </c>
      <c r="H10" s="334">
        <f>($D$42+$D$51)/90%</f>
        <v>3.5883653359375246E-2</v>
      </c>
      <c r="I10" s="250" t="s">
        <v>185</v>
      </c>
      <c r="J10" s="231"/>
      <c r="K10" s="231"/>
      <c r="L10" s="231"/>
      <c r="M10" s="231"/>
      <c r="N10" s="231"/>
      <c r="O10" s="231"/>
      <c r="P10" s="231"/>
      <c r="Q10" s="231"/>
      <c r="R10" s="231"/>
      <c r="S10" s="231"/>
    </row>
    <row r="11" spans="1:19" ht="18" customHeight="1" x14ac:dyDescent="0.25">
      <c r="A11" s="244">
        <v>16</v>
      </c>
      <c r="B11" s="245" t="s">
        <v>186</v>
      </c>
      <c r="C11" s="246" t="s">
        <v>178</v>
      </c>
      <c r="D11" s="334">
        <f>(D40+D53)/90%</f>
        <v>2.3782143792530554E-2</v>
      </c>
      <c r="E11" s="249" t="s">
        <v>187</v>
      </c>
      <c r="F11" s="329">
        <f>(2/3*$D$42+$D$53)/90%</f>
        <v>2.2336758900984237E-2</v>
      </c>
      <c r="G11" s="249" t="s">
        <v>188</v>
      </c>
      <c r="H11" s="334">
        <f>($D$42+$D$53)/90%</f>
        <v>3.0681757624778094E-2</v>
      </c>
      <c r="I11" s="250" t="s">
        <v>189</v>
      </c>
      <c r="J11" s="231"/>
      <c r="K11" s="231"/>
      <c r="L11" s="231"/>
      <c r="M11" s="231"/>
      <c r="N11" s="231"/>
      <c r="O11" s="231"/>
      <c r="P11" s="231"/>
      <c r="Q11" s="231"/>
      <c r="R11" s="231"/>
      <c r="S11" s="231"/>
    </row>
    <row r="12" spans="1:19" ht="18" customHeight="1" x14ac:dyDescent="0.25">
      <c r="A12" s="244">
        <v>17</v>
      </c>
      <c r="B12" s="245" t="s">
        <v>326</v>
      </c>
      <c r="C12" s="246" t="s">
        <v>178</v>
      </c>
      <c r="D12" s="334">
        <f>70%*D40</f>
        <v>1.1425290873654438E-2</v>
      </c>
      <c r="E12" s="249" t="s">
        <v>327</v>
      </c>
      <c r="F12" s="329">
        <f>70%*2/3*$D$42</f>
        <v>1.0514698391980258E-2</v>
      </c>
      <c r="G12" s="247" t="s">
        <v>328</v>
      </c>
      <c r="H12" s="334">
        <f>70%*$D$42</f>
        <v>1.5772047587970388E-2</v>
      </c>
      <c r="I12" s="248" t="s">
        <v>329</v>
      </c>
      <c r="J12" s="231"/>
      <c r="K12" s="231"/>
      <c r="L12" s="231"/>
      <c r="M12" s="231"/>
      <c r="N12" s="231"/>
      <c r="O12" s="231"/>
      <c r="P12" s="231"/>
      <c r="Q12" s="231"/>
      <c r="R12" s="231"/>
      <c r="S12" s="231"/>
    </row>
    <row r="13" spans="1:19" ht="18" customHeight="1" x14ac:dyDescent="0.25">
      <c r="A13" s="244">
        <v>18</v>
      </c>
      <c r="B13" s="251" t="s">
        <v>190</v>
      </c>
      <c r="C13" s="246" t="s">
        <v>178</v>
      </c>
      <c r="D13" s="334">
        <f>90%*D40</f>
        <v>1.4689659694698563E-2</v>
      </c>
      <c r="E13" s="247" t="s">
        <v>191</v>
      </c>
      <c r="F13" s="328">
        <f>90%*2/3*$D$42</f>
        <v>1.3518897932546048E-2</v>
      </c>
      <c r="G13" s="247" t="s">
        <v>192</v>
      </c>
      <c r="H13" s="333">
        <f>90%*$D$42</f>
        <v>2.0278346898819074E-2</v>
      </c>
      <c r="I13" s="248" t="s">
        <v>193</v>
      </c>
      <c r="J13" s="231"/>
      <c r="K13" s="231"/>
      <c r="L13" s="231"/>
      <c r="M13" s="231"/>
      <c r="N13" s="231"/>
      <c r="O13" s="231"/>
      <c r="P13" s="231"/>
      <c r="Q13" s="231"/>
      <c r="R13" s="231"/>
      <c r="S13" s="231"/>
    </row>
    <row r="14" spans="1:19" ht="18" customHeight="1" x14ac:dyDescent="0.25">
      <c r="A14" s="244">
        <v>20</v>
      </c>
      <c r="B14" s="245" t="s">
        <v>194</v>
      </c>
      <c r="C14" s="246" t="s">
        <v>178</v>
      </c>
      <c r="D14" s="334">
        <f>D40+D53</f>
        <v>2.1403929413277498E-2</v>
      </c>
      <c r="E14" s="249" t="s">
        <v>195</v>
      </c>
      <c r="F14" s="329">
        <f>2/3*$D$42+$D$53</f>
        <v>2.0103083010885814E-2</v>
      </c>
      <c r="G14" s="249" t="s">
        <v>196</v>
      </c>
      <c r="H14" s="334">
        <f>$D$42+$D$53</f>
        <v>2.7613581862300285E-2</v>
      </c>
      <c r="I14" s="250" t="s">
        <v>197</v>
      </c>
      <c r="J14" s="231"/>
      <c r="K14" s="231"/>
      <c r="L14" s="231"/>
      <c r="M14" s="231"/>
      <c r="N14" s="231"/>
      <c r="O14" s="231"/>
      <c r="P14" s="231"/>
      <c r="Q14" s="231"/>
      <c r="R14" s="231"/>
      <c r="S14" s="231"/>
    </row>
    <row r="15" spans="1:19" ht="18" customHeight="1" x14ac:dyDescent="0.25">
      <c r="A15" s="244">
        <v>23</v>
      </c>
      <c r="B15" s="245" t="s">
        <v>198</v>
      </c>
      <c r="C15" s="246" t="s">
        <v>199</v>
      </c>
      <c r="D15" s="330" t="s">
        <v>200</v>
      </c>
      <c r="E15" s="247" t="s">
        <v>349</v>
      </c>
      <c r="F15" s="330" t="s">
        <v>200</v>
      </c>
      <c r="G15" s="247" t="s">
        <v>201</v>
      </c>
      <c r="H15" s="330" t="s">
        <v>200</v>
      </c>
      <c r="I15" s="248" t="s">
        <v>202</v>
      </c>
      <c r="J15" s="231"/>
      <c r="K15" s="231"/>
      <c r="L15" s="231"/>
      <c r="M15" s="231"/>
      <c r="N15" s="231"/>
      <c r="O15" s="231"/>
      <c r="P15" s="231"/>
      <c r="Q15" s="231"/>
      <c r="R15" s="231"/>
      <c r="S15" s="231"/>
    </row>
    <row r="16" spans="1:19" ht="18" customHeight="1" x14ac:dyDescent="0.25">
      <c r="A16" s="244">
        <v>24</v>
      </c>
      <c r="B16" s="245" t="s">
        <v>203</v>
      </c>
      <c r="C16" s="246" t="s">
        <v>199</v>
      </c>
      <c r="D16" s="330" t="s">
        <v>200</v>
      </c>
      <c r="E16" s="247" t="s">
        <v>350</v>
      </c>
      <c r="F16" s="330" t="s">
        <v>200</v>
      </c>
      <c r="G16" s="247" t="s">
        <v>204</v>
      </c>
      <c r="H16" s="330" t="s">
        <v>200</v>
      </c>
      <c r="I16" s="248" t="s">
        <v>205</v>
      </c>
      <c r="J16" s="231"/>
      <c r="K16" s="231"/>
      <c r="L16" s="231"/>
      <c r="M16" s="231"/>
      <c r="N16" s="231"/>
      <c r="O16" s="231"/>
      <c r="P16" s="231"/>
      <c r="Q16" s="231"/>
      <c r="R16" s="231"/>
      <c r="S16" s="231"/>
    </row>
    <row r="17" spans="1:19" ht="18" customHeight="1" x14ac:dyDescent="0.25">
      <c r="A17" s="244">
        <v>25</v>
      </c>
      <c r="B17" s="245" t="s">
        <v>206</v>
      </c>
      <c r="C17" s="246" t="s">
        <v>199</v>
      </c>
      <c r="D17" s="330" t="s">
        <v>200</v>
      </c>
      <c r="E17" s="247" t="s">
        <v>351</v>
      </c>
      <c r="F17" s="330" t="s">
        <v>200</v>
      </c>
      <c r="G17" s="247" t="s">
        <v>207</v>
      </c>
      <c r="H17" s="330" t="s">
        <v>200</v>
      </c>
      <c r="I17" s="248" t="s">
        <v>208</v>
      </c>
      <c r="J17" s="231"/>
      <c r="K17" s="231"/>
      <c r="L17" s="231"/>
      <c r="M17" s="231"/>
      <c r="N17" s="231"/>
      <c r="O17" s="231"/>
      <c r="P17" s="231"/>
      <c r="Q17" s="231"/>
      <c r="R17" s="231"/>
      <c r="S17" s="231"/>
    </row>
    <row r="18" spans="1:19" ht="18" customHeight="1" x14ac:dyDescent="0.25">
      <c r="A18" s="275">
        <v>30</v>
      </c>
      <c r="B18" s="276" t="s">
        <v>133</v>
      </c>
      <c r="C18" s="276" t="s">
        <v>133</v>
      </c>
      <c r="D18" s="335">
        <f>(0.29+49*D39)/39.32</f>
        <v>2.5679682213915641E-2</v>
      </c>
      <c r="E18" s="277" t="s">
        <v>277</v>
      </c>
      <c r="F18" s="331">
        <f>(0.29+2/3*49*$D$41)/39.32</f>
        <v>2.4220834574048455E-2</v>
      </c>
      <c r="G18" s="277" t="s">
        <v>278</v>
      </c>
      <c r="H18" s="331">
        <f>(0.29+49*$D$41)/39.32</f>
        <v>3.2643561118448072E-2</v>
      </c>
      <c r="I18" s="277" t="s">
        <v>279</v>
      </c>
      <c r="J18" s="231"/>
      <c r="K18" s="231"/>
      <c r="L18" s="231"/>
      <c r="M18" s="231"/>
      <c r="N18" s="231"/>
      <c r="O18" s="231"/>
      <c r="P18" s="231"/>
      <c r="Q18" s="231"/>
      <c r="R18" s="231"/>
      <c r="S18" s="231"/>
    </row>
    <row r="19" spans="1:19" ht="18" customHeight="1" x14ac:dyDescent="0.25">
      <c r="A19" s="244">
        <v>31</v>
      </c>
      <c r="B19" s="245" t="s">
        <v>209</v>
      </c>
      <c r="C19" s="246" t="s">
        <v>209</v>
      </c>
      <c r="D19" s="334">
        <f>D43</f>
        <v>23.769082568807338</v>
      </c>
      <c r="E19" s="247" t="s">
        <v>210</v>
      </c>
      <c r="F19" s="328">
        <f>2/3*$D$44</f>
        <v>26.60061182144857</v>
      </c>
      <c r="G19" s="247" t="s">
        <v>211</v>
      </c>
      <c r="H19" s="333">
        <f>$D$44</f>
        <v>39.900917732172857</v>
      </c>
      <c r="I19" s="248" t="s">
        <v>212</v>
      </c>
      <c r="J19" s="231"/>
      <c r="K19" s="231"/>
      <c r="L19" s="231"/>
      <c r="M19" s="231"/>
      <c r="N19" s="231"/>
      <c r="O19" s="231"/>
      <c r="P19" s="231"/>
      <c r="Q19" s="231"/>
      <c r="R19" s="231"/>
      <c r="S19" s="231"/>
    </row>
    <row r="20" spans="1:19" x14ac:dyDescent="0.25">
      <c r="A20" s="275">
        <v>32</v>
      </c>
      <c r="B20" s="276" t="s">
        <v>257</v>
      </c>
      <c r="C20" s="276" t="s">
        <v>258</v>
      </c>
      <c r="D20" s="335">
        <f>D55</f>
        <v>1.004</v>
      </c>
      <c r="E20" s="277" t="s">
        <v>282</v>
      </c>
      <c r="F20" s="331">
        <f>2/3*D55</f>
        <v>0.66933333333333334</v>
      </c>
      <c r="G20" s="277" t="s">
        <v>293</v>
      </c>
      <c r="H20" s="335">
        <f>D55</f>
        <v>1.004</v>
      </c>
      <c r="I20" s="277" t="s">
        <v>282</v>
      </c>
      <c r="J20" s="231"/>
      <c r="K20" s="231"/>
      <c r="L20" s="231"/>
      <c r="M20" s="231"/>
      <c r="N20" s="231"/>
      <c r="O20" s="231"/>
      <c r="P20" s="231"/>
      <c r="Q20" s="231"/>
      <c r="R20" s="231"/>
      <c r="S20" s="231"/>
    </row>
    <row r="21" spans="1:19" s="163" customFormat="1" x14ac:dyDescent="0.25">
      <c r="A21" s="275">
        <v>33</v>
      </c>
      <c r="B21" s="276" t="s">
        <v>281</v>
      </c>
      <c r="C21" s="276" t="s">
        <v>259</v>
      </c>
      <c r="D21" s="335">
        <f>D56</f>
        <v>0.87</v>
      </c>
      <c r="E21" s="277" t="s">
        <v>281</v>
      </c>
      <c r="F21" s="331">
        <f>2/3 *D56</f>
        <v>0.57999999999999996</v>
      </c>
      <c r="G21" s="277" t="s">
        <v>318</v>
      </c>
      <c r="H21" s="331">
        <f>D56</f>
        <v>0.87</v>
      </c>
      <c r="I21" s="277" t="s">
        <v>281</v>
      </c>
      <c r="J21" s="231"/>
      <c r="K21" s="231"/>
      <c r="L21" s="231"/>
      <c r="M21" s="231"/>
      <c r="N21" s="231"/>
      <c r="O21" s="231"/>
      <c r="P21" s="231"/>
      <c r="Q21" s="231"/>
      <c r="R21" s="231"/>
      <c r="S21" s="231"/>
    </row>
    <row r="22" spans="1:19" s="163" customFormat="1" x14ac:dyDescent="0.25">
      <c r="A22" s="275">
        <v>34</v>
      </c>
      <c r="B22" s="276" t="s">
        <v>260</v>
      </c>
      <c r="C22" s="276" t="s">
        <v>259</v>
      </c>
      <c r="D22" s="335">
        <f>D57</f>
        <v>1.1299999999999999</v>
      </c>
      <c r="E22" s="277" t="s">
        <v>260</v>
      </c>
      <c r="F22" s="331">
        <f>2/3 * D57</f>
        <v>0.75333333333333319</v>
      </c>
      <c r="G22" s="277" t="s">
        <v>319</v>
      </c>
      <c r="H22" s="331">
        <f>D57</f>
        <v>1.1299999999999999</v>
      </c>
      <c r="I22" s="277" t="s">
        <v>260</v>
      </c>
      <c r="J22" s="231"/>
      <c r="K22" s="231"/>
      <c r="L22" s="231"/>
      <c r="M22" s="231"/>
      <c r="N22" s="231"/>
      <c r="O22" s="231"/>
      <c r="P22" s="231"/>
      <c r="Q22" s="231"/>
      <c r="R22" s="231"/>
      <c r="S22" s="231"/>
    </row>
    <row r="23" spans="1:19" s="163" customFormat="1" x14ac:dyDescent="0.25">
      <c r="A23" s="275">
        <v>35</v>
      </c>
      <c r="B23" s="276" t="s">
        <v>261</v>
      </c>
      <c r="C23" s="276" t="s">
        <v>262</v>
      </c>
      <c r="D23" s="335">
        <f>D40/D62*1000 - 2/3 * 1000*D33/D63</f>
        <v>38.976091949096642</v>
      </c>
      <c r="E23" s="281" t="s">
        <v>301</v>
      </c>
      <c r="F23" s="331">
        <f>(2/3 * D42)/D62*1000 - 2/3 * 1000*(2/3 * D34)/D63</f>
        <v>34.539665886029624</v>
      </c>
      <c r="G23" s="281" t="s">
        <v>300</v>
      </c>
      <c r="H23" s="331">
        <f>D42/D62*1000 - 2/3 * 1000*D34/D63</f>
        <v>51.809498829044443</v>
      </c>
      <c r="I23" s="281" t="s">
        <v>302</v>
      </c>
      <c r="J23" s="282"/>
      <c r="K23" s="231"/>
      <c r="L23" s="231"/>
      <c r="M23" s="231"/>
      <c r="N23" s="231"/>
      <c r="O23" s="231"/>
      <c r="P23" s="231"/>
      <c r="Q23" s="231"/>
      <c r="R23" s="231"/>
      <c r="S23" s="231"/>
    </row>
    <row r="24" spans="1:19" x14ac:dyDescent="0.25">
      <c r="A24" s="275">
        <v>36</v>
      </c>
      <c r="B24" s="276" t="s">
        <v>263</v>
      </c>
      <c r="C24" s="276" t="s">
        <v>264</v>
      </c>
      <c r="D24" s="335">
        <f>D58</f>
        <v>5.7674719948678933E-2</v>
      </c>
      <c r="E24" s="281" t="s">
        <v>320</v>
      </c>
      <c r="F24" s="331">
        <f>2/3 * D60</f>
        <v>4.9999999999999996E-2</v>
      </c>
      <c r="G24" s="281" t="s">
        <v>307</v>
      </c>
      <c r="H24" s="335">
        <f>D60</f>
        <v>7.4999999999999997E-2</v>
      </c>
      <c r="I24" s="281" t="s">
        <v>284</v>
      </c>
      <c r="J24" s="282"/>
      <c r="K24" s="231"/>
      <c r="L24" s="231"/>
      <c r="M24" s="231"/>
      <c r="N24" s="231"/>
      <c r="O24" s="231"/>
      <c r="P24" s="231"/>
      <c r="Q24" s="231"/>
      <c r="R24" s="231"/>
      <c r="S24" s="231"/>
    </row>
    <row r="25" spans="1:19" x14ac:dyDescent="0.25">
      <c r="A25" s="275">
        <v>37</v>
      </c>
      <c r="B25" s="276" t="s">
        <v>265</v>
      </c>
      <c r="C25" s="276" t="s">
        <v>264</v>
      </c>
      <c r="D25" s="335">
        <f>0.57*D58+0.43*D59</f>
        <v>5.7576491197193269E-2</v>
      </c>
      <c r="E25" s="281" t="s">
        <v>377</v>
      </c>
      <c r="F25" s="331">
        <f>2/3*(0.57*D60+0.43*D61)</f>
        <v>4.9426666666666653E-2</v>
      </c>
      <c r="G25" s="281" t="s">
        <v>379</v>
      </c>
      <c r="H25" s="335">
        <f>0.57*D60+0.43*D61</f>
        <v>7.4139999999999984E-2</v>
      </c>
      <c r="I25" s="281" t="s">
        <v>378</v>
      </c>
      <c r="J25" s="282"/>
      <c r="K25" s="231"/>
      <c r="L25" s="231"/>
      <c r="M25" s="231"/>
      <c r="N25" s="231"/>
      <c r="O25" s="231"/>
      <c r="P25" s="231"/>
      <c r="Q25" s="231"/>
      <c r="R25" s="231"/>
      <c r="S25" s="231"/>
    </row>
    <row r="26" spans="1:19" x14ac:dyDescent="0.25">
      <c r="A26" s="275">
        <v>38</v>
      </c>
      <c r="B26" s="276" t="s">
        <v>280</v>
      </c>
      <c r="C26" s="276" t="s">
        <v>160</v>
      </c>
      <c r="D26" s="331">
        <f>2.75*D40</f>
        <v>4.4885071289356718E-2</v>
      </c>
      <c r="E26" s="281" t="s">
        <v>336</v>
      </c>
      <c r="F26" s="331">
        <f>2.75*2/3*D42</f>
        <v>4.1307743682779591E-2</v>
      </c>
      <c r="G26" s="281" t="s">
        <v>337</v>
      </c>
      <c r="H26" s="331">
        <f>2.75*D42</f>
        <v>6.1961615524169386E-2</v>
      </c>
      <c r="I26" s="281" t="s">
        <v>338</v>
      </c>
      <c r="J26" s="282"/>
      <c r="K26" s="231"/>
      <c r="L26" s="231"/>
      <c r="M26" s="231"/>
      <c r="N26" s="231"/>
      <c r="O26" s="231"/>
      <c r="P26" s="231"/>
      <c r="Q26" s="231"/>
      <c r="R26" s="231"/>
      <c r="S26" s="231"/>
    </row>
    <row r="27" spans="1:19" x14ac:dyDescent="0.25">
      <c r="A27" s="275">
        <v>39</v>
      </c>
      <c r="B27" s="276" t="s">
        <v>339</v>
      </c>
      <c r="C27" s="276" t="s">
        <v>173</v>
      </c>
      <c r="D27" s="331">
        <f>D40</f>
        <v>1.6321844105220626E-2</v>
      </c>
      <c r="E27" s="281" t="s">
        <v>228</v>
      </c>
      <c r="F27" s="331">
        <f>2/3*D42</f>
        <v>1.5020997702828942E-2</v>
      </c>
      <c r="G27" s="281" t="s">
        <v>340</v>
      </c>
      <c r="H27" s="331">
        <f>D42</f>
        <v>2.2531496554243413E-2</v>
      </c>
      <c r="I27" s="281" t="s">
        <v>232</v>
      </c>
      <c r="J27" s="282"/>
      <c r="K27" s="231"/>
      <c r="L27" s="231"/>
      <c r="M27" s="231"/>
      <c r="N27" s="231"/>
      <c r="O27" s="231"/>
      <c r="P27" s="231"/>
      <c r="Q27" s="231"/>
      <c r="R27" s="231"/>
      <c r="S27" s="231"/>
    </row>
    <row r="28" spans="1:19" x14ac:dyDescent="0.25">
      <c r="A28" s="275">
        <v>40</v>
      </c>
      <c r="B28" s="245" t="s">
        <v>341</v>
      </c>
      <c r="C28" s="246" t="s">
        <v>264</v>
      </c>
      <c r="D28" s="334">
        <f>D39+0.00319</f>
        <v>1.7878267441860472E-2</v>
      </c>
      <c r="E28" s="247" t="s">
        <v>342</v>
      </c>
      <c r="F28" s="328">
        <f>2/3*D41+0.00319</f>
        <v>1.6707616641869091E-2</v>
      </c>
      <c r="G28" s="247" t="s">
        <v>343</v>
      </c>
      <c r="H28" s="333">
        <f>D41+0.00319</f>
        <v>2.3466424962803635E-2</v>
      </c>
      <c r="I28" s="248" t="s">
        <v>344</v>
      </c>
      <c r="J28" s="282"/>
      <c r="K28" s="231"/>
      <c r="L28" s="231"/>
      <c r="M28" s="231"/>
      <c r="N28" s="231"/>
      <c r="O28" s="231"/>
      <c r="P28" s="231"/>
      <c r="Q28" s="231"/>
      <c r="R28" s="231"/>
      <c r="S28" s="231"/>
    </row>
    <row r="29" spans="1:19" x14ac:dyDescent="0.25">
      <c r="A29" s="275">
        <v>41</v>
      </c>
      <c r="B29" s="276" t="s">
        <v>362</v>
      </c>
      <c r="C29" s="276" t="s">
        <v>178</v>
      </c>
      <c r="D29" s="335">
        <f>$D$64</f>
        <v>4.2299999999999997E-2</v>
      </c>
      <c r="E29" s="277" t="s">
        <v>362</v>
      </c>
      <c r="F29" s="335">
        <f>2/3*$D$64</f>
        <v>2.8199999999999996E-2</v>
      </c>
      <c r="G29" s="277" t="s">
        <v>365</v>
      </c>
      <c r="H29" s="335">
        <f>$D$64</f>
        <v>4.2299999999999997E-2</v>
      </c>
      <c r="I29" s="277" t="s">
        <v>362</v>
      </c>
      <c r="J29" s="282"/>
      <c r="K29" s="231"/>
      <c r="L29" s="231"/>
      <c r="M29" s="231"/>
      <c r="N29" s="231"/>
      <c r="O29" s="231"/>
      <c r="P29" s="231"/>
      <c r="Q29" s="231"/>
      <c r="R29" s="231"/>
      <c r="S29" s="231"/>
    </row>
    <row r="30" spans="1:19" x14ac:dyDescent="0.25">
      <c r="A30" s="275">
        <v>42</v>
      </c>
      <c r="B30" s="276" t="s">
        <v>371</v>
      </c>
      <c r="C30" s="276" t="s">
        <v>264</v>
      </c>
      <c r="D30" s="335">
        <f>0.3*D58+0.7*D59</f>
        <v>5.7514812678818548E-2</v>
      </c>
      <c r="E30" s="277" t="s">
        <v>374</v>
      </c>
      <c r="F30" s="335">
        <f>2/3*(0.3*D60+0.7*D61)</f>
        <v>4.9066666666666661E-2</v>
      </c>
      <c r="G30" s="277" t="s">
        <v>372</v>
      </c>
      <c r="H30" s="335">
        <f>0.3*D60+0.7*D61</f>
        <v>7.3599999999999999E-2</v>
      </c>
      <c r="I30" s="277" t="s">
        <v>373</v>
      </c>
      <c r="J30" s="282"/>
      <c r="K30" s="231"/>
      <c r="L30" s="231"/>
      <c r="M30" s="231"/>
      <c r="N30" s="231"/>
      <c r="O30" s="231"/>
      <c r="P30" s="231"/>
      <c r="Q30" s="231"/>
      <c r="R30" s="231"/>
      <c r="S30" s="231"/>
    </row>
    <row r="31" spans="1:19" ht="15.75" thickBot="1" x14ac:dyDescent="0.3">
      <c r="A31" s="284"/>
      <c r="B31" s="283"/>
      <c r="D31" s="335"/>
      <c r="E31" s="277"/>
      <c r="F31" s="331"/>
      <c r="G31" s="277"/>
      <c r="H31" s="335"/>
      <c r="I31" s="277"/>
      <c r="J31" s="231"/>
      <c r="K31" s="231"/>
      <c r="L31" s="231"/>
      <c r="M31" s="231"/>
      <c r="N31" s="231"/>
      <c r="O31" s="231"/>
      <c r="P31" s="231"/>
      <c r="Q31" s="231"/>
      <c r="R31" s="231"/>
      <c r="S31" s="231"/>
    </row>
    <row r="32" spans="1:19" ht="18" customHeight="1" x14ac:dyDescent="0.25">
      <c r="A32" s="290" t="s">
        <v>213</v>
      </c>
      <c r="B32" s="253" t="s">
        <v>157</v>
      </c>
      <c r="C32" s="252"/>
      <c r="D32" s="254" t="s">
        <v>45</v>
      </c>
      <c r="E32" s="255" t="s">
        <v>46</v>
      </c>
      <c r="F32" s="252" t="s">
        <v>214</v>
      </c>
      <c r="G32" s="256"/>
      <c r="H32" s="289"/>
      <c r="J32" s="231"/>
      <c r="K32" s="231"/>
      <c r="L32" s="231"/>
      <c r="M32" s="231"/>
      <c r="N32" s="231"/>
      <c r="O32" s="231"/>
      <c r="P32" s="231"/>
      <c r="Q32" s="231"/>
      <c r="R32" s="231"/>
      <c r="S32" s="231"/>
    </row>
    <row r="33" spans="1:19" ht="18" customHeight="1" x14ac:dyDescent="0.25">
      <c r="A33" s="291" t="s">
        <v>271</v>
      </c>
      <c r="B33" s="258" t="s">
        <v>215</v>
      </c>
      <c r="C33" s="257"/>
      <c r="D33" s="336">
        <v>3.1249932509723032E-2</v>
      </c>
      <c r="E33" s="259" t="s">
        <v>216</v>
      </c>
      <c r="F33" s="278" t="s">
        <v>270</v>
      </c>
      <c r="G33" s="260"/>
      <c r="H33" s="261"/>
      <c r="I33" s="261"/>
      <c r="J33" s="231"/>
      <c r="K33" s="231"/>
      <c r="L33" s="231"/>
      <c r="M33" s="231"/>
      <c r="N33" s="231"/>
      <c r="O33" s="231"/>
      <c r="P33" s="231"/>
      <c r="Q33" s="231"/>
      <c r="R33" s="231"/>
      <c r="S33" s="231"/>
    </row>
    <row r="34" spans="1:19" ht="18" customHeight="1" x14ac:dyDescent="0.25">
      <c r="A34" s="292" t="s">
        <v>162</v>
      </c>
      <c r="B34" s="263" t="s">
        <v>217</v>
      </c>
      <c r="C34" s="262"/>
      <c r="D34" s="337">
        <v>4.48812522718159E-2</v>
      </c>
      <c r="E34" s="264" t="s">
        <v>216</v>
      </c>
      <c r="F34" s="278" t="s">
        <v>367</v>
      </c>
      <c r="G34" s="265"/>
      <c r="H34" s="261"/>
      <c r="I34" s="261"/>
      <c r="J34" s="231"/>
      <c r="K34" s="231"/>
      <c r="L34" s="231"/>
      <c r="M34" s="231"/>
      <c r="N34" s="231"/>
      <c r="O34" s="231"/>
      <c r="P34" s="231"/>
      <c r="Q34" s="231"/>
      <c r="R34" s="231"/>
      <c r="S34" s="231"/>
    </row>
    <row r="35" spans="1:19" ht="18" customHeight="1" x14ac:dyDescent="0.25">
      <c r="A35" s="292" t="s">
        <v>218</v>
      </c>
      <c r="B35" s="278" t="s">
        <v>219</v>
      </c>
      <c r="C35" s="262"/>
      <c r="D35" s="358">
        <v>0.91</v>
      </c>
      <c r="E35" s="266" t="s">
        <v>151</v>
      </c>
      <c r="F35" s="278" t="s">
        <v>269</v>
      </c>
      <c r="G35" s="265"/>
      <c r="H35" s="261"/>
      <c r="J35" s="231"/>
      <c r="K35" s="231"/>
      <c r="L35" s="231"/>
      <c r="M35" s="231"/>
      <c r="N35" s="231"/>
      <c r="O35" s="231"/>
      <c r="P35" s="231"/>
      <c r="Q35" s="231"/>
      <c r="R35" s="231"/>
      <c r="S35" s="231"/>
    </row>
    <row r="36" spans="1:19" ht="18" customHeight="1" x14ac:dyDescent="0.25">
      <c r="A36" s="292" t="s">
        <v>220</v>
      </c>
      <c r="B36" s="278" t="s">
        <v>221</v>
      </c>
      <c r="C36" s="262"/>
      <c r="D36" s="358">
        <v>0.68771235211975579</v>
      </c>
      <c r="E36" s="266" t="s">
        <v>151</v>
      </c>
      <c r="F36" s="278" t="s">
        <v>368</v>
      </c>
      <c r="G36" s="265"/>
      <c r="H36" s="261"/>
      <c r="I36" s="261"/>
      <c r="J36" s="231"/>
      <c r="K36" s="231"/>
      <c r="L36" s="231"/>
      <c r="M36" s="231"/>
      <c r="N36" s="231"/>
      <c r="O36" s="231"/>
      <c r="P36" s="231"/>
      <c r="Q36" s="231"/>
      <c r="R36" s="231"/>
      <c r="S36" s="231"/>
    </row>
    <row r="37" spans="1:19" ht="18" customHeight="1" x14ac:dyDescent="0.25">
      <c r="A37" s="292" t="s">
        <v>222</v>
      </c>
      <c r="B37" s="278" t="s">
        <v>223</v>
      </c>
      <c r="C37" s="262"/>
      <c r="D37" s="358">
        <v>0.87</v>
      </c>
      <c r="E37" s="266" t="s">
        <v>151</v>
      </c>
      <c r="F37" s="278" t="s">
        <v>269</v>
      </c>
      <c r="G37" s="265"/>
      <c r="H37" s="261"/>
      <c r="I37" s="261"/>
      <c r="J37" s="231"/>
      <c r="K37" s="231"/>
      <c r="L37" s="231"/>
      <c r="M37" s="231"/>
      <c r="N37" s="231"/>
      <c r="O37" s="231"/>
      <c r="P37" s="231"/>
      <c r="Q37" s="231"/>
      <c r="R37" s="231"/>
      <c r="S37" s="231"/>
    </row>
    <row r="38" spans="1:19" ht="18" customHeight="1" x14ac:dyDescent="0.25">
      <c r="A38" s="292" t="s">
        <v>224</v>
      </c>
      <c r="B38" s="278" t="s">
        <v>225</v>
      </c>
      <c r="C38" s="262"/>
      <c r="D38" s="358">
        <v>0.79410683569820861</v>
      </c>
      <c r="E38" s="266" t="s">
        <v>151</v>
      </c>
      <c r="F38" s="278" t="s">
        <v>352</v>
      </c>
      <c r="G38" s="265"/>
      <c r="H38" s="261"/>
      <c r="I38" s="261"/>
      <c r="J38" s="231"/>
      <c r="K38" s="231"/>
      <c r="L38" s="231"/>
      <c r="M38" s="231"/>
      <c r="N38" s="231"/>
      <c r="O38" s="231"/>
      <c r="P38" s="231"/>
      <c r="Q38" s="231"/>
      <c r="R38" s="231"/>
      <c r="S38" s="231"/>
    </row>
    <row r="39" spans="1:19" ht="18" x14ac:dyDescent="0.35">
      <c r="A39" s="292" t="s">
        <v>174</v>
      </c>
      <c r="B39" s="278" t="s">
        <v>226</v>
      </c>
      <c r="C39" s="262"/>
      <c r="D39" s="338">
        <v>1.4688267441860471E-2</v>
      </c>
      <c r="E39" s="264" t="s">
        <v>227</v>
      </c>
      <c r="F39" s="278" t="s">
        <v>272</v>
      </c>
      <c r="G39" s="265"/>
      <c r="H39" s="261"/>
      <c r="I39" s="261"/>
      <c r="J39" s="231"/>
      <c r="K39" s="231"/>
      <c r="L39" s="231"/>
      <c r="M39" s="231"/>
      <c r="N39" s="231"/>
      <c r="O39" s="231"/>
      <c r="P39" s="231"/>
      <c r="Q39" s="231"/>
      <c r="R39" s="231"/>
      <c r="S39" s="231"/>
    </row>
    <row r="40" spans="1:19" ht="18" x14ac:dyDescent="0.35">
      <c r="A40" s="292" t="s">
        <v>228</v>
      </c>
      <c r="B40" s="278" t="s">
        <v>229</v>
      </c>
      <c r="C40" s="267"/>
      <c r="D40" s="338">
        <v>1.6321844105220626E-2</v>
      </c>
      <c r="E40" s="264" t="s">
        <v>230</v>
      </c>
      <c r="F40" s="278" t="s">
        <v>272</v>
      </c>
      <c r="G40" s="265"/>
      <c r="H40" s="261"/>
      <c r="I40" s="261"/>
    </row>
    <row r="41" spans="1:19" ht="18" x14ac:dyDescent="0.35">
      <c r="A41" s="292" t="s">
        <v>176</v>
      </c>
      <c r="B41" s="263" t="s">
        <v>231</v>
      </c>
      <c r="C41" s="267"/>
      <c r="D41" s="339">
        <v>2.0276424962803637E-2</v>
      </c>
      <c r="E41" s="264" t="s">
        <v>227</v>
      </c>
      <c r="F41" s="278" t="s">
        <v>369</v>
      </c>
      <c r="G41" s="265"/>
      <c r="H41" s="261"/>
      <c r="I41" s="261"/>
    </row>
    <row r="42" spans="1:19" ht="18" x14ac:dyDescent="0.35">
      <c r="A42" s="292" t="s">
        <v>232</v>
      </c>
      <c r="B42" s="263" t="s">
        <v>233</v>
      </c>
      <c r="C42" s="267"/>
      <c r="D42" s="339">
        <v>2.2531496554243413E-2</v>
      </c>
      <c r="E42" s="264" t="s">
        <v>230</v>
      </c>
      <c r="F42" s="278" t="s">
        <v>369</v>
      </c>
      <c r="G42" s="265"/>
      <c r="H42" s="261"/>
      <c r="I42" s="261"/>
    </row>
    <row r="43" spans="1:19" ht="18" x14ac:dyDescent="0.35">
      <c r="A43" s="292" t="s">
        <v>210</v>
      </c>
      <c r="B43" s="278" t="s">
        <v>234</v>
      </c>
      <c r="C43" s="267"/>
      <c r="D43" s="339">
        <v>23.769082568807338</v>
      </c>
      <c r="E43" s="268" t="s">
        <v>235</v>
      </c>
      <c r="F43" s="278" t="s">
        <v>266</v>
      </c>
      <c r="G43" s="265"/>
      <c r="H43" s="261"/>
      <c r="I43" s="261"/>
    </row>
    <row r="44" spans="1:19" ht="18" x14ac:dyDescent="0.35">
      <c r="A44" s="292" t="s">
        <v>212</v>
      </c>
      <c r="B44" s="278" t="s">
        <v>236</v>
      </c>
      <c r="C44" s="267"/>
      <c r="D44" s="339">
        <v>39.900917732172857</v>
      </c>
      <c r="E44" s="268" t="s">
        <v>235</v>
      </c>
      <c r="F44" s="278" t="s">
        <v>370</v>
      </c>
      <c r="G44" s="265"/>
      <c r="H44" s="261"/>
      <c r="I44" s="261"/>
    </row>
    <row r="45" spans="1:19" ht="18" customHeight="1" x14ac:dyDescent="0.25">
      <c r="A45" s="292" t="s">
        <v>237</v>
      </c>
      <c r="B45" s="278" t="s">
        <v>238</v>
      </c>
      <c r="C45" s="267"/>
      <c r="D45" s="339">
        <v>9.3900000000000008E-3</v>
      </c>
      <c r="E45" s="264" t="s">
        <v>216</v>
      </c>
      <c r="F45" s="278" t="s">
        <v>267</v>
      </c>
      <c r="G45" s="265"/>
      <c r="H45" s="261"/>
      <c r="I45" s="261"/>
    </row>
    <row r="46" spans="1:19" ht="18" customHeight="1" x14ac:dyDescent="0.25">
      <c r="A46" s="292" t="s">
        <v>239</v>
      </c>
      <c r="B46" s="278" t="s">
        <v>104</v>
      </c>
      <c r="C46" s="269"/>
      <c r="D46" s="340" t="s">
        <v>151</v>
      </c>
      <c r="E46" s="266" t="s">
        <v>151</v>
      </c>
      <c r="F46" s="278" t="s">
        <v>240</v>
      </c>
      <c r="G46" s="270"/>
      <c r="H46" s="271"/>
      <c r="I46" s="271"/>
    </row>
    <row r="47" spans="1:19" ht="18" customHeight="1" x14ac:dyDescent="0.25">
      <c r="A47" s="292" t="s">
        <v>241</v>
      </c>
      <c r="B47" s="278" t="s">
        <v>242</v>
      </c>
      <c r="C47" s="267"/>
      <c r="D47" s="374">
        <v>3.4029999999999998E-2</v>
      </c>
      <c r="E47" s="384" t="s">
        <v>216</v>
      </c>
      <c r="F47" s="278" t="s">
        <v>268</v>
      </c>
      <c r="G47" s="265"/>
      <c r="H47" s="261"/>
      <c r="I47" s="261"/>
    </row>
    <row r="48" spans="1:19" ht="18" customHeight="1" x14ac:dyDescent="0.25">
      <c r="A48" s="292" t="s">
        <v>243</v>
      </c>
      <c r="B48" s="278" t="s">
        <v>244</v>
      </c>
      <c r="C48" s="267"/>
      <c r="D48" s="374"/>
      <c r="E48" s="384"/>
      <c r="F48" s="278" t="s">
        <v>268</v>
      </c>
      <c r="G48" s="265"/>
      <c r="H48" s="261"/>
      <c r="I48" s="261"/>
    </row>
    <row r="49" spans="1:10" ht="18" customHeight="1" x14ac:dyDescent="0.25">
      <c r="A49" s="292" t="s">
        <v>245</v>
      </c>
      <c r="B49" s="278" t="s">
        <v>246</v>
      </c>
      <c r="C49" s="267"/>
      <c r="D49" s="374">
        <v>4.6699905213270103E-2</v>
      </c>
      <c r="E49" s="375" t="s">
        <v>230</v>
      </c>
      <c r="F49" s="278" t="s">
        <v>268</v>
      </c>
      <c r="G49" s="265"/>
      <c r="H49" s="261"/>
      <c r="I49" s="261"/>
    </row>
    <row r="50" spans="1:10" ht="18" customHeight="1" x14ac:dyDescent="0.25">
      <c r="A50" s="292" t="s">
        <v>247</v>
      </c>
      <c r="B50" s="278" t="s">
        <v>248</v>
      </c>
      <c r="C50" s="267"/>
      <c r="D50" s="374"/>
      <c r="E50" s="375"/>
      <c r="F50" s="278" t="s">
        <v>268</v>
      </c>
      <c r="G50" s="265"/>
      <c r="H50" s="261"/>
      <c r="I50" s="261"/>
    </row>
    <row r="51" spans="1:10" ht="18" customHeight="1" x14ac:dyDescent="0.25">
      <c r="A51" s="292" t="s">
        <v>249</v>
      </c>
      <c r="B51" s="278" t="s">
        <v>250</v>
      </c>
      <c r="C51" s="267"/>
      <c r="D51" s="374">
        <v>9.7637914691943092E-3</v>
      </c>
      <c r="E51" s="375" t="s">
        <v>230</v>
      </c>
      <c r="F51" s="278" t="s">
        <v>268</v>
      </c>
      <c r="G51" s="265"/>
      <c r="H51" s="261"/>
      <c r="I51" s="261"/>
    </row>
    <row r="52" spans="1:10" ht="18" customHeight="1" x14ac:dyDescent="0.25">
      <c r="A52" s="292" t="s">
        <v>251</v>
      </c>
      <c r="B52" s="278" t="s">
        <v>252</v>
      </c>
      <c r="C52" s="267"/>
      <c r="D52" s="374"/>
      <c r="E52" s="375"/>
      <c r="F52" s="278" t="s">
        <v>268</v>
      </c>
      <c r="G52" s="265"/>
      <c r="H52" s="261"/>
      <c r="I52" s="261"/>
    </row>
    <row r="53" spans="1:10" ht="18" customHeight="1" x14ac:dyDescent="0.25">
      <c r="A53" s="293" t="s">
        <v>253</v>
      </c>
      <c r="B53" s="294" t="s">
        <v>254</v>
      </c>
      <c r="C53" s="295"/>
      <c r="D53" s="376">
        <v>5.08208530805687E-3</v>
      </c>
      <c r="E53" s="378" t="s">
        <v>230</v>
      </c>
      <c r="F53" s="278" t="s">
        <v>268</v>
      </c>
      <c r="G53" s="296"/>
      <c r="H53" s="261"/>
      <c r="I53" s="261"/>
    </row>
    <row r="54" spans="1:10" x14ac:dyDescent="0.25">
      <c r="A54" s="297" t="s">
        <v>255</v>
      </c>
      <c r="B54" s="298" t="s">
        <v>256</v>
      </c>
      <c r="C54" s="299"/>
      <c r="D54" s="377"/>
      <c r="E54" s="379"/>
      <c r="F54" s="278" t="s">
        <v>268</v>
      </c>
      <c r="G54" s="300"/>
      <c r="H54" s="261"/>
      <c r="I54" s="261"/>
    </row>
    <row r="55" spans="1:10" x14ac:dyDescent="0.25">
      <c r="A55" s="297" t="s">
        <v>282</v>
      </c>
      <c r="B55" s="298" t="s">
        <v>283</v>
      </c>
      <c r="C55" s="298"/>
      <c r="D55" s="341">
        <v>1.004</v>
      </c>
      <c r="E55" s="264" t="s">
        <v>291</v>
      </c>
      <c r="F55" s="278" t="s">
        <v>292</v>
      </c>
      <c r="G55" s="300"/>
      <c r="H55" s="280"/>
      <c r="I55" s="280"/>
      <c r="J55" s="280"/>
    </row>
    <row r="56" spans="1:10" x14ac:dyDescent="0.25">
      <c r="A56" s="297" t="s">
        <v>281</v>
      </c>
      <c r="B56" s="298" t="s">
        <v>316</v>
      </c>
      <c r="C56" s="298"/>
      <c r="D56" s="341">
        <v>0.87</v>
      </c>
      <c r="E56" s="298" t="s">
        <v>311</v>
      </c>
      <c r="F56" s="278" t="s">
        <v>314</v>
      </c>
      <c r="G56" s="300"/>
      <c r="H56" s="280"/>
      <c r="I56" s="315"/>
      <c r="J56" s="280"/>
    </row>
    <row r="57" spans="1:10" x14ac:dyDescent="0.25">
      <c r="A57" s="297" t="s">
        <v>260</v>
      </c>
      <c r="B57" s="307" t="s">
        <v>317</v>
      </c>
      <c r="C57" s="298"/>
      <c r="D57" s="341">
        <v>1.1299999999999999</v>
      </c>
      <c r="E57" s="307" t="s">
        <v>312</v>
      </c>
      <c r="F57" s="278" t="s">
        <v>315</v>
      </c>
      <c r="G57" s="300"/>
      <c r="H57" s="280"/>
      <c r="I57" s="280"/>
      <c r="J57" s="280"/>
    </row>
    <row r="58" spans="1:10" x14ac:dyDescent="0.25">
      <c r="A58" s="297" t="s">
        <v>320</v>
      </c>
      <c r="B58" s="307" t="s">
        <v>324</v>
      </c>
      <c r="C58" s="298"/>
      <c r="D58" s="341">
        <v>5.7674719948678933E-2</v>
      </c>
      <c r="E58" s="264" t="s">
        <v>304</v>
      </c>
      <c r="F58" s="278" t="s">
        <v>323</v>
      </c>
      <c r="G58" s="300"/>
      <c r="H58" s="280"/>
      <c r="I58" s="280"/>
      <c r="J58" s="280"/>
    </row>
    <row r="59" spans="1:10" x14ac:dyDescent="0.25">
      <c r="A59" s="297" t="s">
        <v>321</v>
      </c>
      <c r="B59" s="307" t="s">
        <v>325</v>
      </c>
      <c r="C59" s="298"/>
      <c r="D59" s="341">
        <v>5.7446280991735536E-2</v>
      </c>
      <c r="E59" s="264" t="s">
        <v>304</v>
      </c>
      <c r="F59" s="278" t="s">
        <v>323</v>
      </c>
      <c r="G59" s="300"/>
      <c r="H59" s="280"/>
      <c r="I59" s="280"/>
      <c r="J59" s="280"/>
    </row>
    <row r="60" spans="1:10" x14ac:dyDescent="0.25">
      <c r="A60" s="297" t="s">
        <v>284</v>
      </c>
      <c r="B60" s="307" t="s">
        <v>322</v>
      </c>
      <c r="C60" s="298"/>
      <c r="D60" s="341">
        <v>7.4999999999999997E-2</v>
      </c>
      <c r="E60" s="264" t="s">
        <v>304</v>
      </c>
      <c r="F60" s="278" t="s">
        <v>313</v>
      </c>
      <c r="G60" s="300"/>
      <c r="H60" s="280"/>
      <c r="I60" s="280"/>
      <c r="J60" s="280"/>
    </row>
    <row r="61" spans="1:10" x14ac:dyDescent="0.25">
      <c r="A61" s="297" t="s">
        <v>306</v>
      </c>
      <c r="B61" s="307" t="s">
        <v>305</v>
      </c>
      <c r="C61" s="298"/>
      <c r="D61" s="341">
        <v>7.2999999999999995E-2</v>
      </c>
      <c r="E61" s="298" t="s">
        <v>304</v>
      </c>
      <c r="F61" s="278" t="s">
        <v>313</v>
      </c>
      <c r="G61" s="300"/>
      <c r="H61" s="280"/>
      <c r="I61" s="280"/>
      <c r="J61" s="280"/>
    </row>
    <row r="62" spans="1:10" x14ac:dyDescent="0.25">
      <c r="A62" s="304" t="s">
        <v>298</v>
      </c>
      <c r="B62" s="305" t="s">
        <v>294</v>
      </c>
      <c r="C62" s="305"/>
      <c r="D62" s="342">
        <v>0.21832258064516127</v>
      </c>
      <c r="E62" s="305" t="s">
        <v>296</v>
      </c>
      <c r="F62" s="278" t="s">
        <v>376</v>
      </c>
      <c r="G62" s="306"/>
      <c r="H62" s="280"/>
      <c r="I62" s="280"/>
      <c r="J62" s="280"/>
    </row>
    <row r="63" spans="1:10" ht="15.75" thickBot="1" x14ac:dyDescent="0.3">
      <c r="A63" s="301" t="s">
        <v>299</v>
      </c>
      <c r="B63" s="302" t="s">
        <v>295</v>
      </c>
      <c r="C63" s="302"/>
      <c r="D63" s="343">
        <v>0.58219354838709703</v>
      </c>
      <c r="E63" s="302" t="s">
        <v>297</v>
      </c>
      <c r="F63" s="278" t="s">
        <v>375</v>
      </c>
      <c r="G63" s="303"/>
      <c r="H63" s="280"/>
      <c r="I63" s="280"/>
      <c r="J63" s="280"/>
    </row>
    <row r="64" spans="1:10" ht="15.75" thickBot="1" x14ac:dyDescent="0.3">
      <c r="A64" s="301" t="s">
        <v>362</v>
      </c>
      <c r="B64" s="302" t="s">
        <v>363</v>
      </c>
      <c r="C64" s="302"/>
      <c r="D64" s="343">
        <v>4.2299999999999997E-2</v>
      </c>
      <c r="E64" s="302" t="s">
        <v>364</v>
      </c>
      <c r="F64" s="278" t="s">
        <v>366</v>
      </c>
      <c r="G64" s="303"/>
      <c r="H64" s="280"/>
      <c r="I64" s="280"/>
      <c r="J64" s="280"/>
    </row>
    <row r="65" spans="1:10" x14ac:dyDescent="0.25">
      <c r="A65" s="280"/>
      <c r="B65" s="280"/>
      <c r="C65" s="280"/>
      <c r="D65" s="280"/>
      <c r="E65" s="280"/>
      <c r="F65" s="280"/>
      <c r="G65" s="280"/>
      <c r="H65" s="280"/>
      <c r="I65" s="280"/>
      <c r="J65" s="280"/>
    </row>
    <row r="66" spans="1:10" x14ac:dyDescent="0.25">
      <c r="A66" s="280"/>
      <c r="B66" s="280"/>
      <c r="C66" s="280"/>
      <c r="D66" s="280"/>
      <c r="E66" s="280"/>
      <c r="F66" s="280"/>
      <c r="G66" s="280"/>
      <c r="H66" s="280"/>
      <c r="I66" s="280"/>
      <c r="J66" s="280"/>
    </row>
    <row r="67" spans="1:10" x14ac:dyDescent="0.25">
      <c r="A67" s="280"/>
      <c r="B67" s="280"/>
      <c r="C67" s="280"/>
      <c r="D67" s="280"/>
      <c r="E67" s="280"/>
      <c r="F67" s="280"/>
      <c r="G67" s="280"/>
      <c r="H67" s="280"/>
      <c r="I67" s="280"/>
      <c r="J67" s="280"/>
    </row>
    <row r="68" spans="1:10" x14ac:dyDescent="0.25">
      <c r="A68" s="280"/>
      <c r="B68" s="280"/>
      <c r="C68" s="280"/>
      <c r="D68" s="280"/>
      <c r="E68" s="280"/>
      <c r="F68" s="280"/>
      <c r="G68" s="280"/>
      <c r="H68" s="280"/>
      <c r="I68" s="280"/>
      <c r="J68" s="280"/>
    </row>
    <row r="69" spans="1:10" x14ac:dyDescent="0.25">
      <c r="A69" s="280"/>
      <c r="B69" s="280"/>
      <c r="C69" s="280"/>
      <c r="D69" s="280"/>
      <c r="E69" s="280"/>
      <c r="F69" s="280"/>
      <c r="G69" s="280"/>
      <c r="H69" s="280"/>
      <c r="I69" s="280"/>
      <c r="J69" s="280"/>
    </row>
    <row r="70" spans="1:10" x14ac:dyDescent="0.25">
      <c r="A70" s="280"/>
      <c r="B70" s="280"/>
      <c r="C70" s="280"/>
      <c r="D70" s="280"/>
      <c r="E70" s="280"/>
      <c r="F70" s="280"/>
      <c r="G70" s="280"/>
      <c r="H70" s="280"/>
      <c r="I70" s="280"/>
      <c r="J70" s="280"/>
    </row>
    <row r="71" spans="1:10" x14ac:dyDescent="0.25">
      <c r="A71" s="280"/>
      <c r="B71" s="280"/>
      <c r="C71" s="280"/>
      <c r="D71" s="280"/>
      <c r="E71" s="280"/>
      <c r="F71" s="280"/>
      <c r="G71" s="280"/>
      <c r="H71" s="280"/>
      <c r="I71" s="280"/>
      <c r="J71" s="280"/>
    </row>
    <row r="72" spans="1:10" x14ac:dyDescent="0.25">
      <c r="A72" s="280"/>
      <c r="B72" s="280"/>
      <c r="C72" s="280"/>
      <c r="D72" s="280"/>
      <c r="E72" s="280"/>
      <c r="F72" s="280"/>
      <c r="G72" s="280"/>
      <c r="H72" s="280"/>
      <c r="I72" s="280"/>
      <c r="J72" s="280"/>
    </row>
    <row r="73" spans="1:10" x14ac:dyDescent="0.25">
      <c r="A73" s="280"/>
      <c r="B73" s="280"/>
      <c r="C73" s="280"/>
      <c r="D73" s="280"/>
      <c r="E73" s="280"/>
      <c r="F73" s="280"/>
      <c r="G73" s="280"/>
      <c r="H73" s="280"/>
      <c r="I73" s="280"/>
      <c r="J73" s="280"/>
    </row>
    <row r="78" spans="1:10" x14ac:dyDescent="0.25">
      <c r="C78" s="280"/>
      <c r="D78" s="280"/>
      <c r="E78" s="280"/>
    </row>
    <row r="79" spans="1:10" x14ac:dyDescent="0.25">
      <c r="C79" s="280"/>
      <c r="D79" s="280"/>
      <c r="E79" s="280"/>
    </row>
    <row r="80" spans="1:10" x14ac:dyDescent="0.25">
      <c r="C80" s="280"/>
      <c r="D80" s="280"/>
      <c r="E80" s="280"/>
    </row>
    <row r="81" spans="3:5" x14ac:dyDescent="0.25">
      <c r="C81" s="280"/>
      <c r="D81" s="280"/>
      <c r="E81" s="280"/>
    </row>
    <row r="82" spans="3:5" x14ac:dyDescent="0.25">
      <c r="C82" s="280"/>
      <c r="D82" s="280"/>
      <c r="E82" s="280"/>
    </row>
    <row r="83" spans="3:5" x14ac:dyDescent="0.25">
      <c r="C83" s="280"/>
      <c r="D83" s="280"/>
      <c r="E83" s="280"/>
    </row>
    <row r="84" spans="3:5" x14ac:dyDescent="0.25">
      <c r="C84" s="280"/>
      <c r="D84" s="280"/>
      <c r="E84" s="280"/>
    </row>
    <row r="85" spans="3:5" x14ac:dyDescent="0.25">
      <c r="C85" s="280"/>
      <c r="D85" s="280"/>
      <c r="E85" s="280"/>
    </row>
    <row r="86" spans="3:5" x14ac:dyDescent="0.25">
      <c r="C86" s="280"/>
      <c r="D86" s="280"/>
      <c r="E86" s="280"/>
    </row>
    <row r="87" spans="3:5" x14ac:dyDescent="0.25">
      <c r="C87" s="280"/>
      <c r="D87" s="280"/>
      <c r="E87" s="280"/>
    </row>
  </sheetData>
  <mergeCells count="11">
    <mergeCell ref="F1:G1"/>
    <mergeCell ref="H1:I1"/>
    <mergeCell ref="D47:D48"/>
    <mergeCell ref="E47:E48"/>
    <mergeCell ref="D49:D50"/>
    <mergeCell ref="E49:E50"/>
    <mergeCell ref="D51:D52"/>
    <mergeCell ref="E51:E52"/>
    <mergeCell ref="D53:D54"/>
    <mergeCell ref="E53:E54"/>
    <mergeCell ref="D1:E1"/>
  </mergeCells>
  <pageMargins left="0.7" right="0.7" top="0.75" bottom="0.75" header="0.3" footer="0.3"/>
  <pageSetup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59613-DCF4-494B-86BF-E9E6C7A6E415}">
  <sheetPr codeName="Sheet92">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358</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0.1197</v>
      </c>
      <c r="D5" s="130" t="str">
        <f>CONCATENATE("Euro/",$C$9)</f>
        <v>Euro/kWh</v>
      </c>
      <c r="E5" s="385"/>
      <c r="F5" s="386"/>
      <c r="G5" s="386"/>
      <c r="H5" s="386"/>
      <c r="I5" s="386"/>
      <c r="J5" s="386"/>
      <c r="K5" s="386"/>
      <c r="L5" s="386"/>
      <c r="M5" s="387"/>
      <c r="N5" s="31"/>
    </row>
    <row r="6" spans="1:26" x14ac:dyDescent="0.2">
      <c r="B6" s="3" t="s">
        <v>106</v>
      </c>
      <c r="C6" s="131">
        <f>ROUND((C5-C7)/C8*1000,0)</f>
        <v>389</v>
      </c>
      <c r="D6" s="30" t="s">
        <v>107</v>
      </c>
      <c r="E6" s="385"/>
      <c r="F6" s="386"/>
      <c r="G6" s="386"/>
      <c r="H6" s="386"/>
      <c r="I6" s="386"/>
      <c r="J6" s="386"/>
      <c r="K6" s="386"/>
      <c r="L6" s="386"/>
      <c r="M6" s="387"/>
      <c r="N6" s="31"/>
    </row>
    <row r="7" spans="1:26" x14ac:dyDescent="0.2">
      <c r="B7" s="3" t="s">
        <v>108</v>
      </c>
      <c r="C7" s="325">
        <v>3.56E-2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60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60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900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658</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3.9480000000000001E-2</v>
      </c>
      <c r="D36" s="41" t="s">
        <v>56</v>
      </c>
      <c r="E36" s="385"/>
      <c r="F36" s="386"/>
      <c r="G36" s="386"/>
      <c r="H36" s="386"/>
      <c r="I36" s="386"/>
      <c r="J36" s="386"/>
      <c r="K36" s="386"/>
      <c r="L36" s="386"/>
      <c r="M36" s="387"/>
    </row>
    <row r="37" spans="1:13" x14ac:dyDescent="0.2">
      <c r="A37" s="37"/>
      <c r="B37" s="12" t="s">
        <v>22</v>
      </c>
      <c r="C37" s="52">
        <v>32.799999999999997</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1.9679999999999997</v>
      </c>
      <c r="D39" s="41" t="s">
        <v>57</v>
      </c>
      <c r="E39" s="385"/>
      <c r="F39" s="386"/>
      <c r="G39" s="386"/>
      <c r="H39" s="386"/>
      <c r="I39" s="386"/>
      <c r="J39" s="386"/>
      <c r="K39" s="386"/>
      <c r="L39" s="386"/>
      <c r="M39" s="387"/>
    </row>
    <row r="40" spans="1:13" x14ac:dyDescent="0.2">
      <c r="A40" s="37"/>
      <c r="B40" s="5" t="s">
        <v>24</v>
      </c>
      <c r="C40" s="54">
        <v>2.8999999999999998E-3</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3.7999999999999999E-2</v>
      </c>
      <c r="D60" s="35" t="s">
        <v>78</v>
      </c>
      <c r="E60" s="286"/>
      <c r="F60" s="286"/>
      <c r="G60" s="286"/>
      <c r="H60" s="286"/>
      <c r="I60" s="286"/>
      <c r="J60" s="286"/>
      <c r="K60" s="286"/>
      <c r="L60" s="286"/>
      <c r="M60" s="286"/>
    </row>
    <row r="61" spans="1:13" x14ac:dyDescent="0.2">
      <c r="A61" s="37"/>
      <c r="B61" s="4" t="s">
        <v>287</v>
      </c>
      <c r="C61" s="56">
        <v>845</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0.13300000000000001</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v>13</v>
      </c>
      <c r="D81" s="225">
        <v>-780</v>
      </c>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-39480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54000</v>
      </c>
      <c r="F94" s="93">
        <f t="shared" si="1"/>
        <v>54000</v>
      </c>
      <c r="G94" s="93">
        <f t="shared" si="1"/>
        <v>54000</v>
      </c>
      <c r="H94" s="93">
        <f t="shared" si="1"/>
        <v>54000</v>
      </c>
      <c r="I94" s="93">
        <f t="shared" si="1"/>
        <v>54000</v>
      </c>
      <c r="J94" s="93">
        <f t="shared" si="1"/>
        <v>54000</v>
      </c>
      <c r="K94" s="93">
        <f t="shared" si="1"/>
        <v>54000</v>
      </c>
      <c r="L94" s="93">
        <f t="shared" si="1"/>
        <v>54000</v>
      </c>
      <c r="M94" s="93">
        <f t="shared" si="1"/>
        <v>54000</v>
      </c>
      <c r="N94" s="93">
        <f t="shared" si="1"/>
        <v>54000</v>
      </c>
      <c r="O94" s="93">
        <f t="shared" si="1"/>
        <v>54000</v>
      </c>
      <c r="P94" s="93">
        <f t="shared" si="1"/>
        <v>54000</v>
      </c>
      <c r="Q94" s="93">
        <f t="shared" si="1"/>
        <v>54000</v>
      </c>
      <c r="R94" s="93">
        <f t="shared" si="1"/>
        <v>54000</v>
      </c>
      <c r="S94" s="93">
        <f t="shared" si="1"/>
        <v>54000</v>
      </c>
      <c r="T94" s="93">
        <f t="shared" si="1"/>
        <v>50700</v>
      </c>
      <c r="U94" s="93">
        <f t="shared" si="1"/>
        <v>50700</v>
      </c>
      <c r="V94" s="93">
        <f t="shared" si="1"/>
        <v>50700</v>
      </c>
      <c r="W94" s="93">
        <f t="shared" si="1"/>
        <v>50700</v>
      </c>
      <c r="X94" s="93">
        <f t="shared" si="1"/>
        <v>50700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54000</v>
      </c>
      <c r="F97" s="99">
        <f t="shared" ref="F97:AR97" si="4">SUM(F94:F96)</f>
        <v>54000</v>
      </c>
      <c r="G97" s="99">
        <f t="shared" si="4"/>
        <v>54000</v>
      </c>
      <c r="H97" s="99">
        <f t="shared" si="4"/>
        <v>54000</v>
      </c>
      <c r="I97" s="99">
        <f t="shared" si="4"/>
        <v>54000</v>
      </c>
      <c r="J97" s="99">
        <f t="shared" si="4"/>
        <v>54000</v>
      </c>
      <c r="K97" s="99">
        <f t="shared" si="4"/>
        <v>54000</v>
      </c>
      <c r="L97" s="99">
        <f t="shared" si="4"/>
        <v>54000</v>
      </c>
      <c r="M97" s="99">
        <f t="shared" si="4"/>
        <v>54000</v>
      </c>
      <c r="N97" s="99">
        <f t="shared" si="4"/>
        <v>54000</v>
      </c>
      <c r="O97" s="99">
        <f t="shared" si="4"/>
        <v>54000</v>
      </c>
      <c r="P97" s="99">
        <f t="shared" si="4"/>
        <v>54000</v>
      </c>
      <c r="Q97" s="99">
        <f t="shared" si="4"/>
        <v>54000</v>
      </c>
      <c r="R97" s="99">
        <f t="shared" si="4"/>
        <v>54000</v>
      </c>
      <c r="S97" s="99">
        <f t="shared" si="4"/>
        <v>54000</v>
      </c>
      <c r="T97" s="99">
        <f t="shared" si="4"/>
        <v>50700</v>
      </c>
      <c r="U97" s="99">
        <f t="shared" si="4"/>
        <v>50700</v>
      </c>
      <c r="V97" s="99">
        <f t="shared" si="4"/>
        <v>50700</v>
      </c>
      <c r="W97" s="99">
        <f t="shared" si="4"/>
        <v>50700</v>
      </c>
      <c r="X97" s="99">
        <f t="shared" si="4"/>
        <v>50700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-2124.6</v>
      </c>
      <c r="F99" s="93">
        <f t="shared" si="5"/>
        <v>-2156.4689999999996</v>
      </c>
      <c r="G99" s="93">
        <f t="shared" si="5"/>
        <v>-2188.8160349999994</v>
      </c>
      <c r="H99" s="93">
        <f t="shared" si="5"/>
        <v>-2221.648275524999</v>
      </c>
      <c r="I99" s="93">
        <f t="shared" si="5"/>
        <v>-2254.9729996578735</v>
      </c>
      <c r="J99" s="93">
        <f t="shared" si="5"/>
        <v>-2288.7975946527417</v>
      </c>
      <c r="K99" s="93">
        <f t="shared" si="5"/>
        <v>-2323.129558572532</v>
      </c>
      <c r="L99" s="93">
        <f t="shared" si="5"/>
        <v>-2357.9765019511196</v>
      </c>
      <c r="M99" s="93">
        <f t="shared" si="5"/>
        <v>-2393.3461494803864</v>
      </c>
      <c r="N99" s="93">
        <f t="shared" si="5"/>
        <v>-2429.2463417225918</v>
      </c>
      <c r="O99" s="93">
        <f t="shared" si="5"/>
        <v>-2465.6850368484306</v>
      </c>
      <c r="P99" s="93">
        <f t="shared" si="5"/>
        <v>-2502.6703124011565</v>
      </c>
      <c r="Q99" s="93">
        <f t="shared" si="5"/>
        <v>-3472.7925408271694</v>
      </c>
      <c r="R99" s="93">
        <f t="shared" si="5"/>
        <v>-2578.3135225934811</v>
      </c>
      <c r="S99" s="93">
        <f t="shared" si="5"/>
        <v>-2616.9882254323825</v>
      </c>
      <c r="T99" s="93">
        <f t="shared" si="5"/>
        <v>-2644.2783279359855</v>
      </c>
      <c r="U99" s="93">
        <f t="shared" si="5"/>
        <v>-2683.9425028550249</v>
      </c>
      <c r="V99" s="93">
        <f t="shared" si="5"/>
        <v>-2724.2016403978496</v>
      </c>
      <c r="W99" s="93">
        <f t="shared" si="5"/>
        <v>-2765.0646650038175</v>
      </c>
      <c r="X99" s="93">
        <f t="shared" si="5"/>
        <v>-2806.5406349788746</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3.7999999999999999E-2</v>
      </c>
      <c r="U101" s="100">
        <f t="shared" si="7"/>
        <v>3.7999999999999999E-2</v>
      </c>
      <c r="V101" s="100">
        <f t="shared" si="7"/>
        <v>3.7999999999999999E-2</v>
      </c>
      <c r="W101" s="100">
        <f t="shared" si="7"/>
        <v>3.7999999999999999E-2</v>
      </c>
      <c r="X101" s="100">
        <f t="shared" si="7"/>
        <v>3.7999999999999999E-2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3.7999999999999999E-2</v>
      </c>
      <c r="U103" s="100">
        <f t="shared" si="9"/>
        <v>3.7999999999999999E-2</v>
      </c>
      <c r="V103" s="100">
        <f t="shared" si="9"/>
        <v>3.7999999999999999E-2</v>
      </c>
      <c r="W103" s="100">
        <f t="shared" si="9"/>
        <v>3.7999999999999999E-2</v>
      </c>
      <c r="X103" s="100">
        <f t="shared" si="9"/>
        <v>3.7999999999999999E-2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1926.6</v>
      </c>
      <c r="U106" s="105">
        <f t="shared" si="12"/>
        <v>1926.6</v>
      </c>
      <c r="V106" s="105">
        <f t="shared" si="12"/>
        <v>1926.6</v>
      </c>
      <c r="W106" s="105">
        <f t="shared" si="12"/>
        <v>1926.6</v>
      </c>
      <c r="X106" s="105">
        <f t="shared" si="12"/>
        <v>1926.6</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1926.6</v>
      </c>
      <c r="U108" s="93">
        <f t="shared" si="13"/>
        <v>1926.6</v>
      </c>
      <c r="V108" s="93">
        <f t="shared" si="13"/>
        <v>1926.6</v>
      </c>
      <c r="W108" s="93">
        <f t="shared" si="13"/>
        <v>1926.6</v>
      </c>
      <c r="X108" s="93">
        <f t="shared" si="13"/>
        <v>1926.6</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-2124.6</v>
      </c>
      <c r="F109" s="96">
        <f t="shared" si="14"/>
        <v>-2156.4689999999996</v>
      </c>
      <c r="G109" s="96">
        <f t="shared" si="14"/>
        <v>-2188.8160349999994</v>
      </c>
      <c r="H109" s="96">
        <f t="shared" si="14"/>
        <v>-2221.648275524999</v>
      </c>
      <c r="I109" s="96">
        <f t="shared" si="14"/>
        <v>-2254.9729996578735</v>
      </c>
      <c r="J109" s="96">
        <f t="shared" si="14"/>
        <v>-2288.7975946527417</v>
      </c>
      <c r="K109" s="96">
        <f t="shared" si="14"/>
        <v>-2323.129558572532</v>
      </c>
      <c r="L109" s="96">
        <f t="shared" si="14"/>
        <v>-2357.9765019511196</v>
      </c>
      <c r="M109" s="96">
        <f t="shared" si="14"/>
        <v>-2393.3461494803864</v>
      </c>
      <c r="N109" s="96">
        <f t="shared" si="14"/>
        <v>-2429.2463417225918</v>
      </c>
      <c r="O109" s="96">
        <f t="shared" si="14"/>
        <v>-2465.6850368484306</v>
      </c>
      <c r="P109" s="96">
        <f t="shared" si="14"/>
        <v>-2502.6703124011565</v>
      </c>
      <c r="Q109" s="96">
        <f t="shared" si="14"/>
        <v>-3472.7925408271694</v>
      </c>
      <c r="R109" s="96">
        <f t="shared" si="14"/>
        <v>-2578.3135225934811</v>
      </c>
      <c r="S109" s="96">
        <f t="shared" si="14"/>
        <v>-2616.9882254323825</v>
      </c>
      <c r="T109" s="96">
        <f t="shared" si="14"/>
        <v>-2644.2783279359855</v>
      </c>
      <c r="U109" s="96">
        <f t="shared" si="14"/>
        <v>-2683.9425028550249</v>
      </c>
      <c r="V109" s="96">
        <f t="shared" si="14"/>
        <v>-2724.2016403978496</v>
      </c>
      <c r="W109" s="96">
        <f t="shared" si="14"/>
        <v>-2765.0646650038175</v>
      </c>
      <c r="X109" s="96">
        <f t="shared" si="14"/>
        <v>-2806.5406349788746</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-2124.6</v>
      </c>
      <c r="F110" s="105">
        <f t="shared" ref="F110:AR110" si="15">SUM(F108:F109)</f>
        <v>-2156.4689999999996</v>
      </c>
      <c r="G110" s="105">
        <f t="shared" si="15"/>
        <v>-2188.8160349999994</v>
      </c>
      <c r="H110" s="105">
        <f t="shared" si="15"/>
        <v>-2221.648275524999</v>
      </c>
      <c r="I110" s="105">
        <f t="shared" si="15"/>
        <v>-2254.9729996578735</v>
      </c>
      <c r="J110" s="105">
        <f t="shared" si="15"/>
        <v>-2288.7975946527417</v>
      </c>
      <c r="K110" s="105">
        <f t="shared" si="15"/>
        <v>-2323.129558572532</v>
      </c>
      <c r="L110" s="105">
        <f t="shared" si="15"/>
        <v>-2357.9765019511196</v>
      </c>
      <c r="M110" s="105">
        <f t="shared" si="15"/>
        <v>-2393.3461494803864</v>
      </c>
      <c r="N110" s="105">
        <f t="shared" si="15"/>
        <v>-2429.2463417225918</v>
      </c>
      <c r="O110" s="105">
        <f t="shared" si="15"/>
        <v>-2465.6850368484306</v>
      </c>
      <c r="P110" s="105">
        <f t="shared" si="15"/>
        <v>-2502.6703124011565</v>
      </c>
      <c r="Q110" s="105">
        <f t="shared" si="15"/>
        <v>-3472.7925408271694</v>
      </c>
      <c r="R110" s="105">
        <f t="shared" si="15"/>
        <v>-2578.3135225934811</v>
      </c>
      <c r="S110" s="105">
        <f t="shared" si="15"/>
        <v>-2616.9882254323825</v>
      </c>
      <c r="T110" s="105">
        <f t="shared" si="15"/>
        <v>-717.67832793598564</v>
      </c>
      <c r="U110" s="105">
        <f t="shared" si="15"/>
        <v>-757.34250285502503</v>
      </c>
      <c r="V110" s="105">
        <f t="shared" si="15"/>
        <v>-797.60164039784968</v>
      </c>
      <c r="W110" s="105">
        <f t="shared" si="15"/>
        <v>-838.46466500381757</v>
      </c>
      <c r="X110" s="105">
        <f t="shared" si="15"/>
        <v>-879.94063497887464</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-2632</v>
      </c>
      <c r="F112" s="93">
        <f t="shared" si="16"/>
        <v>-2632</v>
      </c>
      <c r="G112" s="93">
        <f t="shared" si="16"/>
        <v>-2632</v>
      </c>
      <c r="H112" s="93">
        <f t="shared" si="16"/>
        <v>-2632</v>
      </c>
      <c r="I112" s="93">
        <f t="shared" si="16"/>
        <v>-2632</v>
      </c>
      <c r="J112" s="93">
        <f t="shared" si="16"/>
        <v>-2632</v>
      </c>
      <c r="K112" s="93">
        <f t="shared" si="16"/>
        <v>-2632</v>
      </c>
      <c r="L112" s="93">
        <f t="shared" si="16"/>
        <v>-2632</v>
      </c>
      <c r="M112" s="93">
        <f t="shared" si="16"/>
        <v>-2632</v>
      </c>
      <c r="N112" s="93">
        <f t="shared" si="16"/>
        <v>-2632</v>
      </c>
      <c r="O112" s="93">
        <f t="shared" si="16"/>
        <v>-2632</v>
      </c>
      <c r="P112" s="93">
        <f t="shared" si="16"/>
        <v>-2632</v>
      </c>
      <c r="Q112" s="93">
        <f t="shared" si="16"/>
        <v>-2632</v>
      </c>
      <c r="R112" s="93">
        <f t="shared" si="16"/>
        <v>-2632</v>
      </c>
      <c r="S112" s="93">
        <f t="shared" si="16"/>
        <v>-2632</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-1105.44</v>
      </c>
      <c r="F113" s="96">
        <f t="shared" si="17"/>
        <v>-1048.1504953200126</v>
      </c>
      <c r="G113" s="96">
        <f t="shared" si="17"/>
        <v>-988.85585797622582</v>
      </c>
      <c r="H113" s="96">
        <f t="shared" si="17"/>
        <v>-927.48590832540594</v>
      </c>
      <c r="I113" s="96">
        <f t="shared" si="17"/>
        <v>-863.96801043680796</v>
      </c>
      <c r="J113" s="96">
        <f t="shared" si="17"/>
        <v>-798.22698612210854</v>
      </c>
      <c r="K113" s="96">
        <f t="shared" si="17"/>
        <v>-730.18502595639484</v>
      </c>
      <c r="L113" s="96">
        <f t="shared" si="17"/>
        <v>-659.76159718488134</v>
      </c>
      <c r="M113" s="96">
        <f t="shared" si="17"/>
        <v>-586.87334840636458</v>
      </c>
      <c r="N113" s="96">
        <f t="shared" si="17"/>
        <v>-511.4340109205998</v>
      </c>
      <c r="O113" s="96">
        <f t="shared" si="17"/>
        <v>-433.35429662283349</v>
      </c>
      <c r="P113" s="96">
        <f t="shared" si="17"/>
        <v>-352.54179232464509</v>
      </c>
      <c r="Q113" s="96">
        <f t="shared" si="17"/>
        <v>-268.90085037602023</v>
      </c>
      <c r="R113" s="96">
        <f t="shared" si="17"/>
        <v>-182.33247545919343</v>
      </c>
      <c r="S113" s="96">
        <f t="shared" si="17"/>
        <v>-92.734207420277755</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-1636.842990856785</v>
      </c>
      <c r="F114" s="96">
        <f t="shared" si="18"/>
        <v>-1694.1324955367727</v>
      </c>
      <c r="G114" s="96">
        <f t="shared" si="18"/>
        <v>-1753.4271328805596</v>
      </c>
      <c r="H114" s="96">
        <f t="shared" si="18"/>
        <v>-1814.7970825313791</v>
      </c>
      <c r="I114" s="96">
        <f t="shared" si="18"/>
        <v>-1878.3149804199775</v>
      </c>
      <c r="J114" s="96">
        <f t="shared" si="18"/>
        <v>-1944.0560047346764</v>
      </c>
      <c r="K114" s="96">
        <f t="shared" si="18"/>
        <v>-2012.09796490039</v>
      </c>
      <c r="L114" s="96">
        <f t="shared" si="18"/>
        <v>-2082.5213936719042</v>
      </c>
      <c r="M114" s="96">
        <f t="shared" si="18"/>
        <v>-2155.4096424504205</v>
      </c>
      <c r="N114" s="96">
        <f t="shared" si="18"/>
        <v>-2230.8489799361851</v>
      </c>
      <c r="O114" s="96">
        <f t="shared" si="18"/>
        <v>-2308.9286942339518</v>
      </c>
      <c r="P114" s="96">
        <f t="shared" si="18"/>
        <v>-2389.7411985321401</v>
      </c>
      <c r="Q114" s="96">
        <f t="shared" si="18"/>
        <v>-2473.382140480765</v>
      </c>
      <c r="R114" s="96">
        <f t="shared" si="18"/>
        <v>-2559.950515397592</v>
      </c>
      <c r="S114" s="96">
        <f t="shared" si="18"/>
        <v>-2649.5487834365076</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-2742.2829908567851</v>
      </c>
      <c r="F115" s="105">
        <f t="shared" ref="F115:AR115" si="19">SUM(F113,F114)</f>
        <v>-2742.2829908567855</v>
      </c>
      <c r="G115" s="105">
        <f t="shared" si="19"/>
        <v>-2742.2829908567855</v>
      </c>
      <c r="H115" s="105">
        <f t="shared" si="19"/>
        <v>-2742.2829908567851</v>
      </c>
      <c r="I115" s="105">
        <f t="shared" si="19"/>
        <v>-2742.2829908567855</v>
      </c>
      <c r="J115" s="105">
        <f t="shared" si="19"/>
        <v>-2742.2829908567851</v>
      </c>
      <c r="K115" s="105">
        <f t="shared" si="19"/>
        <v>-2742.2829908567846</v>
      </c>
      <c r="L115" s="105">
        <f t="shared" si="19"/>
        <v>-2742.2829908567855</v>
      </c>
      <c r="M115" s="105">
        <f t="shared" si="19"/>
        <v>-2742.2829908567851</v>
      </c>
      <c r="N115" s="105">
        <f t="shared" si="19"/>
        <v>-2742.2829908567846</v>
      </c>
      <c r="O115" s="105">
        <f t="shared" si="19"/>
        <v>-2742.2829908567851</v>
      </c>
      <c r="P115" s="105">
        <f t="shared" si="19"/>
        <v>-2742.2829908567851</v>
      </c>
      <c r="Q115" s="105">
        <f t="shared" si="19"/>
        <v>-2742.2829908567851</v>
      </c>
      <c r="R115" s="105">
        <f t="shared" si="19"/>
        <v>-2742.2829908567855</v>
      </c>
      <c r="S115" s="105">
        <f t="shared" si="19"/>
        <v>-2742.2829908567855</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-5862.0400000000009</v>
      </c>
      <c r="F117" s="110">
        <f t="shared" ref="F117:AR117" si="20">F110+F112+F113</f>
        <v>-5836.619495320012</v>
      </c>
      <c r="G117" s="110">
        <f t="shared" si="20"/>
        <v>-5809.6718929762255</v>
      </c>
      <c r="H117" s="110">
        <f t="shared" si="20"/>
        <v>-5781.134183850405</v>
      </c>
      <c r="I117" s="110">
        <f t="shared" si="20"/>
        <v>-5750.9410100946816</v>
      </c>
      <c r="J117" s="110">
        <f t="shared" si="20"/>
        <v>-5719.0245807748506</v>
      </c>
      <c r="K117" s="110">
        <f t="shared" si="20"/>
        <v>-5685.3145845289273</v>
      </c>
      <c r="L117" s="110">
        <f t="shared" si="20"/>
        <v>-5649.7380991360005</v>
      </c>
      <c r="M117" s="110">
        <f t="shared" si="20"/>
        <v>-5612.2194978867519</v>
      </c>
      <c r="N117" s="110">
        <f t="shared" si="20"/>
        <v>-5572.6803526431913</v>
      </c>
      <c r="O117" s="110">
        <f t="shared" si="20"/>
        <v>-5531.0393334712635</v>
      </c>
      <c r="P117" s="110">
        <f t="shared" si="20"/>
        <v>-5487.2121047258015</v>
      </c>
      <c r="Q117" s="110">
        <f t="shared" si="20"/>
        <v>-6373.69339120319</v>
      </c>
      <c r="R117" s="110">
        <f t="shared" si="20"/>
        <v>-5392.6459980526743</v>
      </c>
      <c r="S117" s="110">
        <f t="shared" si="20"/>
        <v>-5341.7224328526599</v>
      </c>
      <c r="T117" s="110">
        <f t="shared" si="20"/>
        <v>-717.67832793598564</v>
      </c>
      <c r="U117" s="110">
        <f t="shared" si="20"/>
        <v>-757.34250285502503</v>
      </c>
      <c r="V117" s="110">
        <f t="shared" si="20"/>
        <v>-797.60164039784968</v>
      </c>
      <c r="W117" s="110">
        <f t="shared" si="20"/>
        <v>-838.46466500381757</v>
      </c>
      <c r="X117" s="110">
        <f t="shared" si="20"/>
        <v>-879.94063497887464</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879.30600000000015</v>
      </c>
      <c r="F118" s="112">
        <f t="shared" si="21"/>
        <v>875.49292429800175</v>
      </c>
      <c r="G118" s="112">
        <f t="shared" si="21"/>
        <v>871.45078394643383</v>
      </c>
      <c r="H118" s="112">
        <f t="shared" si="21"/>
        <v>867.17012757756072</v>
      </c>
      <c r="I118" s="112">
        <f t="shared" si="21"/>
        <v>862.64115151420219</v>
      </c>
      <c r="J118" s="112">
        <f t="shared" si="21"/>
        <v>857.85368711622755</v>
      </c>
      <c r="K118" s="112">
        <f t="shared" si="21"/>
        <v>852.79718767933912</v>
      </c>
      <c r="L118" s="112">
        <f t="shared" si="21"/>
        <v>847.46071487040001</v>
      </c>
      <c r="M118" s="112">
        <f t="shared" si="21"/>
        <v>841.83292468301272</v>
      </c>
      <c r="N118" s="112">
        <f t="shared" si="21"/>
        <v>835.90205289647872</v>
      </c>
      <c r="O118" s="112">
        <f t="shared" si="21"/>
        <v>829.6559000206895</v>
      </c>
      <c r="P118" s="112">
        <f t="shared" si="21"/>
        <v>823.08181570887018</v>
      </c>
      <c r="Q118" s="112">
        <f t="shared" si="21"/>
        <v>956.05400868047843</v>
      </c>
      <c r="R118" s="112">
        <f t="shared" si="21"/>
        <v>808.89689970790107</v>
      </c>
      <c r="S118" s="112">
        <f t="shared" si="21"/>
        <v>801.25836492789892</v>
      </c>
      <c r="T118" s="112">
        <f t="shared" si="21"/>
        <v>107.65174919039784</v>
      </c>
      <c r="U118" s="112">
        <f t="shared" si="21"/>
        <v>113.60137542825375</v>
      </c>
      <c r="V118" s="112">
        <f t="shared" si="21"/>
        <v>119.64024605967745</v>
      </c>
      <c r="W118" s="112">
        <f t="shared" si="21"/>
        <v>125.76969975057263</v>
      </c>
      <c r="X118" s="112">
        <f t="shared" si="21"/>
        <v>131.99109524683118</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-3987.576990856785</v>
      </c>
      <c r="F120" s="116">
        <f t="shared" si="22"/>
        <v>-4023.2590665587832</v>
      </c>
      <c r="G120" s="116">
        <f t="shared" si="22"/>
        <v>-4059.6482419103513</v>
      </c>
      <c r="H120" s="116">
        <f t="shared" si="22"/>
        <v>-4096.7611388042233</v>
      </c>
      <c r="I120" s="116">
        <f t="shared" si="22"/>
        <v>-4134.6148390004564</v>
      </c>
      <c r="J120" s="116">
        <f t="shared" si="22"/>
        <v>-4173.2268983932991</v>
      </c>
      <c r="K120" s="116">
        <f t="shared" si="22"/>
        <v>-4212.6153617499776</v>
      </c>
      <c r="L120" s="116">
        <f t="shared" si="22"/>
        <v>-4252.7987779375053</v>
      </c>
      <c r="M120" s="116">
        <f t="shared" si="22"/>
        <v>-4293.7962156541589</v>
      </c>
      <c r="N120" s="116">
        <f t="shared" si="22"/>
        <v>-4335.627279682898</v>
      </c>
      <c r="O120" s="116">
        <f t="shared" si="22"/>
        <v>-4378.3121276845259</v>
      </c>
      <c r="P120" s="116">
        <f t="shared" si="22"/>
        <v>-4421.8714875490714</v>
      </c>
      <c r="Q120" s="116">
        <f t="shared" si="22"/>
        <v>-5259.0215230034764</v>
      </c>
      <c r="R120" s="116">
        <f t="shared" si="22"/>
        <v>-4511.6996137423657</v>
      </c>
      <c r="S120" s="116">
        <f t="shared" si="22"/>
        <v>-4558.012851361269</v>
      </c>
      <c r="T120" s="116">
        <f t="shared" si="22"/>
        <v>-610.02657874558781</v>
      </c>
      <c r="U120" s="116">
        <f t="shared" si="22"/>
        <v>-643.7411274267713</v>
      </c>
      <c r="V120" s="116">
        <f t="shared" si="22"/>
        <v>-677.96139433817223</v>
      </c>
      <c r="W120" s="116">
        <f t="shared" si="22"/>
        <v>-712.69496525324496</v>
      </c>
      <c r="X120" s="116">
        <f t="shared" si="22"/>
        <v>-747.94953973204349</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-39480</v>
      </c>
      <c r="E121" s="121">
        <f>E110+E118</f>
        <v>-1245.2939999999999</v>
      </c>
      <c r="F121" s="121">
        <f t="shared" ref="F121:AR121" si="23">F110+F118</f>
        <v>-1280.9760757019978</v>
      </c>
      <c r="G121" s="121">
        <f t="shared" si="23"/>
        <v>-1317.3652510535655</v>
      </c>
      <c r="H121" s="121">
        <f t="shared" si="23"/>
        <v>-1354.4781479474382</v>
      </c>
      <c r="I121" s="121">
        <f t="shared" si="23"/>
        <v>-1392.3318481436713</v>
      </c>
      <c r="J121" s="121">
        <f t="shared" si="23"/>
        <v>-1430.9439075365142</v>
      </c>
      <c r="K121" s="121">
        <f t="shared" si="23"/>
        <v>-1470.332370893193</v>
      </c>
      <c r="L121" s="121">
        <f t="shared" si="23"/>
        <v>-1510.5157870807197</v>
      </c>
      <c r="M121" s="121">
        <f t="shared" si="23"/>
        <v>-1551.5132247973738</v>
      </c>
      <c r="N121" s="121">
        <f t="shared" si="23"/>
        <v>-1593.3442888261129</v>
      </c>
      <c r="O121" s="121">
        <f t="shared" si="23"/>
        <v>-1636.0291368277412</v>
      </c>
      <c r="P121" s="121">
        <f t="shared" si="23"/>
        <v>-1679.5884966922863</v>
      </c>
      <c r="Q121" s="121">
        <f t="shared" si="23"/>
        <v>-2516.7385321466909</v>
      </c>
      <c r="R121" s="121">
        <f t="shared" si="23"/>
        <v>-1769.4166228855802</v>
      </c>
      <c r="S121" s="121">
        <f t="shared" si="23"/>
        <v>-1815.7298605044834</v>
      </c>
      <c r="T121" s="121">
        <f t="shared" si="23"/>
        <v>-610.02657874558781</v>
      </c>
      <c r="U121" s="121">
        <f t="shared" si="23"/>
        <v>-643.7411274267713</v>
      </c>
      <c r="V121" s="121">
        <f t="shared" si="23"/>
        <v>-677.96139433817223</v>
      </c>
      <c r="W121" s="121">
        <f t="shared" si="23"/>
        <v>-712.69496525324496</v>
      </c>
      <c r="X121" s="121">
        <f t="shared" si="23"/>
        <v>-747.94953973204349</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-7896</v>
      </c>
      <c r="E122" s="121">
        <f>E120</f>
        <v>-3987.576990856785</v>
      </c>
      <c r="F122" s="121">
        <f t="shared" ref="F122:AR122" si="24">F120</f>
        <v>-4023.2590665587832</v>
      </c>
      <c r="G122" s="121">
        <f t="shared" si="24"/>
        <v>-4059.6482419103513</v>
      </c>
      <c r="H122" s="121">
        <f t="shared" si="24"/>
        <v>-4096.7611388042233</v>
      </c>
      <c r="I122" s="121">
        <f t="shared" si="24"/>
        <v>-4134.6148390004564</v>
      </c>
      <c r="J122" s="121">
        <f t="shared" si="24"/>
        <v>-4173.2268983932991</v>
      </c>
      <c r="K122" s="121">
        <f t="shared" si="24"/>
        <v>-4212.6153617499776</v>
      </c>
      <c r="L122" s="121">
        <f t="shared" si="24"/>
        <v>-4252.7987779375053</v>
      </c>
      <c r="M122" s="121">
        <f t="shared" si="24"/>
        <v>-4293.7962156541589</v>
      </c>
      <c r="N122" s="121">
        <f t="shared" si="24"/>
        <v>-4335.627279682898</v>
      </c>
      <c r="O122" s="121">
        <f t="shared" si="24"/>
        <v>-4378.3121276845259</v>
      </c>
      <c r="P122" s="121">
        <f t="shared" si="24"/>
        <v>-4421.8714875490714</v>
      </c>
      <c r="Q122" s="121">
        <f t="shared" si="24"/>
        <v>-5259.0215230034764</v>
      </c>
      <c r="R122" s="121">
        <f t="shared" si="24"/>
        <v>-4511.6996137423657</v>
      </c>
      <c r="S122" s="121">
        <f t="shared" si="24"/>
        <v>-4558.012851361269</v>
      </c>
      <c r="T122" s="121">
        <f t="shared" si="24"/>
        <v>-610.02657874558781</v>
      </c>
      <c r="U122" s="121">
        <f t="shared" si="24"/>
        <v>-643.7411274267713</v>
      </c>
      <c r="V122" s="121">
        <f t="shared" si="24"/>
        <v>-677.96139433817223</v>
      </c>
      <c r="W122" s="121">
        <f t="shared" si="24"/>
        <v>-712.69496525324496</v>
      </c>
      <c r="X122" s="121">
        <f t="shared" si="24"/>
        <v>-747.94953973204349</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54000</v>
      </c>
      <c r="F123" s="123">
        <f t="shared" si="25"/>
        <v>54000</v>
      </c>
      <c r="G123" s="123">
        <f t="shared" si="25"/>
        <v>54000</v>
      </c>
      <c r="H123" s="123">
        <f t="shared" si="25"/>
        <v>54000</v>
      </c>
      <c r="I123" s="123">
        <f t="shared" si="25"/>
        <v>54000</v>
      </c>
      <c r="J123" s="123">
        <f t="shared" si="25"/>
        <v>54000</v>
      </c>
      <c r="K123" s="123">
        <f t="shared" si="25"/>
        <v>54000</v>
      </c>
      <c r="L123" s="123">
        <f t="shared" si="25"/>
        <v>54000</v>
      </c>
      <c r="M123" s="123">
        <f t="shared" si="25"/>
        <v>54000</v>
      </c>
      <c r="N123" s="123">
        <f t="shared" si="25"/>
        <v>54000</v>
      </c>
      <c r="O123" s="123">
        <f t="shared" si="25"/>
        <v>54000</v>
      </c>
      <c r="P123" s="123">
        <f t="shared" si="25"/>
        <v>54000</v>
      </c>
      <c r="Q123" s="123">
        <f t="shared" si="25"/>
        <v>54000</v>
      </c>
      <c r="R123" s="123">
        <f t="shared" si="25"/>
        <v>54000</v>
      </c>
      <c r="S123" s="123">
        <f t="shared" si="25"/>
        <v>54000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39480</v>
      </c>
      <c r="E124" s="143">
        <f>D124-($C$5*E97+E109+E113)</f>
        <v>36246.239999999998</v>
      </c>
      <c r="F124" s="143">
        <f t="shared" ref="F124:Y124" si="26">E124-($C$5*F97+F109+F113)</f>
        <v>32987.059495320013</v>
      </c>
      <c r="G124" s="143">
        <f t="shared" si="26"/>
        <v>29700.931388296238</v>
      </c>
      <c r="H124" s="143">
        <f t="shared" si="26"/>
        <v>26386.265572146644</v>
      </c>
      <c r="I124" s="143">
        <f t="shared" si="26"/>
        <v>23041.406582241325</v>
      </c>
      <c r="J124" s="143">
        <f t="shared" si="26"/>
        <v>19664.631163016173</v>
      </c>
      <c r="K124" s="143">
        <f t="shared" si="26"/>
        <v>16254.145747545099</v>
      </c>
      <c r="L124" s="143">
        <f t="shared" si="26"/>
        <v>12808.0838466811</v>
      </c>
      <c r="M124" s="143">
        <f t="shared" si="26"/>
        <v>9324.5033445678509</v>
      </c>
      <c r="N124" s="143">
        <f t="shared" si="26"/>
        <v>5801.3836972110421</v>
      </c>
      <c r="O124" s="143">
        <f t="shared" si="26"/>
        <v>2236.6230306823059</v>
      </c>
      <c r="P124" s="143">
        <f t="shared" si="26"/>
        <v>-1371.9648645918928</v>
      </c>
      <c r="Q124" s="143">
        <f t="shared" si="26"/>
        <v>-4094.0714733887035</v>
      </c>
      <c r="R124" s="143">
        <f t="shared" si="26"/>
        <v>-7797.2254753360285</v>
      </c>
      <c r="S124" s="143">
        <f t="shared" si="26"/>
        <v>-11551.303042483369</v>
      </c>
      <c r="T124" s="143">
        <f t="shared" si="26"/>
        <v>-14975.814714547383</v>
      </c>
      <c r="U124" s="143">
        <f t="shared" si="26"/>
        <v>-18360.662211692357</v>
      </c>
      <c r="V124" s="143">
        <f t="shared" si="26"/>
        <v>-21705.250571294506</v>
      </c>
      <c r="W124" s="143">
        <f t="shared" si="26"/>
        <v>-25008.975906290689</v>
      </c>
      <c r="X124" s="143">
        <f t="shared" si="26"/>
        <v>-28271.225271311814</v>
      </c>
      <c r="Y124" s="143">
        <f t="shared" si="26"/>
        <v>-28271.225271311814</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1.5823312234614717</v>
      </c>
      <c r="F125" s="310">
        <f>IF(F91&gt;$C$76,"",(F110+F97*$C$5)/-F115)</f>
        <v>1.5707098845601777</v>
      </c>
      <c r="G125" s="310">
        <f t="shared" ref="G125:AR125" si="27">IF(G91&gt;$C$76,"",(G110+G97*$C$5)/-G115)</f>
        <v>1.558914225575365</v>
      </c>
      <c r="H125" s="310">
        <f t="shared" si="27"/>
        <v>1.5469416317057798</v>
      </c>
      <c r="I125" s="310">
        <f t="shared" si="27"/>
        <v>1.5347894489281506</v>
      </c>
      <c r="J125" s="310">
        <f t="shared" si="27"/>
        <v>1.5224549834088574</v>
      </c>
      <c r="K125" s="310">
        <f t="shared" si="27"/>
        <v>1.509935500906775</v>
      </c>
      <c r="L125" s="310">
        <f t="shared" si="27"/>
        <v>1.4972282261671606</v>
      </c>
      <c r="M125" s="310">
        <f t="shared" si="27"/>
        <v>1.4843303423064524</v>
      </c>
      <c r="N125" s="310">
        <f t="shared" si="27"/>
        <v>1.4712389901878338</v>
      </c>
      <c r="O125" s="310">
        <f t="shared" si="27"/>
        <v>1.4579512677874353</v>
      </c>
      <c r="P125" s="310">
        <f t="shared" si="27"/>
        <v>1.4444642295510313</v>
      </c>
      <c r="Q125" s="310">
        <f t="shared" si="27"/>
        <v>1.0906997815853918</v>
      </c>
      <c r="R125" s="310">
        <f t="shared" si="27"/>
        <v>1.4168802017739812</v>
      </c>
      <c r="S125" s="310">
        <f t="shared" si="27"/>
        <v>1.4027770975473755</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-27061.06141110546</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292083.90904307022</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39480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1.4727764690302159</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5.0% / 3.5%</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31584</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7896</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900</v>
      </c>
      <c r="F138" s="154"/>
    </row>
    <row r="139" spans="2:45" x14ac:dyDescent="0.2">
      <c r="B139" s="155" t="s">
        <v>122</v>
      </c>
      <c r="C139" s="158" t="s">
        <v>123</v>
      </c>
      <c r="D139" s="159" t="str">
        <f>CONCATENATE( "tussen ", INDEX(D91:X91, MATCH(0,D124:X124, -1)), " en ",  1 + INDEX(D91:X91, MATCH(0,D124:X124, -1)), " jaren")</f>
        <v>tussen 11 en 12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49" priority="5" operator="containsText" text="Pas op">
      <formula>NOT(ISERROR(SEARCH("Pas op",G1)))</formula>
    </cfRule>
  </conditionalFormatting>
  <conditionalFormatting sqref="G165">
    <cfRule type="containsText" dxfId="48" priority="4" operator="containsText" text="Pas op">
      <formula>NOT(ISERROR(SEARCH("Pas op",G165)))</formula>
    </cfRule>
  </conditionalFormatting>
  <conditionalFormatting sqref="G144 G147:G149">
    <cfRule type="containsText" dxfId="47" priority="3" operator="containsText" text="Pas op">
      <formula>NOT(ISERROR(SEARCH("Pas op",G144)))</formula>
    </cfRule>
  </conditionalFormatting>
  <conditionalFormatting sqref="G84">
    <cfRule type="containsText" dxfId="46" priority="2" operator="containsText" text="Pas op">
      <formula>NOT(ISERROR(SEARCH("Pas op",G84)))</formula>
    </cfRule>
  </conditionalFormatting>
  <conditionalFormatting sqref="G83">
    <cfRule type="containsText" dxfId="45"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5F2C15E2-B2A4-49F1-A51E-A8ED15DBA995}">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51F4-DFAF-4509-9402-21CAE0EBFC9C}">
  <sheetPr codeName="Sheet93">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359</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8.9700000000000002E-2</v>
      </c>
      <c r="D5" s="130" t="str">
        <f>CONCATENATE("Euro/",$C$9)</f>
        <v>Euro/kWh</v>
      </c>
      <c r="E5" s="385"/>
      <c r="F5" s="386"/>
      <c r="G5" s="386"/>
      <c r="H5" s="386"/>
      <c r="I5" s="386"/>
      <c r="J5" s="386"/>
      <c r="K5" s="386"/>
      <c r="L5" s="386"/>
      <c r="M5" s="387"/>
      <c r="N5" s="31"/>
    </row>
    <row r="6" spans="1:26" x14ac:dyDescent="0.2">
      <c r="B6" s="3" t="s">
        <v>106</v>
      </c>
      <c r="C6" s="131">
        <f>ROUND((C5-C7)/C8*1000,0)</f>
        <v>150</v>
      </c>
      <c r="D6" s="30" t="s">
        <v>107</v>
      </c>
      <c r="E6" s="385"/>
      <c r="F6" s="386"/>
      <c r="G6" s="386"/>
      <c r="H6" s="386"/>
      <c r="I6" s="386"/>
      <c r="J6" s="386"/>
      <c r="K6" s="386"/>
      <c r="L6" s="386"/>
      <c r="M6" s="387"/>
      <c r="N6" s="31"/>
    </row>
    <row r="7" spans="1:26" x14ac:dyDescent="0.2">
      <c r="B7" s="3" t="s">
        <v>108</v>
      </c>
      <c r="C7" s="325">
        <v>5.74E-2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250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250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900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582</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0.14549999999999999</v>
      </c>
      <c r="D36" s="41" t="s">
        <v>56</v>
      </c>
      <c r="E36" s="385"/>
      <c r="F36" s="386"/>
      <c r="G36" s="386"/>
      <c r="H36" s="386"/>
      <c r="I36" s="386"/>
      <c r="J36" s="386"/>
      <c r="K36" s="386"/>
      <c r="L36" s="386"/>
      <c r="M36" s="387"/>
    </row>
    <row r="37" spans="1:13" x14ac:dyDescent="0.2">
      <c r="A37" s="37"/>
      <c r="B37" s="12" t="s">
        <v>22</v>
      </c>
      <c r="C37" s="52">
        <v>20.6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5.15</v>
      </c>
      <c r="D39" s="41" t="s">
        <v>57</v>
      </c>
      <c r="E39" s="385"/>
      <c r="F39" s="386"/>
      <c r="G39" s="386"/>
      <c r="H39" s="386"/>
      <c r="I39" s="386"/>
      <c r="J39" s="386"/>
      <c r="K39" s="386"/>
      <c r="L39" s="386"/>
      <c r="M39" s="387"/>
    </row>
    <row r="40" spans="1:13" x14ac:dyDescent="0.2">
      <c r="A40" s="37"/>
      <c r="B40" s="5" t="s">
        <v>24</v>
      </c>
      <c r="C40" s="54">
        <v>2.8999999999999998E-3</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3.7999999999999999E-2</v>
      </c>
      <c r="D60" s="35" t="s">
        <v>78</v>
      </c>
      <c r="E60" s="286"/>
      <c r="F60" s="286"/>
      <c r="G60" s="286"/>
      <c r="H60" s="286"/>
      <c r="I60" s="286"/>
      <c r="J60" s="286"/>
      <c r="K60" s="286"/>
      <c r="L60" s="286"/>
      <c r="M60" s="286"/>
    </row>
    <row r="61" spans="1:13" x14ac:dyDescent="0.2">
      <c r="A61" s="37"/>
      <c r="B61" s="4" t="s">
        <v>287</v>
      </c>
      <c r="C61" s="56">
        <v>845</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0.03</v>
      </c>
      <c r="D69" s="41"/>
      <c r="E69" s="390"/>
      <c r="F69" s="391"/>
      <c r="G69" s="391"/>
      <c r="H69" s="391"/>
      <c r="I69" s="391"/>
      <c r="J69" s="391"/>
      <c r="K69" s="391"/>
      <c r="L69" s="391"/>
      <c r="M69" s="392"/>
    </row>
    <row r="70" spans="1:15" x14ac:dyDescent="0.2">
      <c r="A70" s="37"/>
      <c r="B70" s="5" t="s">
        <v>36</v>
      </c>
      <c r="C70" s="59">
        <v>9.9000000000000005E-2</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v>13</v>
      </c>
      <c r="D81" s="225">
        <v>-3250</v>
      </c>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-145500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225000</v>
      </c>
      <c r="F94" s="93">
        <f t="shared" si="1"/>
        <v>225000</v>
      </c>
      <c r="G94" s="93">
        <f t="shared" si="1"/>
        <v>225000</v>
      </c>
      <c r="H94" s="93">
        <f t="shared" si="1"/>
        <v>225000</v>
      </c>
      <c r="I94" s="93">
        <f t="shared" si="1"/>
        <v>225000</v>
      </c>
      <c r="J94" s="93">
        <f t="shared" si="1"/>
        <v>225000</v>
      </c>
      <c r="K94" s="93">
        <f t="shared" si="1"/>
        <v>225000</v>
      </c>
      <c r="L94" s="93">
        <f t="shared" si="1"/>
        <v>225000</v>
      </c>
      <c r="M94" s="93">
        <f t="shared" si="1"/>
        <v>225000</v>
      </c>
      <c r="N94" s="93">
        <f t="shared" si="1"/>
        <v>225000</v>
      </c>
      <c r="O94" s="93">
        <f t="shared" si="1"/>
        <v>225000</v>
      </c>
      <c r="P94" s="93">
        <f t="shared" si="1"/>
        <v>225000</v>
      </c>
      <c r="Q94" s="93">
        <f t="shared" si="1"/>
        <v>225000</v>
      </c>
      <c r="R94" s="93">
        <f t="shared" si="1"/>
        <v>225000</v>
      </c>
      <c r="S94" s="93">
        <f t="shared" si="1"/>
        <v>225000</v>
      </c>
      <c r="T94" s="93">
        <f t="shared" si="1"/>
        <v>211250</v>
      </c>
      <c r="U94" s="93">
        <f t="shared" si="1"/>
        <v>211250</v>
      </c>
      <c r="V94" s="93">
        <f t="shared" si="1"/>
        <v>211250</v>
      </c>
      <c r="W94" s="93">
        <f t="shared" si="1"/>
        <v>211250</v>
      </c>
      <c r="X94" s="93">
        <f t="shared" si="1"/>
        <v>211250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225000</v>
      </c>
      <c r="F97" s="99">
        <f t="shared" ref="F97:AR97" si="4">SUM(F94:F96)</f>
        <v>225000</v>
      </c>
      <c r="G97" s="99">
        <f t="shared" si="4"/>
        <v>225000</v>
      </c>
      <c r="H97" s="99">
        <f t="shared" si="4"/>
        <v>225000</v>
      </c>
      <c r="I97" s="99">
        <f t="shared" si="4"/>
        <v>225000</v>
      </c>
      <c r="J97" s="99">
        <f t="shared" si="4"/>
        <v>225000</v>
      </c>
      <c r="K97" s="99">
        <f t="shared" si="4"/>
        <v>225000</v>
      </c>
      <c r="L97" s="99">
        <f t="shared" si="4"/>
        <v>225000</v>
      </c>
      <c r="M97" s="99">
        <f t="shared" si="4"/>
        <v>225000</v>
      </c>
      <c r="N97" s="99">
        <f t="shared" si="4"/>
        <v>225000</v>
      </c>
      <c r="O97" s="99">
        <f t="shared" si="4"/>
        <v>225000</v>
      </c>
      <c r="P97" s="99">
        <f t="shared" si="4"/>
        <v>225000</v>
      </c>
      <c r="Q97" s="99">
        <f t="shared" si="4"/>
        <v>225000</v>
      </c>
      <c r="R97" s="99">
        <f t="shared" si="4"/>
        <v>225000</v>
      </c>
      <c r="S97" s="99">
        <f t="shared" si="4"/>
        <v>225000</v>
      </c>
      <c r="T97" s="99">
        <f t="shared" si="4"/>
        <v>211250</v>
      </c>
      <c r="U97" s="99">
        <f t="shared" si="4"/>
        <v>211250</v>
      </c>
      <c r="V97" s="99">
        <f t="shared" si="4"/>
        <v>211250</v>
      </c>
      <c r="W97" s="99">
        <f t="shared" si="4"/>
        <v>211250</v>
      </c>
      <c r="X97" s="99">
        <f t="shared" si="4"/>
        <v>211250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-5802.5</v>
      </c>
      <c r="F99" s="93">
        <f t="shared" si="5"/>
        <v>-5889.5374999999995</v>
      </c>
      <c r="G99" s="93">
        <f t="shared" si="5"/>
        <v>-5977.8805624999986</v>
      </c>
      <c r="H99" s="93">
        <f t="shared" si="5"/>
        <v>-6067.5487709374975</v>
      </c>
      <c r="I99" s="93">
        <f t="shared" si="5"/>
        <v>-6158.5620025015596</v>
      </c>
      <c r="J99" s="93">
        <f t="shared" si="5"/>
        <v>-6250.9404325390815</v>
      </c>
      <c r="K99" s="93">
        <f t="shared" si="5"/>
        <v>-6344.7045390271669</v>
      </c>
      <c r="L99" s="93">
        <f t="shared" si="5"/>
        <v>-6439.8751071125735</v>
      </c>
      <c r="M99" s="93">
        <f t="shared" si="5"/>
        <v>-6536.4732337192618</v>
      </c>
      <c r="N99" s="93">
        <f t="shared" si="5"/>
        <v>-6634.5203322250491</v>
      </c>
      <c r="O99" s="93">
        <f t="shared" si="5"/>
        <v>-6734.0381372084248</v>
      </c>
      <c r="P99" s="93">
        <f t="shared" si="5"/>
        <v>-6835.0487092665498</v>
      </c>
      <c r="Q99" s="93">
        <f t="shared" si="5"/>
        <v>-10823.33349715553</v>
      </c>
      <c r="R99" s="93">
        <f t="shared" si="5"/>
        <v>-7041.63805650413</v>
      </c>
      <c r="S99" s="93">
        <f t="shared" si="5"/>
        <v>-7147.2626273516898</v>
      </c>
      <c r="T99" s="93">
        <f t="shared" si="5"/>
        <v>-7204.6185631041208</v>
      </c>
      <c r="U99" s="93">
        <f t="shared" si="5"/>
        <v>-7312.6878415506817</v>
      </c>
      <c r="V99" s="93">
        <f t="shared" si="5"/>
        <v>-7422.3781591739416</v>
      </c>
      <c r="W99" s="93">
        <f t="shared" si="5"/>
        <v>-7533.7138315615503</v>
      </c>
      <c r="X99" s="93">
        <f t="shared" si="5"/>
        <v>-7646.7195390349725</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3.7999999999999999E-2</v>
      </c>
      <c r="U101" s="100">
        <f t="shared" si="7"/>
        <v>3.7999999999999999E-2</v>
      </c>
      <c r="V101" s="100">
        <f t="shared" si="7"/>
        <v>3.7999999999999999E-2</v>
      </c>
      <c r="W101" s="100">
        <f t="shared" si="7"/>
        <v>3.7999999999999999E-2</v>
      </c>
      <c r="X101" s="100">
        <f t="shared" si="7"/>
        <v>3.7999999999999999E-2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3.7999999999999999E-2</v>
      </c>
      <c r="U103" s="100">
        <f t="shared" si="9"/>
        <v>3.7999999999999999E-2</v>
      </c>
      <c r="V103" s="100">
        <f t="shared" si="9"/>
        <v>3.7999999999999999E-2</v>
      </c>
      <c r="W103" s="100">
        <f t="shared" si="9"/>
        <v>3.7999999999999999E-2</v>
      </c>
      <c r="X103" s="100">
        <f t="shared" si="9"/>
        <v>3.7999999999999999E-2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8027.5</v>
      </c>
      <c r="U106" s="105">
        <f t="shared" si="12"/>
        <v>8027.5</v>
      </c>
      <c r="V106" s="105">
        <f t="shared" si="12"/>
        <v>8027.5</v>
      </c>
      <c r="W106" s="105">
        <f t="shared" si="12"/>
        <v>8027.5</v>
      </c>
      <c r="X106" s="105">
        <f t="shared" si="12"/>
        <v>8027.5</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8027.5</v>
      </c>
      <c r="U108" s="93">
        <f t="shared" si="13"/>
        <v>8027.5</v>
      </c>
      <c r="V108" s="93">
        <f t="shared" si="13"/>
        <v>8027.5</v>
      </c>
      <c r="W108" s="93">
        <f t="shared" si="13"/>
        <v>8027.5</v>
      </c>
      <c r="X108" s="93">
        <f t="shared" si="13"/>
        <v>8027.5</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-5802.5</v>
      </c>
      <c r="F109" s="96">
        <f t="shared" si="14"/>
        <v>-5889.5374999999995</v>
      </c>
      <c r="G109" s="96">
        <f t="shared" si="14"/>
        <v>-5977.8805624999986</v>
      </c>
      <c r="H109" s="96">
        <f t="shared" si="14"/>
        <v>-6067.5487709374975</v>
      </c>
      <c r="I109" s="96">
        <f t="shared" si="14"/>
        <v>-6158.5620025015596</v>
      </c>
      <c r="J109" s="96">
        <f t="shared" si="14"/>
        <v>-6250.9404325390815</v>
      </c>
      <c r="K109" s="96">
        <f t="shared" si="14"/>
        <v>-6344.7045390271669</v>
      </c>
      <c r="L109" s="96">
        <f t="shared" si="14"/>
        <v>-6439.8751071125735</v>
      </c>
      <c r="M109" s="96">
        <f t="shared" si="14"/>
        <v>-6536.4732337192618</v>
      </c>
      <c r="N109" s="96">
        <f t="shared" si="14"/>
        <v>-6634.5203322250491</v>
      </c>
      <c r="O109" s="96">
        <f t="shared" si="14"/>
        <v>-6734.0381372084248</v>
      </c>
      <c r="P109" s="96">
        <f t="shared" si="14"/>
        <v>-6835.0487092665498</v>
      </c>
      <c r="Q109" s="96">
        <f t="shared" si="14"/>
        <v>-10823.33349715553</v>
      </c>
      <c r="R109" s="96">
        <f t="shared" si="14"/>
        <v>-7041.63805650413</v>
      </c>
      <c r="S109" s="96">
        <f t="shared" si="14"/>
        <v>-7147.2626273516898</v>
      </c>
      <c r="T109" s="96">
        <f t="shared" si="14"/>
        <v>-7204.6185631041208</v>
      </c>
      <c r="U109" s="96">
        <f t="shared" si="14"/>
        <v>-7312.6878415506817</v>
      </c>
      <c r="V109" s="96">
        <f t="shared" si="14"/>
        <v>-7422.3781591739416</v>
      </c>
      <c r="W109" s="96">
        <f t="shared" si="14"/>
        <v>-7533.7138315615503</v>
      </c>
      <c r="X109" s="96">
        <f t="shared" si="14"/>
        <v>-7646.7195390349725</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-5802.5</v>
      </c>
      <c r="F110" s="105">
        <f t="shared" ref="F110:AR110" si="15">SUM(F108:F109)</f>
        <v>-5889.5374999999995</v>
      </c>
      <c r="G110" s="105">
        <f t="shared" si="15"/>
        <v>-5977.8805624999986</v>
      </c>
      <c r="H110" s="105">
        <f t="shared" si="15"/>
        <v>-6067.5487709374975</v>
      </c>
      <c r="I110" s="105">
        <f t="shared" si="15"/>
        <v>-6158.5620025015596</v>
      </c>
      <c r="J110" s="105">
        <f t="shared" si="15"/>
        <v>-6250.9404325390815</v>
      </c>
      <c r="K110" s="105">
        <f t="shared" si="15"/>
        <v>-6344.7045390271669</v>
      </c>
      <c r="L110" s="105">
        <f t="shared" si="15"/>
        <v>-6439.8751071125735</v>
      </c>
      <c r="M110" s="105">
        <f t="shared" si="15"/>
        <v>-6536.4732337192618</v>
      </c>
      <c r="N110" s="105">
        <f t="shared" si="15"/>
        <v>-6634.5203322250491</v>
      </c>
      <c r="O110" s="105">
        <f t="shared" si="15"/>
        <v>-6734.0381372084248</v>
      </c>
      <c r="P110" s="105">
        <f t="shared" si="15"/>
        <v>-6835.0487092665498</v>
      </c>
      <c r="Q110" s="105">
        <f t="shared" si="15"/>
        <v>-10823.33349715553</v>
      </c>
      <c r="R110" s="105">
        <f t="shared" si="15"/>
        <v>-7041.63805650413</v>
      </c>
      <c r="S110" s="105">
        <f t="shared" si="15"/>
        <v>-7147.2626273516898</v>
      </c>
      <c r="T110" s="105">
        <f t="shared" si="15"/>
        <v>822.88143689587923</v>
      </c>
      <c r="U110" s="105">
        <f t="shared" si="15"/>
        <v>714.8121584493183</v>
      </c>
      <c r="V110" s="105">
        <f t="shared" si="15"/>
        <v>605.12184082605836</v>
      </c>
      <c r="W110" s="105">
        <f t="shared" si="15"/>
        <v>493.78616843844975</v>
      </c>
      <c r="X110" s="105">
        <f t="shared" si="15"/>
        <v>380.78046096502749</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-9700</v>
      </c>
      <c r="F112" s="93">
        <f t="shared" si="16"/>
        <v>-9700</v>
      </c>
      <c r="G112" s="93">
        <f t="shared" si="16"/>
        <v>-9700</v>
      </c>
      <c r="H112" s="93">
        <f t="shared" si="16"/>
        <v>-9700</v>
      </c>
      <c r="I112" s="93">
        <f t="shared" si="16"/>
        <v>-9700</v>
      </c>
      <c r="J112" s="93">
        <f t="shared" si="16"/>
        <v>-9700</v>
      </c>
      <c r="K112" s="93">
        <f t="shared" si="16"/>
        <v>-9700</v>
      </c>
      <c r="L112" s="93">
        <f t="shared" si="16"/>
        <v>-9700</v>
      </c>
      <c r="M112" s="93">
        <f t="shared" si="16"/>
        <v>-9700</v>
      </c>
      <c r="N112" s="93">
        <f t="shared" si="16"/>
        <v>-9700</v>
      </c>
      <c r="O112" s="93">
        <f t="shared" si="16"/>
        <v>-9700</v>
      </c>
      <c r="P112" s="93">
        <f t="shared" si="16"/>
        <v>-9700</v>
      </c>
      <c r="Q112" s="93">
        <f t="shared" si="16"/>
        <v>-9700</v>
      </c>
      <c r="R112" s="93">
        <f t="shared" si="16"/>
        <v>-9700</v>
      </c>
      <c r="S112" s="93">
        <f t="shared" si="16"/>
        <v>-9700</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-3491.9999999999995</v>
      </c>
      <c r="F113" s="96">
        <f t="shared" si="17"/>
        <v>-3304.2471010256895</v>
      </c>
      <c r="G113" s="96">
        <f t="shared" si="17"/>
        <v>-3110.8616150821499</v>
      </c>
      <c r="H113" s="96">
        <f t="shared" si="17"/>
        <v>-2911.6745645603055</v>
      </c>
      <c r="I113" s="96">
        <f t="shared" si="17"/>
        <v>-2706.511902522805</v>
      </c>
      <c r="J113" s="96">
        <f t="shared" si="17"/>
        <v>-2495.1943606241789</v>
      </c>
      <c r="K113" s="96">
        <f t="shared" si="17"/>
        <v>-2277.5372924685939</v>
      </c>
      <c r="L113" s="96">
        <f t="shared" si="17"/>
        <v>-2053.3505122683428</v>
      </c>
      <c r="M113" s="96">
        <f t="shared" si="17"/>
        <v>-1822.4381286620835</v>
      </c>
      <c r="N113" s="96">
        <f t="shared" si="17"/>
        <v>-1584.5983735476359</v>
      </c>
      <c r="O113" s="96">
        <f t="shared" si="17"/>
        <v>-1339.6234257797551</v>
      </c>
      <c r="P113" s="96">
        <f t="shared" si="17"/>
        <v>-1087.2992295788379</v>
      </c>
      <c r="Q113" s="96">
        <f t="shared" si="17"/>
        <v>-827.40530749189338</v>
      </c>
      <c r="R113" s="96">
        <f t="shared" si="17"/>
        <v>-559.71456774234036</v>
      </c>
      <c r="S113" s="96">
        <f t="shared" si="17"/>
        <v>-283.99310580030078</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-6258.4299658103273</v>
      </c>
      <c r="F114" s="96">
        <f t="shared" si="18"/>
        <v>-6446.182864784636</v>
      </c>
      <c r="G114" s="96">
        <f t="shared" si="18"/>
        <v>-6639.5683507281756</v>
      </c>
      <c r="H114" s="96">
        <f t="shared" si="18"/>
        <v>-6838.7554012500214</v>
      </c>
      <c r="I114" s="96">
        <f t="shared" si="18"/>
        <v>-7043.9180632875214</v>
      </c>
      <c r="J114" s="96">
        <f t="shared" si="18"/>
        <v>-7255.235605186147</v>
      </c>
      <c r="K114" s="96">
        <f t="shared" si="18"/>
        <v>-7472.8926733417311</v>
      </c>
      <c r="L114" s="96">
        <f t="shared" si="18"/>
        <v>-7697.0794535419827</v>
      </c>
      <c r="M114" s="96">
        <f t="shared" si="18"/>
        <v>-7927.9918371482427</v>
      </c>
      <c r="N114" s="96">
        <f t="shared" si="18"/>
        <v>-8165.8315922626907</v>
      </c>
      <c r="O114" s="96">
        <f t="shared" si="18"/>
        <v>-8410.8065400305713</v>
      </c>
      <c r="P114" s="96">
        <f t="shared" si="18"/>
        <v>-8663.1307362314874</v>
      </c>
      <c r="Q114" s="96">
        <f t="shared" si="18"/>
        <v>-8923.0246583184326</v>
      </c>
      <c r="R114" s="96">
        <f t="shared" si="18"/>
        <v>-9190.7153980679868</v>
      </c>
      <c r="S114" s="96">
        <f t="shared" si="18"/>
        <v>-9466.4368600100261</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-9750.4299658103264</v>
      </c>
      <c r="F115" s="105">
        <f t="shared" ref="F115:AR115" si="19">SUM(F113,F114)</f>
        <v>-9750.4299658103264</v>
      </c>
      <c r="G115" s="105">
        <f t="shared" si="19"/>
        <v>-9750.4299658103264</v>
      </c>
      <c r="H115" s="105">
        <f t="shared" si="19"/>
        <v>-9750.4299658103264</v>
      </c>
      <c r="I115" s="105">
        <f t="shared" si="19"/>
        <v>-9750.4299658103264</v>
      </c>
      <c r="J115" s="105">
        <f t="shared" si="19"/>
        <v>-9750.4299658103264</v>
      </c>
      <c r="K115" s="105">
        <f t="shared" si="19"/>
        <v>-9750.4299658103246</v>
      </c>
      <c r="L115" s="105">
        <f t="shared" si="19"/>
        <v>-9750.4299658103264</v>
      </c>
      <c r="M115" s="105">
        <f t="shared" si="19"/>
        <v>-9750.4299658103264</v>
      </c>
      <c r="N115" s="105">
        <f t="shared" si="19"/>
        <v>-9750.4299658103264</v>
      </c>
      <c r="O115" s="105">
        <f t="shared" si="19"/>
        <v>-9750.4299658103264</v>
      </c>
      <c r="P115" s="105">
        <f t="shared" si="19"/>
        <v>-9750.4299658103246</v>
      </c>
      <c r="Q115" s="105">
        <f t="shared" si="19"/>
        <v>-9750.4299658103264</v>
      </c>
      <c r="R115" s="105">
        <f t="shared" si="19"/>
        <v>-9750.4299658103264</v>
      </c>
      <c r="S115" s="105">
        <f t="shared" si="19"/>
        <v>-9750.4299658103264</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-18994.5</v>
      </c>
      <c r="F117" s="110">
        <f t="shared" ref="F117:AR117" si="20">F110+F112+F113</f>
        <v>-18893.784601025687</v>
      </c>
      <c r="G117" s="110">
        <f t="shared" si="20"/>
        <v>-18788.742177582149</v>
      </c>
      <c r="H117" s="110">
        <f t="shared" si="20"/>
        <v>-18679.223335497802</v>
      </c>
      <c r="I117" s="110">
        <f t="shared" si="20"/>
        <v>-18565.073905024365</v>
      </c>
      <c r="J117" s="110">
        <f t="shared" si="20"/>
        <v>-18446.134793163263</v>
      </c>
      <c r="K117" s="110">
        <f t="shared" si="20"/>
        <v>-18322.241831495761</v>
      </c>
      <c r="L117" s="110">
        <f t="shared" si="20"/>
        <v>-18193.225619380915</v>
      </c>
      <c r="M117" s="110">
        <f t="shared" si="20"/>
        <v>-18058.911362381346</v>
      </c>
      <c r="N117" s="110">
        <f t="shared" si="20"/>
        <v>-17919.118705772686</v>
      </c>
      <c r="O117" s="110">
        <f t="shared" si="20"/>
        <v>-17773.661562988178</v>
      </c>
      <c r="P117" s="110">
        <f t="shared" si="20"/>
        <v>-17622.347938845389</v>
      </c>
      <c r="Q117" s="110">
        <f t="shared" si="20"/>
        <v>-21350.738804647423</v>
      </c>
      <c r="R117" s="110">
        <f t="shared" si="20"/>
        <v>-17301.352624246469</v>
      </c>
      <c r="S117" s="110">
        <f t="shared" si="20"/>
        <v>-17131.255733151993</v>
      </c>
      <c r="T117" s="110">
        <f t="shared" si="20"/>
        <v>822.88143689587923</v>
      </c>
      <c r="U117" s="110">
        <f t="shared" si="20"/>
        <v>714.8121584493183</v>
      </c>
      <c r="V117" s="110">
        <f t="shared" si="20"/>
        <v>605.12184082605836</v>
      </c>
      <c r="W117" s="110">
        <f t="shared" si="20"/>
        <v>493.78616843844975</v>
      </c>
      <c r="X117" s="110">
        <f t="shared" si="20"/>
        <v>380.78046096502749</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2849.1749999999997</v>
      </c>
      <c r="F118" s="112">
        <f t="shared" si="21"/>
        <v>2834.0676901538532</v>
      </c>
      <c r="G118" s="112">
        <f t="shared" si="21"/>
        <v>2818.3113266373225</v>
      </c>
      <c r="H118" s="112">
        <f t="shared" si="21"/>
        <v>2801.88350032467</v>
      </c>
      <c r="I118" s="112">
        <f t="shared" si="21"/>
        <v>2784.7610857536547</v>
      </c>
      <c r="J118" s="112">
        <f t="shared" si="21"/>
        <v>2766.9202189744892</v>
      </c>
      <c r="K118" s="112">
        <f t="shared" si="21"/>
        <v>2748.3362747243641</v>
      </c>
      <c r="L118" s="112">
        <f t="shared" si="21"/>
        <v>2728.9838429071374</v>
      </c>
      <c r="M118" s="112">
        <f t="shared" si="21"/>
        <v>2708.8367043572021</v>
      </c>
      <c r="N118" s="112">
        <f t="shared" si="21"/>
        <v>2687.8678058659029</v>
      </c>
      <c r="O118" s="112">
        <f t="shared" si="21"/>
        <v>2666.0492344482268</v>
      </c>
      <c r="P118" s="112">
        <f t="shared" si="21"/>
        <v>2643.3521908268081</v>
      </c>
      <c r="Q118" s="112">
        <f t="shared" si="21"/>
        <v>3202.6108206971135</v>
      </c>
      <c r="R118" s="112">
        <f t="shared" si="21"/>
        <v>2595.2028936369702</v>
      </c>
      <c r="S118" s="112">
        <f t="shared" si="21"/>
        <v>2569.6883599727989</v>
      </c>
      <c r="T118" s="112">
        <f t="shared" si="21"/>
        <v>-123.43221553438188</v>
      </c>
      <c r="U118" s="112">
        <f t="shared" si="21"/>
        <v>-107.22182376739774</v>
      </c>
      <c r="V118" s="112">
        <f t="shared" si="21"/>
        <v>-90.768276123908748</v>
      </c>
      <c r="W118" s="112">
        <f t="shared" si="21"/>
        <v>-74.067925265767457</v>
      </c>
      <c r="X118" s="112">
        <f t="shared" si="21"/>
        <v>-57.117069144754119</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-12703.754965810327</v>
      </c>
      <c r="F120" s="116">
        <f t="shared" si="22"/>
        <v>-12805.899775656471</v>
      </c>
      <c r="G120" s="116">
        <f t="shared" si="22"/>
        <v>-12909.999201673003</v>
      </c>
      <c r="H120" s="116">
        <f t="shared" si="22"/>
        <v>-13016.095236423154</v>
      </c>
      <c r="I120" s="116">
        <f t="shared" si="22"/>
        <v>-13124.230882558231</v>
      </c>
      <c r="J120" s="116">
        <f t="shared" si="22"/>
        <v>-13234.450179374919</v>
      </c>
      <c r="K120" s="116">
        <f t="shared" si="22"/>
        <v>-13346.798230113127</v>
      </c>
      <c r="L120" s="116">
        <f t="shared" si="22"/>
        <v>-13461.321230015763</v>
      </c>
      <c r="M120" s="116">
        <f t="shared" si="22"/>
        <v>-13578.066495172387</v>
      </c>
      <c r="N120" s="116">
        <f t="shared" si="22"/>
        <v>-13697.082492169473</v>
      </c>
      <c r="O120" s="116">
        <f t="shared" si="22"/>
        <v>-13818.418868570523</v>
      </c>
      <c r="P120" s="116">
        <f t="shared" si="22"/>
        <v>-13942.126484250068</v>
      </c>
      <c r="Q120" s="116">
        <f t="shared" si="22"/>
        <v>-17371.152642268742</v>
      </c>
      <c r="R120" s="116">
        <f t="shared" si="22"/>
        <v>-14196.865128677486</v>
      </c>
      <c r="S120" s="116">
        <f t="shared" si="22"/>
        <v>-14328.004233189218</v>
      </c>
      <c r="T120" s="116">
        <f t="shared" si="22"/>
        <v>699.44922136149739</v>
      </c>
      <c r="U120" s="116">
        <f t="shared" si="22"/>
        <v>607.59033468192058</v>
      </c>
      <c r="V120" s="116">
        <f t="shared" si="22"/>
        <v>514.35356470214958</v>
      </c>
      <c r="W120" s="116">
        <f t="shared" si="22"/>
        <v>419.71824317268226</v>
      </c>
      <c r="X120" s="116">
        <f t="shared" si="22"/>
        <v>323.66339182027338</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-145500</v>
      </c>
      <c r="E121" s="121">
        <f>E110+E118</f>
        <v>-2953.3250000000003</v>
      </c>
      <c r="F121" s="121">
        <f t="shared" ref="F121:AR121" si="23">F110+F118</f>
        <v>-3055.4698098461463</v>
      </c>
      <c r="G121" s="121">
        <f t="shared" si="23"/>
        <v>-3159.5692358626761</v>
      </c>
      <c r="H121" s="121">
        <f t="shared" si="23"/>
        <v>-3265.6652706128275</v>
      </c>
      <c r="I121" s="121">
        <f t="shared" si="23"/>
        <v>-3373.8009167479049</v>
      </c>
      <c r="J121" s="121">
        <f t="shared" si="23"/>
        <v>-3484.0202135645923</v>
      </c>
      <c r="K121" s="121">
        <f t="shared" si="23"/>
        <v>-3596.3682643028028</v>
      </c>
      <c r="L121" s="121">
        <f t="shared" si="23"/>
        <v>-3710.8912642054361</v>
      </c>
      <c r="M121" s="121">
        <f t="shared" si="23"/>
        <v>-3827.6365293620597</v>
      </c>
      <c r="N121" s="121">
        <f t="shared" si="23"/>
        <v>-3946.6525263591461</v>
      </c>
      <c r="O121" s="121">
        <f t="shared" si="23"/>
        <v>-4067.988902760198</v>
      </c>
      <c r="P121" s="121">
        <f t="shared" si="23"/>
        <v>-4191.6965184397413</v>
      </c>
      <c r="Q121" s="121">
        <f t="shared" si="23"/>
        <v>-7620.7226764584175</v>
      </c>
      <c r="R121" s="121">
        <f t="shared" si="23"/>
        <v>-4446.4351628671593</v>
      </c>
      <c r="S121" s="121">
        <f t="shared" si="23"/>
        <v>-4577.5742673788909</v>
      </c>
      <c r="T121" s="121">
        <f t="shared" si="23"/>
        <v>699.44922136149739</v>
      </c>
      <c r="U121" s="121">
        <f t="shared" si="23"/>
        <v>607.59033468192058</v>
      </c>
      <c r="V121" s="121">
        <f t="shared" si="23"/>
        <v>514.35356470214958</v>
      </c>
      <c r="W121" s="121">
        <f t="shared" si="23"/>
        <v>419.71824317268226</v>
      </c>
      <c r="X121" s="121">
        <f t="shared" si="23"/>
        <v>323.66339182027338</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-29100</v>
      </c>
      <c r="E122" s="121">
        <f>E120</f>
        <v>-12703.754965810327</v>
      </c>
      <c r="F122" s="121">
        <f t="shared" ref="F122:AR122" si="24">F120</f>
        <v>-12805.899775656471</v>
      </c>
      <c r="G122" s="121">
        <f t="shared" si="24"/>
        <v>-12909.999201673003</v>
      </c>
      <c r="H122" s="121">
        <f t="shared" si="24"/>
        <v>-13016.095236423154</v>
      </c>
      <c r="I122" s="121">
        <f t="shared" si="24"/>
        <v>-13124.230882558231</v>
      </c>
      <c r="J122" s="121">
        <f t="shared" si="24"/>
        <v>-13234.450179374919</v>
      </c>
      <c r="K122" s="121">
        <f t="shared" si="24"/>
        <v>-13346.798230113127</v>
      </c>
      <c r="L122" s="121">
        <f t="shared" si="24"/>
        <v>-13461.321230015763</v>
      </c>
      <c r="M122" s="121">
        <f t="shared" si="24"/>
        <v>-13578.066495172387</v>
      </c>
      <c r="N122" s="121">
        <f t="shared" si="24"/>
        <v>-13697.082492169473</v>
      </c>
      <c r="O122" s="121">
        <f t="shared" si="24"/>
        <v>-13818.418868570523</v>
      </c>
      <c r="P122" s="121">
        <f t="shared" si="24"/>
        <v>-13942.126484250068</v>
      </c>
      <c r="Q122" s="121">
        <f t="shared" si="24"/>
        <v>-17371.152642268742</v>
      </c>
      <c r="R122" s="121">
        <f t="shared" si="24"/>
        <v>-14196.865128677486</v>
      </c>
      <c r="S122" s="121">
        <f t="shared" si="24"/>
        <v>-14328.004233189218</v>
      </c>
      <c r="T122" s="121">
        <f t="shared" si="24"/>
        <v>699.44922136149739</v>
      </c>
      <c r="U122" s="121">
        <f t="shared" si="24"/>
        <v>607.59033468192058</v>
      </c>
      <c r="V122" s="121">
        <f t="shared" si="24"/>
        <v>514.35356470214958</v>
      </c>
      <c r="W122" s="121">
        <f t="shared" si="24"/>
        <v>419.71824317268226</v>
      </c>
      <c r="X122" s="121">
        <f t="shared" si="24"/>
        <v>323.66339182027338</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225000</v>
      </c>
      <c r="F123" s="123">
        <f t="shared" si="25"/>
        <v>225000</v>
      </c>
      <c r="G123" s="123">
        <f t="shared" si="25"/>
        <v>225000</v>
      </c>
      <c r="H123" s="123">
        <f t="shared" si="25"/>
        <v>225000</v>
      </c>
      <c r="I123" s="123">
        <f t="shared" si="25"/>
        <v>225000</v>
      </c>
      <c r="J123" s="123">
        <f t="shared" si="25"/>
        <v>225000</v>
      </c>
      <c r="K123" s="123">
        <f t="shared" si="25"/>
        <v>225000</v>
      </c>
      <c r="L123" s="123">
        <f t="shared" si="25"/>
        <v>225000</v>
      </c>
      <c r="M123" s="123">
        <f t="shared" si="25"/>
        <v>225000</v>
      </c>
      <c r="N123" s="123">
        <f t="shared" si="25"/>
        <v>225000</v>
      </c>
      <c r="O123" s="123">
        <f t="shared" si="25"/>
        <v>225000</v>
      </c>
      <c r="P123" s="123">
        <f t="shared" si="25"/>
        <v>225000</v>
      </c>
      <c r="Q123" s="123">
        <f t="shared" si="25"/>
        <v>225000</v>
      </c>
      <c r="R123" s="123">
        <f t="shared" si="25"/>
        <v>225000</v>
      </c>
      <c r="S123" s="123">
        <f t="shared" si="25"/>
        <v>225000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145500</v>
      </c>
      <c r="E124" s="143">
        <f>D124-($C$5*E97+E109+E113)</f>
        <v>134612</v>
      </c>
      <c r="F124" s="143">
        <f t="shared" ref="F124:Y124" si="26">E124-($C$5*F97+F109+F113)</f>
        <v>123623.28460102569</v>
      </c>
      <c r="G124" s="143">
        <f t="shared" si="26"/>
        <v>112529.52677860783</v>
      </c>
      <c r="H124" s="143">
        <f t="shared" si="26"/>
        <v>101326.25011410564</v>
      </c>
      <c r="I124" s="143">
        <f t="shared" si="26"/>
        <v>90008.824019129999</v>
      </c>
      <c r="J124" s="143">
        <f t="shared" si="26"/>
        <v>78572.458812293262</v>
      </c>
      <c r="K124" s="143">
        <f t="shared" si="26"/>
        <v>67012.200643789023</v>
      </c>
      <c r="L124" s="143">
        <f t="shared" si="26"/>
        <v>55322.926263169938</v>
      </c>
      <c r="M124" s="143">
        <f t="shared" si="26"/>
        <v>43499.337625551285</v>
      </c>
      <c r="N124" s="143">
        <f t="shared" si="26"/>
        <v>31535.956331323971</v>
      </c>
      <c r="O124" s="143">
        <f t="shared" si="26"/>
        <v>19427.117894312149</v>
      </c>
      <c r="P124" s="143">
        <f t="shared" si="26"/>
        <v>7166.9658331575356</v>
      </c>
      <c r="Q124" s="143">
        <f t="shared" si="26"/>
        <v>-1364.7953621950401</v>
      </c>
      <c r="R124" s="143">
        <f t="shared" si="26"/>
        <v>-13945.942737948571</v>
      </c>
      <c r="S124" s="143">
        <f t="shared" si="26"/>
        <v>-26697.187004796579</v>
      </c>
      <c r="T124" s="143">
        <f t="shared" si="26"/>
        <v>-38441.693441692456</v>
      </c>
      <c r="U124" s="143">
        <f t="shared" si="26"/>
        <v>-50078.130600141776</v>
      </c>
      <c r="V124" s="143">
        <f t="shared" si="26"/>
        <v>-61604.87744096783</v>
      </c>
      <c r="W124" s="143">
        <f t="shared" si="26"/>
        <v>-73020.288609406285</v>
      </c>
      <c r="X124" s="143">
        <f t="shared" si="26"/>
        <v>-84322.694070371304</v>
      </c>
      <c r="Y124" s="143">
        <f t="shared" si="26"/>
        <v>-84322.694070371304</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1.4748067572838492</v>
      </c>
      <c r="F125" s="310">
        <f>IF(F91&gt;$C$76,"",(F110+F97*$C$5)/-F115)</f>
        <v>1.4658802278584604</v>
      </c>
      <c r="G125" s="310">
        <f t="shared" ref="G125:AR125" si="27">IF(G91&gt;$C$76,"",(G110+G97*$C$5)/-G115)</f>
        <v>1.4568198004916906</v>
      </c>
      <c r="H125" s="310">
        <f t="shared" si="27"/>
        <v>1.4476234667144194</v>
      </c>
      <c r="I125" s="310">
        <f t="shared" si="27"/>
        <v>1.4382891879304891</v>
      </c>
      <c r="J125" s="310">
        <f t="shared" si="27"/>
        <v>1.4288148949647999</v>
      </c>
      <c r="K125" s="310">
        <f t="shared" si="27"/>
        <v>1.4191984876046255</v>
      </c>
      <c r="L125" s="310">
        <f t="shared" si="27"/>
        <v>1.4094378341340481</v>
      </c>
      <c r="M125" s="310">
        <f t="shared" si="27"/>
        <v>1.3995307708614122</v>
      </c>
      <c r="N125" s="310">
        <f t="shared" si="27"/>
        <v>1.3894751016396867</v>
      </c>
      <c r="O125" s="310">
        <f t="shared" si="27"/>
        <v>1.3792685973796355</v>
      </c>
      <c r="P125" s="310">
        <f t="shared" si="27"/>
        <v>1.3689089955556837</v>
      </c>
      <c r="Q125" s="310">
        <f t="shared" si="27"/>
        <v>0.95987218365366311</v>
      </c>
      <c r="R125" s="310">
        <f t="shared" si="27"/>
        <v>1.347721278915291</v>
      </c>
      <c r="S125" s="310">
        <f t="shared" si="27"/>
        <v>1.3368884673143737</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-102110.34647193993</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1463003.8682125465</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145500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1.3815024034868084</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4.0% / 2.5%</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116400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29100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900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44" priority="5" operator="containsText" text="Pas op">
      <formula>NOT(ISERROR(SEARCH("Pas op",G1)))</formula>
    </cfRule>
  </conditionalFormatting>
  <conditionalFormatting sqref="G165">
    <cfRule type="containsText" dxfId="43" priority="4" operator="containsText" text="Pas op">
      <formula>NOT(ISERROR(SEARCH("Pas op",G165)))</formula>
    </cfRule>
  </conditionalFormatting>
  <conditionalFormatting sqref="G144 G147:G149">
    <cfRule type="containsText" dxfId="42" priority="3" operator="containsText" text="Pas op">
      <formula>NOT(ISERROR(SEARCH("Pas op",G144)))</formula>
    </cfRule>
  </conditionalFormatting>
  <conditionalFormatting sqref="G84">
    <cfRule type="containsText" dxfId="41" priority="2" operator="containsText" text="Pas op">
      <formula>NOT(ISERROR(SEARCH("Pas op",G84)))</formula>
    </cfRule>
  </conditionalFormatting>
  <conditionalFormatting sqref="G83">
    <cfRule type="containsText" dxfId="40"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C32DD475-B99F-4D60-999E-E9B816A2F503}">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47F6-2041-4147-8762-B4A2273F9A75}">
  <sheetPr codeName="Sheet94">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381</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0.2109</v>
      </c>
      <c r="D5" s="130" t="str">
        <f>CONCATENATE("Euro/",$C$9)</f>
        <v>Euro/kWh</v>
      </c>
      <c r="E5" s="385"/>
      <c r="F5" s="386"/>
      <c r="G5" s="386"/>
      <c r="H5" s="386"/>
      <c r="I5" s="386"/>
      <c r="J5" s="386"/>
      <c r="K5" s="386"/>
      <c r="L5" s="386"/>
      <c r="M5" s="387"/>
      <c r="N5" s="31"/>
    </row>
    <row r="6" spans="1:26" x14ac:dyDescent="0.2">
      <c r="B6" s="3" t="s">
        <v>106</v>
      </c>
      <c r="C6" s="131">
        <f>ROUND((C5-C7)/C8*1000,0)</f>
        <v>833</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15</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15</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2100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3200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4.8000000000000001E-2</v>
      </c>
      <c r="D36" s="41" t="s">
        <v>56</v>
      </c>
      <c r="E36" s="385"/>
      <c r="F36" s="386"/>
      <c r="G36" s="386"/>
      <c r="H36" s="386"/>
      <c r="I36" s="386"/>
      <c r="J36" s="386"/>
      <c r="K36" s="386"/>
      <c r="L36" s="386"/>
      <c r="M36" s="387"/>
    </row>
    <row r="37" spans="1:13" x14ac:dyDescent="0.2">
      <c r="A37" s="37"/>
      <c r="B37" s="12" t="s">
        <v>22</v>
      </c>
      <c r="C37" s="52">
        <v>24.5</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0.36749999999999999</v>
      </c>
      <c r="D39" s="41" t="s">
        <v>57</v>
      </c>
      <c r="E39" s="385"/>
      <c r="F39" s="386"/>
      <c r="G39" s="386"/>
      <c r="H39" s="386"/>
      <c r="I39" s="386"/>
      <c r="J39" s="386"/>
      <c r="K39" s="386"/>
      <c r="L39" s="386"/>
      <c r="M39" s="387"/>
    </row>
    <row r="40" spans="1:13" x14ac:dyDescent="0.2">
      <c r="A40" s="37"/>
      <c r="B40" s="5" t="s">
        <v>24</v>
      </c>
      <c r="C40" s="54">
        <v>4.3999999999999997E-2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2100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8.5000000000000006E-2</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-48000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31500</v>
      </c>
      <c r="F94" s="93">
        <f t="shared" si="1"/>
        <v>31500</v>
      </c>
      <c r="G94" s="93">
        <f t="shared" si="1"/>
        <v>31500</v>
      </c>
      <c r="H94" s="93">
        <f t="shared" si="1"/>
        <v>31500</v>
      </c>
      <c r="I94" s="93">
        <f t="shared" si="1"/>
        <v>31500</v>
      </c>
      <c r="J94" s="93">
        <f t="shared" si="1"/>
        <v>31500</v>
      </c>
      <c r="K94" s="93">
        <f t="shared" si="1"/>
        <v>31500</v>
      </c>
      <c r="L94" s="93">
        <f t="shared" si="1"/>
        <v>31500</v>
      </c>
      <c r="M94" s="93">
        <f t="shared" si="1"/>
        <v>31500</v>
      </c>
      <c r="N94" s="93">
        <f t="shared" si="1"/>
        <v>31500</v>
      </c>
      <c r="O94" s="93">
        <f t="shared" si="1"/>
        <v>31500</v>
      </c>
      <c r="P94" s="93">
        <f t="shared" si="1"/>
        <v>31500</v>
      </c>
      <c r="Q94" s="93">
        <f t="shared" si="1"/>
        <v>31500</v>
      </c>
      <c r="R94" s="93">
        <f t="shared" si="1"/>
        <v>31500</v>
      </c>
      <c r="S94" s="93">
        <f t="shared" si="1"/>
        <v>31500</v>
      </c>
      <c r="T94" s="93">
        <f t="shared" si="1"/>
        <v>31500</v>
      </c>
      <c r="U94" s="93">
        <f t="shared" si="1"/>
        <v>31500</v>
      </c>
      <c r="V94" s="93">
        <f t="shared" si="1"/>
        <v>31500</v>
      </c>
      <c r="W94" s="93">
        <f t="shared" si="1"/>
        <v>31500</v>
      </c>
      <c r="X94" s="93">
        <f t="shared" si="1"/>
        <v>31500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31500</v>
      </c>
      <c r="F97" s="99">
        <f t="shared" ref="F97:AR97" si="4">SUM(F94:F96)</f>
        <v>31500</v>
      </c>
      <c r="G97" s="99">
        <f t="shared" si="4"/>
        <v>31500</v>
      </c>
      <c r="H97" s="99">
        <f t="shared" si="4"/>
        <v>31500</v>
      </c>
      <c r="I97" s="99">
        <f t="shared" si="4"/>
        <v>31500</v>
      </c>
      <c r="J97" s="99">
        <f t="shared" si="4"/>
        <v>31500</v>
      </c>
      <c r="K97" s="99">
        <f t="shared" si="4"/>
        <v>31500</v>
      </c>
      <c r="L97" s="99">
        <f t="shared" si="4"/>
        <v>31500</v>
      </c>
      <c r="M97" s="99">
        <f t="shared" si="4"/>
        <v>31500</v>
      </c>
      <c r="N97" s="99">
        <f t="shared" si="4"/>
        <v>31500</v>
      </c>
      <c r="O97" s="99">
        <f t="shared" si="4"/>
        <v>31500</v>
      </c>
      <c r="P97" s="99">
        <f t="shared" si="4"/>
        <v>31500</v>
      </c>
      <c r="Q97" s="99">
        <f t="shared" si="4"/>
        <v>31500</v>
      </c>
      <c r="R97" s="99">
        <f t="shared" si="4"/>
        <v>31500</v>
      </c>
      <c r="S97" s="99">
        <f t="shared" si="4"/>
        <v>31500</v>
      </c>
      <c r="T97" s="99">
        <f t="shared" si="4"/>
        <v>31500</v>
      </c>
      <c r="U97" s="99">
        <f t="shared" si="4"/>
        <v>31500</v>
      </c>
      <c r="V97" s="99">
        <f t="shared" si="4"/>
        <v>31500</v>
      </c>
      <c r="W97" s="99">
        <f t="shared" si="4"/>
        <v>31500</v>
      </c>
      <c r="X97" s="99">
        <f t="shared" si="4"/>
        <v>31500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-1753.5</v>
      </c>
      <c r="F99" s="93">
        <f t="shared" si="5"/>
        <v>-1779.8024999999998</v>
      </c>
      <c r="G99" s="93">
        <f t="shared" si="5"/>
        <v>-1806.4995374999994</v>
      </c>
      <c r="H99" s="93">
        <f t="shared" si="5"/>
        <v>-1833.5970305624994</v>
      </c>
      <c r="I99" s="93">
        <f t="shared" si="5"/>
        <v>-1861.1009860209365</v>
      </c>
      <c r="J99" s="93">
        <f t="shared" si="5"/>
        <v>-1889.0175008112503</v>
      </c>
      <c r="K99" s="93">
        <f t="shared" si="5"/>
        <v>-1917.3527633234187</v>
      </c>
      <c r="L99" s="93">
        <f t="shared" si="5"/>
        <v>-1946.1130547732696</v>
      </c>
      <c r="M99" s="93">
        <f t="shared" si="5"/>
        <v>-1975.3047505948687</v>
      </c>
      <c r="N99" s="93">
        <f t="shared" si="5"/>
        <v>-2004.9343218537913</v>
      </c>
      <c r="O99" s="93">
        <f t="shared" si="5"/>
        <v>-2035.0083366815979</v>
      </c>
      <c r="P99" s="93">
        <f t="shared" si="5"/>
        <v>-2065.5334617318217</v>
      </c>
      <c r="Q99" s="93">
        <f t="shared" si="5"/>
        <v>-2096.5164636577988</v>
      </c>
      <c r="R99" s="93">
        <f t="shared" si="5"/>
        <v>-2127.9642106126653</v>
      </c>
      <c r="S99" s="93">
        <f t="shared" si="5"/>
        <v>-2159.8836737718548</v>
      </c>
      <c r="T99" s="93">
        <f t="shared" si="5"/>
        <v>-2192.2819288784326</v>
      </c>
      <c r="U99" s="93">
        <f t="shared" si="5"/>
        <v>-2225.1661578116086</v>
      </c>
      <c r="V99" s="93">
        <f t="shared" si="5"/>
        <v>-2258.5436501787826</v>
      </c>
      <c r="W99" s="93">
        <f t="shared" si="5"/>
        <v>-2292.4218049314641</v>
      </c>
      <c r="X99" s="93">
        <f t="shared" si="5"/>
        <v>-2326.8081320054357</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976.5</v>
      </c>
      <c r="U106" s="105">
        <f t="shared" si="12"/>
        <v>976.5</v>
      </c>
      <c r="V106" s="105">
        <f t="shared" si="12"/>
        <v>976.5</v>
      </c>
      <c r="W106" s="105">
        <f t="shared" si="12"/>
        <v>976.5</v>
      </c>
      <c r="X106" s="105">
        <f t="shared" si="12"/>
        <v>976.5</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976.5</v>
      </c>
      <c r="U108" s="93">
        <f t="shared" si="13"/>
        <v>976.5</v>
      </c>
      <c r="V108" s="93">
        <f t="shared" si="13"/>
        <v>976.5</v>
      </c>
      <c r="W108" s="93">
        <f t="shared" si="13"/>
        <v>976.5</v>
      </c>
      <c r="X108" s="93">
        <f t="shared" si="13"/>
        <v>976.5</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-1753.5</v>
      </c>
      <c r="F109" s="96">
        <f t="shared" si="14"/>
        <v>-1779.8024999999998</v>
      </c>
      <c r="G109" s="96">
        <f t="shared" si="14"/>
        <v>-1806.4995374999994</v>
      </c>
      <c r="H109" s="96">
        <f t="shared" si="14"/>
        <v>-1833.5970305624994</v>
      </c>
      <c r="I109" s="96">
        <f t="shared" si="14"/>
        <v>-1861.1009860209365</v>
      </c>
      <c r="J109" s="96">
        <f t="shared" si="14"/>
        <v>-1889.0175008112503</v>
      </c>
      <c r="K109" s="96">
        <f t="shared" si="14"/>
        <v>-1917.3527633234187</v>
      </c>
      <c r="L109" s="96">
        <f t="shared" si="14"/>
        <v>-1946.1130547732696</v>
      </c>
      <c r="M109" s="96">
        <f t="shared" si="14"/>
        <v>-1975.3047505948687</v>
      </c>
      <c r="N109" s="96">
        <f t="shared" si="14"/>
        <v>-2004.9343218537913</v>
      </c>
      <c r="O109" s="96">
        <f t="shared" si="14"/>
        <v>-2035.0083366815979</v>
      </c>
      <c r="P109" s="96">
        <f t="shared" si="14"/>
        <v>-2065.5334617318217</v>
      </c>
      <c r="Q109" s="96">
        <f t="shared" si="14"/>
        <v>-2096.5164636577988</v>
      </c>
      <c r="R109" s="96">
        <f t="shared" si="14"/>
        <v>-2127.9642106126653</v>
      </c>
      <c r="S109" s="96">
        <f t="shared" si="14"/>
        <v>-2159.8836737718548</v>
      </c>
      <c r="T109" s="96">
        <f t="shared" si="14"/>
        <v>-2192.2819288784326</v>
      </c>
      <c r="U109" s="96">
        <f t="shared" si="14"/>
        <v>-2225.1661578116086</v>
      </c>
      <c r="V109" s="96">
        <f t="shared" si="14"/>
        <v>-2258.5436501787826</v>
      </c>
      <c r="W109" s="96">
        <f t="shared" si="14"/>
        <v>-2292.4218049314641</v>
      </c>
      <c r="X109" s="96">
        <f t="shared" si="14"/>
        <v>-2326.8081320054357</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-1753.5</v>
      </c>
      <c r="F110" s="105">
        <f t="shared" ref="F110:AR110" si="15">SUM(F108:F109)</f>
        <v>-1779.8024999999998</v>
      </c>
      <c r="G110" s="105">
        <f t="shared" si="15"/>
        <v>-1806.4995374999994</v>
      </c>
      <c r="H110" s="105">
        <f t="shared" si="15"/>
        <v>-1833.5970305624994</v>
      </c>
      <c r="I110" s="105">
        <f t="shared" si="15"/>
        <v>-1861.1009860209365</v>
      </c>
      <c r="J110" s="105">
        <f t="shared" si="15"/>
        <v>-1889.0175008112503</v>
      </c>
      <c r="K110" s="105">
        <f t="shared" si="15"/>
        <v>-1917.3527633234187</v>
      </c>
      <c r="L110" s="105">
        <f t="shared" si="15"/>
        <v>-1946.1130547732696</v>
      </c>
      <c r="M110" s="105">
        <f t="shared" si="15"/>
        <v>-1975.3047505948687</v>
      </c>
      <c r="N110" s="105">
        <f t="shared" si="15"/>
        <v>-2004.9343218537913</v>
      </c>
      <c r="O110" s="105">
        <f t="shared" si="15"/>
        <v>-2035.0083366815979</v>
      </c>
      <c r="P110" s="105">
        <f t="shared" si="15"/>
        <v>-2065.5334617318217</v>
      </c>
      <c r="Q110" s="105">
        <f t="shared" si="15"/>
        <v>-2096.5164636577988</v>
      </c>
      <c r="R110" s="105">
        <f t="shared" si="15"/>
        <v>-2127.9642106126653</v>
      </c>
      <c r="S110" s="105">
        <f t="shared" si="15"/>
        <v>-2159.8836737718548</v>
      </c>
      <c r="T110" s="105">
        <f t="shared" si="15"/>
        <v>-1215.7819288784326</v>
      </c>
      <c r="U110" s="105">
        <f t="shared" si="15"/>
        <v>-1248.6661578116086</v>
      </c>
      <c r="V110" s="105">
        <f t="shared" si="15"/>
        <v>-1282.0436501787826</v>
      </c>
      <c r="W110" s="105">
        <f t="shared" si="15"/>
        <v>-1315.9218049314641</v>
      </c>
      <c r="X110" s="105">
        <f t="shared" si="15"/>
        <v>-1350.3081320054357</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-3200</v>
      </c>
      <c r="F112" s="93">
        <f t="shared" si="16"/>
        <v>-3200</v>
      </c>
      <c r="G112" s="93">
        <f t="shared" si="16"/>
        <v>-3200</v>
      </c>
      <c r="H112" s="93">
        <f t="shared" si="16"/>
        <v>-3200</v>
      </c>
      <c r="I112" s="93">
        <f t="shared" si="16"/>
        <v>-3200</v>
      </c>
      <c r="J112" s="93">
        <f t="shared" si="16"/>
        <v>-3200</v>
      </c>
      <c r="K112" s="93">
        <f t="shared" si="16"/>
        <v>-3200</v>
      </c>
      <c r="L112" s="93">
        <f t="shared" si="16"/>
        <v>-3200</v>
      </c>
      <c r="M112" s="93">
        <f t="shared" si="16"/>
        <v>-3200</v>
      </c>
      <c r="N112" s="93">
        <f t="shared" si="16"/>
        <v>-3200</v>
      </c>
      <c r="O112" s="93">
        <f t="shared" si="16"/>
        <v>-3200</v>
      </c>
      <c r="P112" s="93">
        <f t="shared" si="16"/>
        <v>-3200</v>
      </c>
      <c r="Q112" s="93">
        <f t="shared" si="16"/>
        <v>-3200</v>
      </c>
      <c r="R112" s="93">
        <f t="shared" si="16"/>
        <v>-3200</v>
      </c>
      <c r="S112" s="93">
        <f t="shared" si="16"/>
        <v>-3200</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-1344.0000000000002</v>
      </c>
      <c r="F113" s="96">
        <f t="shared" si="17"/>
        <v>-1274.3471067720518</v>
      </c>
      <c r="G113" s="96">
        <f t="shared" si="17"/>
        <v>-1202.2563622811256</v>
      </c>
      <c r="H113" s="96">
        <f t="shared" si="17"/>
        <v>-1127.6424417330165</v>
      </c>
      <c r="I113" s="96">
        <f t="shared" si="17"/>
        <v>-1050.4170339657237</v>
      </c>
      <c r="J113" s="96">
        <f t="shared" si="17"/>
        <v>-970.48873692657571</v>
      </c>
      <c r="K113" s="96">
        <f t="shared" si="17"/>
        <v>-887.76294949105761</v>
      </c>
      <c r="L113" s="96">
        <f t="shared" si="17"/>
        <v>-802.14175949529647</v>
      </c>
      <c r="M113" s="96">
        <f t="shared" si="17"/>
        <v>-713.52382784968336</v>
      </c>
      <c r="N113" s="96">
        <f t="shared" si="17"/>
        <v>-621.804268596474</v>
      </c>
      <c r="O113" s="96">
        <f t="shared" si="17"/>
        <v>-526.87452476940246</v>
      </c>
      <c r="P113" s="96">
        <f t="shared" si="17"/>
        <v>-428.62223990838311</v>
      </c>
      <c r="Q113" s="96">
        <f t="shared" si="17"/>
        <v>-326.93112507722822</v>
      </c>
      <c r="R113" s="96">
        <f t="shared" si="17"/>
        <v>-221.68082122698291</v>
      </c>
      <c r="S113" s="96">
        <f t="shared" si="17"/>
        <v>-112.74675674197903</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-1990.0826636556658</v>
      </c>
      <c r="F114" s="96">
        <f t="shared" si="18"/>
        <v>-2059.7355568836142</v>
      </c>
      <c r="G114" s="96">
        <f t="shared" si="18"/>
        <v>-2131.8263013745404</v>
      </c>
      <c r="H114" s="96">
        <f t="shared" si="18"/>
        <v>-2206.4402219226495</v>
      </c>
      <c r="I114" s="96">
        <f t="shared" si="18"/>
        <v>-2283.6656296899423</v>
      </c>
      <c r="J114" s="96">
        <f t="shared" si="18"/>
        <v>-2363.5939267290901</v>
      </c>
      <c r="K114" s="96">
        <f t="shared" si="18"/>
        <v>-2446.3197141646083</v>
      </c>
      <c r="L114" s="96">
        <f t="shared" si="18"/>
        <v>-2531.9409041603694</v>
      </c>
      <c r="M114" s="96">
        <f t="shared" si="18"/>
        <v>-2620.5588358059822</v>
      </c>
      <c r="N114" s="96">
        <f t="shared" si="18"/>
        <v>-2712.278395059192</v>
      </c>
      <c r="O114" s="96">
        <f t="shared" si="18"/>
        <v>-2807.2081388862634</v>
      </c>
      <c r="P114" s="96">
        <f t="shared" si="18"/>
        <v>-2905.4604237472831</v>
      </c>
      <c r="Q114" s="96">
        <f t="shared" si="18"/>
        <v>-3007.1515385784373</v>
      </c>
      <c r="R114" s="96">
        <f t="shared" si="18"/>
        <v>-3112.4018424286828</v>
      </c>
      <c r="S114" s="96">
        <f t="shared" si="18"/>
        <v>-3221.3359069136868</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-3334.0826636556658</v>
      </c>
      <c r="F115" s="105">
        <f t="shared" ref="F115:AR115" si="19">SUM(F113,F114)</f>
        <v>-3334.0826636556658</v>
      </c>
      <c r="G115" s="105">
        <f t="shared" si="19"/>
        <v>-3334.0826636556658</v>
      </c>
      <c r="H115" s="105">
        <f t="shared" si="19"/>
        <v>-3334.0826636556658</v>
      </c>
      <c r="I115" s="105">
        <f t="shared" si="19"/>
        <v>-3334.0826636556658</v>
      </c>
      <c r="J115" s="105">
        <f t="shared" si="19"/>
        <v>-3334.0826636556658</v>
      </c>
      <c r="K115" s="105">
        <f t="shared" si="19"/>
        <v>-3334.0826636556658</v>
      </c>
      <c r="L115" s="105">
        <f t="shared" si="19"/>
        <v>-3334.0826636556658</v>
      </c>
      <c r="M115" s="105">
        <f t="shared" si="19"/>
        <v>-3334.0826636556658</v>
      </c>
      <c r="N115" s="105">
        <f t="shared" si="19"/>
        <v>-3334.0826636556658</v>
      </c>
      <c r="O115" s="105">
        <f t="shared" si="19"/>
        <v>-3334.0826636556658</v>
      </c>
      <c r="P115" s="105">
        <f t="shared" si="19"/>
        <v>-3334.0826636556662</v>
      </c>
      <c r="Q115" s="105">
        <f t="shared" si="19"/>
        <v>-3334.0826636556658</v>
      </c>
      <c r="R115" s="105">
        <f t="shared" si="19"/>
        <v>-3334.0826636556658</v>
      </c>
      <c r="S115" s="105">
        <f t="shared" si="19"/>
        <v>-3334.0826636556658</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-6297.5</v>
      </c>
      <c r="F117" s="110">
        <f t="shared" ref="F117:AR117" si="20">F110+F112+F113</f>
        <v>-6254.1496067720518</v>
      </c>
      <c r="G117" s="110">
        <f t="shared" si="20"/>
        <v>-6208.7558997811257</v>
      </c>
      <c r="H117" s="110">
        <f t="shared" si="20"/>
        <v>-6161.239472295516</v>
      </c>
      <c r="I117" s="110">
        <f t="shared" si="20"/>
        <v>-6111.51801998666</v>
      </c>
      <c r="J117" s="110">
        <f t="shared" si="20"/>
        <v>-6059.5062377378254</v>
      </c>
      <c r="K117" s="110">
        <f t="shared" si="20"/>
        <v>-6005.1157128144769</v>
      </c>
      <c r="L117" s="110">
        <f t="shared" si="20"/>
        <v>-5948.2548142685664</v>
      </c>
      <c r="M117" s="110">
        <f t="shared" si="20"/>
        <v>-5888.8285784445525</v>
      </c>
      <c r="N117" s="110">
        <f t="shared" si="20"/>
        <v>-5826.7385904502653</v>
      </c>
      <c r="O117" s="110">
        <f t="shared" si="20"/>
        <v>-5761.8828614510003</v>
      </c>
      <c r="P117" s="110">
        <f t="shared" si="20"/>
        <v>-5694.1557016402057</v>
      </c>
      <c r="Q117" s="110">
        <f t="shared" si="20"/>
        <v>-5623.4475887350272</v>
      </c>
      <c r="R117" s="110">
        <f t="shared" si="20"/>
        <v>-5549.6450318396473</v>
      </c>
      <c r="S117" s="110">
        <f t="shared" si="20"/>
        <v>-5472.6304305138337</v>
      </c>
      <c r="T117" s="110">
        <f t="shared" si="20"/>
        <v>-1215.7819288784326</v>
      </c>
      <c r="U117" s="110">
        <f t="shared" si="20"/>
        <v>-1248.6661578116086</v>
      </c>
      <c r="V117" s="110">
        <f t="shared" si="20"/>
        <v>-1282.0436501787826</v>
      </c>
      <c r="W117" s="110">
        <f t="shared" si="20"/>
        <v>-1315.9218049314641</v>
      </c>
      <c r="X117" s="110">
        <f t="shared" si="20"/>
        <v>-1350.3081320054357</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944.625</v>
      </c>
      <c r="F118" s="112">
        <f t="shared" si="21"/>
        <v>938.12244101580768</v>
      </c>
      <c r="G118" s="112">
        <f t="shared" si="21"/>
        <v>931.31338496716876</v>
      </c>
      <c r="H118" s="112">
        <f t="shared" si="21"/>
        <v>924.18592084432737</v>
      </c>
      <c r="I118" s="112">
        <f t="shared" si="21"/>
        <v>916.72770299799902</v>
      </c>
      <c r="J118" s="112">
        <f t="shared" si="21"/>
        <v>908.92593566067376</v>
      </c>
      <c r="K118" s="112">
        <f t="shared" si="21"/>
        <v>900.76735692217153</v>
      </c>
      <c r="L118" s="112">
        <f t="shared" si="21"/>
        <v>892.23822214028496</v>
      </c>
      <c r="M118" s="112">
        <f t="shared" si="21"/>
        <v>883.3242867666828</v>
      </c>
      <c r="N118" s="112">
        <f t="shared" si="21"/>
        <v>874.01078856753975</v>
      </c>
      <c r="O118" s="112">
        <f t="shared" si="21"/>
        <v>864.28242921765002</v>
      </c>
      <c r="P118" s="112">
        <f t="shared" si="21"/>
        <v>854.12335524603088</v>
      </c>
      <c r="Q118" s="112">
        <f t="shared" si="21"/>
        <v>843.51713831025404</v>
      </c>
      <c r="R118" s="112">
        <f t="shared" si="21"/>
        <v>832.44675477594706</v>
      </c>
      <c r="S118" s="112">
        <f t="shared" si="21"/>
        <v>820.89456457707502</v>
      </c>
      <c r="T118" s="112">
        <f t="shared" si="21"/>
        <v>182.36728933176488</v>
      </c>
      <c r="U118" s="112">
        <f t="shared" si="21"/>
        <v>187.29992367174128</v>
      </c>
      <c r="V118" s="112">
        <f t="shared" si="21"/>
        <v>192.30654752681738</v>
      </c>
      <c r="W118" s="112">
        <f t="shared" si="21"/>
        <v>197.38827073971962</v>
      </c>
      <c r="X118" s="112">
        <f t="shared" si="21"/>
        <v>202.54621980081535</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-4142.9576636556658</v>
      </c>
      <c r="F120" s="116">
        <f t="shared" si="22"/>
        <v>-4175.7627226398581</v>
      </c>
      <c r="G120" s="116">
        <f t="shared" si="22"/>
        <v>-4209.2688161884962</v>
      </c>
      <c r="H120" s="116">
        <f t="shared" si="22"/>
        <v>-4243.4937733738379</v>
      </c>
      <c r="I120" s="116">
        <f t="shared" si="22"/>
        <v>-4278.4559466786041</v>
      </c>
      <c r="J120" s="116">
        <f t="shared" si="22"/>
        <v>-4314.1742288062424</v>
      </c>
      <c r="K120" s="116">
        <f t="shared" si="22"/>
        <v>-4350.6680700569132</v>
      </c>
      <c r="L120" s="116">
        <f t="shared" si="22"/>
        <v>-4387.95749628865</v>
      </c>
      <c r="M120" s="116">
        <f t="shared" si="22"/>
        <v>-4426.0631274838515</v>
      </c>
      <c r="N120" s="116">
        <f t="shared" si="22"/>
        <v>-4465.0061969419176</v>
      </c>
      <c r="O120" s="116">
        <f t="shared" si="22"/>
        <v>-4504.8085711196136</v>
      </c>
      <c r="P120" s="116">
        <f t="shared" si="22"/>
        <v>-4545.4927701414572</v>
      </c>
      <c r="Q120" s="116">
        <f t="shared" si="22"/>
        <v>-4587.0819890032099</v>
      </c>
      <c r="R120" s="116">
        <f t="shared" si="22"/>
        <v>-4629.6001194923847</v>
      </c>
      <c r="S120" s="116">
        <f t="shared" si="22"/>
        <v>-4673.071772850446</v>
      </c>
      <c r="T120" s="116">
        <f t="shared" si="22"/>
        <v>-1033.4146395466678</v>
      </c>
      <c r="U120" s="116">
        <f t="shared" si="22"/>
        <v>-1061.3662341398674</v>
      </c>
      <c r="V120" s="116">
        <f t="shared" si="22"/>
        <v>-1089.7371026519652</v>
      </c>
      <c r="W120" s="116">
        <f t="shared" si="22"/>
        <v>-1118.5335341917444</v>
      </c>
      <c r="X120" s="116">
        <f t="shared" si="22"/>
        <v>-1147.7619122046203</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-48000</v>
      </c>
      <c r="E121" s="121">
        <f>E110+E118</f>
        <v>-808.875</v>
      </c>
      <c r="F121" s="121">
        <f t="shared" ref="F121:AR121" si="23">F110+F118</f>
        <v>-841.6800589841921</v>
      </c>
      <c r="G121" s="121">
        <f t="shared" si="23"/>
        <v>-875.18615253283065</v>
      </c>
      <c r="H121" s="121">
        <f t="shared" si="23"/>
        <v>-909.41110971817204</v>
      </c>
      <c r="I121" s="121">
        <f t="shared" si="23"/>
        <v>-944.37328302293747</v>
      </c>
      <c r="J121" s="121">
        <f t="shared" si="23"/>
        <v>-980.09156515057657</v>
      </c>
      <c r="K121" s="121">
        <f t="shared" si="23"/>
        <v>-1016.5854064012472</v>
      </c>
      <c r="L121" s="121">
        <f t="shared" si="23"/>
        <v>-1053.8748326329846</v>
      </c>
      <c r="M121" s="121">
        <f t="shared" si="23"/>
        <v>-1091.9804638281857</v>
      </c>
      <c r="N121" s="121">
        <f t="shared" si="23"/>
        <v>-1130.9235332862515</v>
      </c>
      <c r="O121" s="121">
        <f t="shared" si="23"/>
        <v>-1170.7259074639478</v>
      </c>
      <c r="P121" s="121">
        <f t="shared" si="23"/>
        <v>-1211.4101064857909</v>
      </c>
      <c r="Q121" s="121">
        <f t="shared" si="23"/>
        <v>-1252.9993253475448</v>
      </c>
      <c r="R121" s="121">
        <f t="shared" si="23"/>
        <v>-1295.5174558367182</v>
      </c>
      <c r="S121" s="121">
        <f t="shared" si="23"/>
        <v>-1338.9891091947798</v>
      </c>
      <c r="T121" s="121">
        <f t="shared" si="23"/>
        <v>-1033.4146395466678</v>
      </c>
      <c r="U121" s="121">
        <f t="shared" si="23"/>
        <v>-1061.3662341398674</v>
      </c>
      <c r="V121" s="121">
        <f t="shared" si="23"/>
        <v>-1089.7371026519652</v>
      </c>
      <c r="W121" s="121">
        <f t="shared" si="23"/>
        <v>-1118.5335341917444</v>
      </c>
      <c r="X121" s="121">
        <f t="shared" si="23"/>
        <v>-1147.7619122046203</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-9600</v>
      </c>
      <c r="E122" s="121">
        <f>E120</f>
        <v>-4142.9576636556658</v>
      </c>
      <c r="F122" s="121">
        <f t="shared" ref="F122:AR122" si="24">F120</f>
        <v>-4175.7627226398581</v>
      </c>
      <c r="G122" s="121">
        <f t="shared" si="24"/>
        <v>-4209.2688161884962</v>
      </c>
      <c r="H122" s="121">
        <f t="shared" si="24"/>
        <v>-4243.4937733738379</v>
      </c>
      <c r="I122" s="121">
        <f t="shared" si="24"/>
        <v>-4278.4559466786041</v>
      </c>
      <c r="J122" s="121">
        <f t="shared" si="24"/>
        <v>-4314.1742288062424</v>
      </c>
      <c r="K122" s="121">
        <f t="shared" si="24"/>
        <v>-4350.6680700569132</v>
      </c>
      <c r="L122" s="121">
        <f t="shared" si="24"/>
        <v>-4387.95749628865</v>
      </c>
      <c r="M122" s="121">
        <f t="shared" si="24"/>
        <v>-4426.0631274838515</v>
      </c>
      <c r="N122" s="121">
        <f t="shared" si="24"/>
        <v>-4465.0061969419176</v>
      </c>
      <c r="O122" s="121">
        <f t="shared" si="24"/>
        <v>-4504.8085711196136</v>
      </c>
      <c r="P122" s="121">
        <f t="shared" si="24"/>
        <v>-4545.4927701414572</v>
      </c>
      <c r="Q122" s="121">
        <f t="shared" si="24"/>
        <v>-4587.0819890032099</v>
      </c>
      <c r="R122" s="121">
        <f t="shared" si="24"/>
        <v>-4629.6001194923847</v>
      </c>
      <c r="S122" s="121">
        <f t="shared" si="24"/>
        <v>-4673.071772850446</v>
      </c>
      <c r="T122" s="121">
        <f t="shared" si="24"/>
        <v>-1033.4146395466678</v>
      </c>
      <c r="U122" s="121">
        <f t="shared" si="24"/>
        <v>-1061.3662341398674</v>
      </c>
      <c r="V122" s="121">
        <f t="shared" si="24"/>
        <v>-1089.7371026519652</v>
      </c>
      <c r="W122" s="121">
        <f t="shared" si="24"/>
        <v>-1118.5335341917444</v>
      </c>
      <c r="X122" s="121">
        <f t="shared" si="24"/>
        <v>-1147.7619122046203</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31500</v>
      </c>
      <c r="F123" s="123">
        <f t="shared" si="25"/>
        <v>31500</v>
      </c>
      <c r="G123" s="123">
        <f t="shared" si="25"/>
        <v>31500</v>
      </c>
      <c r="H123" s="123">
        <f t="shared" si="25"/>
        <v>31500</v>
      </c>
      <c r="I123" s="123">
        <f t="shared" si="25"/>
        <v>31500</v>
      </c>
      <c r="J123" s="123">
        <f t="shared" si="25"/>
        <v>31500</v>
      </c>
      <c r="K123" s="123">
        <f t="shared" si="25"/>
        <v>31500</v>
      </c>
      <c r="L123" s="123">
        <f t="shared" si="25"/>
        <v>31500</v>
      </c>
      <c r="M123" s="123">
        <f t="shared" si="25"/>
        <v>31500</v>
      </c>
      <c r="N123" s="123">
        <f t="shared" si="25"/>
        <v>31500</v>
      </c>
      <c r="O123" s="123">
        <f t="shared" si="25"/>
        <v>31500</v>
      </c>
      <c r="P123" s="123">
        <f t="shared" si="25"/>
        <v>31500</v>
      </c>
      <c r="Q123" s="123">
        <f t="shared" si="25"/>
        <v>31500</v>
      </c>
      <c r="R123" s="123">
        <f t="shared" si="25"/>
        <v>31500</v>
      </c>
      <c r="S123" s="123">
        <f t="shared" si="25"/>
        <v>31500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48000</v>
      </c>
      <c r="E124" s="143">
        <f>D124-($C$5*E97+E109+E113)</f>
        <v>44454.15</v>
      </c>
      <c r="F124" s="143">
        <f t="shared" ref="F124:Y124" si="26">E124-($C$5*F97+F109+F113)</f>
        <v>40864.949606772054</v>
      </c>
      <c r="G124" s="143">
        <f t="shared" si="26"/>
        <v>37230.355506553176</v>
      </c>
      <c r="H124" s="143">
        <f t="shared" si="26"/>
        <v>33548.244978848692</v>
      </c>
      <c r="I124" s="143">
        <f t="shared" si="26"/>
        <v>29816.412998835352</v>
      </c>
      <c r="J124" s="143">
        <f t="shared" si="26"/>
        <v>26032.569236573177</v>
      </c>
      <c r="K124" s="143">
        <f t="shared" si="26"/>
        <v>22194.334949387652</v>
      </c>
      <c r="L124" s="143">
        <f t="shared" si="26"/>
        <v>18299.239763656216</v>
      </c>
      <c r="M124" s="143">
        <f t="shared" si="26"/>
        <v>14344.718342100768</v>
      </c>
      <c r="N124" s="143">
        <f t="shared" si="26"/>
        <v>10328.106932551033</v>
      </c>
      <c r="O124" s="143">
        <f t="shared" si="26"/>
        <v>6246.6397940020324</v>
      </c>
      <c r="P124" s="143">
        <f t="shared" si="26"/>
        <v>2097.4454956422378</v>
      </c>
      <c r="Q124" s="143">
        <f t="shared" si="26"/>
        <v>-2122.4569156227353</v>
      </c>
      <c r="R124" s="143">
        <f t="shared" si="26"/>
        <v>-6416.1618837830883</v>
      </c>
      <c r="S124" s="143">
        <f t="shared" si="26"/>
        <v>-10786.881453269256</v>
      </c>
      <c r="T124" s="143">
        <f t="shared" si="26"/>
        <v>-15237.949524390824</v>
      </c>
      <c r="U124" s="143">
        <f t="shared" si="26"/>
        <v>-19656.133366579215</v>
      </c>
      <c r="V124" s="143">
        <f t="shared" si="26"/>
        <v>-24040.939716400433</v>
      </c>
      <c r="W124" s="143">
        <f t="shared" si="26"/>
        <v>-28391.867911468969</v>
      </c>
      <c r="X124" s="143">
        <f t="shared" si="26"/>
        <v>-32708.409779463535</v>
      </c>
      <c r="Y124" s="143">
        <f t="shared" si="26"/>
        <v>-32708.409779463535</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1.4666253039564736</v>
      </c>
      <c r="F125" s="310">
        <f>IF(F91&gt;$C$76,"",(F110+F97*$C$5)/-F115)</f>
        <v>1.4587363273912795</v>
      </c>
      <c r="G125" s="310">
        <f t="shared" ref="G125:AR125" si="27">IF(G91&gt;$C$76,"",(G110+G97*$C$5)/-G115)</f>
        <v>1.4507290161776074</v>
      </c>
      <c r="H125" s="310">
        <f t="shared" si="27"/>
        <v>1.4426015952957301</v>
      </c>
      <c r="I125" s="310">
        <f t="shared" si="27"/>
        <v>1.4343522631006251</v>
      </c>
      <c r="J125" s="310">
        <f t="shared" si="27"/>
        <v>1.425979190922593</v>
      </c>
      <c r="K125" s="310">
        <f t="shared" si="27"/>
        <v>1.4174805226618905</v>
      </c>
      <c r="L125" s="310">
        <f t="shared" si="27"/>
        <v>1.4088543743772777</v>
      </c>
      <c r="M125" s="310">
        <f t="shared" si="27"/>
        <v>1.4000988338683955</v>
      </c>
      <c r="N125" s="310">
        <f t="shared" si="27"/>
        <v>1.3912119602518802</v>
      </c>
      <c r="O125" s="310">
        <f t="shared" si="27"/>
        <v>1.382191783531117</v>
      </c>
      <c r="P125" s="310">
        <f t="shared" si="27"/>
        <v>1.3730363041595424</v>
      </c>
      <c r="Q125" s="310">
        <f t="shared" si="27"/>
        <v>1.3637434925973944</v>
      </c>
      <c r="R125" s="310">
        <f t="shared" si="27"/>
        <v>1.3543112888618143</v>
      </c>
      <c r="S125" s="310">
        <f t="shared" si="27"/>
        <v>1.3447376020702002</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-37296.662594058929</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222345.93431688315</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48000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1.4076459906149212</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4.1% / 2.5%</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38400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9600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2100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39" priority="5" operator="containsText" text="Pas op">
      <formula>NOT(ISERROR(SEARCH("Pas op",G1)))</formula>
    </cfRule>
  </conditionalFormatting>
  <conditionalFormatting sqref="G165">
    <cfRule type="containsText" dxfId="38" priority="4" operator="containsText" text="Pas op">
      <formula>NOT(ISERROR(SEARCH("Pas op",G165)))</formula>
    </cfRule>
  </conditionalFormatting>
  <conditionalFormatting sqref="G144 G147:G149">
    <cfRule type="containsText" dxfId="37" priority="3" operator="containsText" text="Pas op">
      <formula>NOT(ISERROR(SEARCH("Pas op",G144)))</formula>
    </cfRule>
  </conditionalFormatting>
  <conditionalFormatting sqref="G84">
    <cfRule type="containsText" dxfId="36" priority="2" operator="containsText" text="Pas op">
      <formula>NOT(ISERROR(SEARCH("Pas op",G84)))</formula>
    </cfRule>
  </conditionalFormatting>
  <conditionalFormatting sqref="G83">
    <cfRule type="containsText" dxfId="35"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BC05725E-A816-4637-8567-BBE52D2893A2}">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9919-E651-41EA-A509-C0DA1E2F41F2}">
  <sheetPr codeName="Sheet95">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382</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7.8600000000000003E-2</v>
      </c>
      <c r="D5" s="130" t="str">
        <f>CONCATENATE("Euro/",$C$9)</f>
        <v>Euro/kWh</v>
      </c>
      <c r="E5" s="385"/>
      <c r="F5" s="386"/>
      <c r="G5" s="386"/>
      <c r="H5" s="386"/>
      <c r="I5" s="386"/>
      <c r="J5" s="386"/>
      <c r="K5" s="386"/>
      <c r="L5" s="386"/>
      <c r="M5" s="387"/>
      <c r="N5" s="31"/>
    </row>
    <row r="6" spans="1:26" x14ac:dyDescent="0.2">
      <c r="B6" s="3" t="s">
        <v>106</v>
      </c>
      <c r="C6" s="131">
        <f>ROUND((C5-C7)/C8*1000,0)</f>
        <v>221</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2370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2370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2370000</v>
      </c>
      <c r="F94" s="93">
        <f t="shared" si="1"/>
        <v>2370000</v>
      </c>
      <c r="G94" s="93">
        <f t="shared" si="1"/>
        <v>2370000</v>
      </c>
      <c r="H94" s="93">
        <f t="shared" si="1"/>
        <v>2370000</v>
      </c>
      <c r="I94" s="93">
        <f t="shared" si="1"/>
        <v>2370000</v>
      </c>
      <c r="J94" s="93">
        <f t="shared" si="1"/>
        <v>2370000</v>
      </c>
      <c r="K94" s="93">
        <f t="shared" si="1"/>
        <v>2370000</v>
      </c>
      <c r="L94" s="93">
        <f t="shared" si="1"/>
        <v>2370000</v>
      </c>
      <c r="M94" s="93">
        <f t="shared" si="1"/>
        <v>2370000</v>
      </c>
      <c r="N94" s="93">
        <f t="shared" si="1"/>
        <v>2370000</v>
      </c>
      <c r="O94" s="93">
        <f t="shared" si="1"/>
        <v>2370000</v>
      </c>
      <c r="P94" s="93">
        <f t="shared" si="1"/>
        <v>2370000</v>
      </c>
      <c r="Q94" s="93">
        <f t="shared" si="1"/>
        <v>2370000</v>
      </c>
      <c r="R94" s="93">
        <f t="shared" si="1"/>
        <v>2370000</v>
      </c>
      <c r="S94" s="93">
        <f t="shared" si="1"/>
        <v>2370000</v>
      </c>
      <c r="T94" s="93">
        <f t="shared" si="1"/>
        <v>2370000</v>
      </c>
      <c r="U94" s="93">
        <f t="shared" si="1"/>
        <v>2370000</v>
      </c>
      <c r="V94" s="93">
        <f t="shared" si="1"/>
        <v>2370000</v>
      </c>
      <c r="W94" s="93">
        <f t="shared" si="1"/>
        <v>2370000</v>
      </c>
      <c r="X94" s="93">
        <f t="shared" si="1"/>
        <v>2370000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2370000</v>
      </c>
      <c r="F97" s="99">
        <f t="shared" ref="F97:AR97" si="4">SUM(F94:F96)</f>
        <v>2370000</v>
      </c>
      <c r="G97" s="99">
        <f t="shared" si="4"/>
        <v>2370000</v>
      </c>
      <c r="H97" s="99">
        <f t="shared" si="4"/>
        <v>2370000</v>
      </c>
      <c r="I97" s="99">
        <f t="shared" si="4"/>
        <v>2370000</v>
      </c>
      <c r="J97" s="99">
        <f t="shared" si="4"/>
        <v>2370000</v>
      </c>
      <c r="K97" s="99">
        <f t="shared" si="4"/>
        <v>2370000</v>
      </c>
      <c r="L97" s="99">
        <f t="shared" si="4"/>
        <v>2370000</v>
      </c>
      <c r="M97" s="99">
        <f t="shared" si="4"/>
        <v>2370000</v>
      </c>
      <c r="N97" s="99">
        <f t="shared" si="4"/>
        <v>2370000</v>
      </c>
      <c r="O97" s="99">
        <f t="shared" si="4"/>
        <v>2370000</v>
      </c>
      <c r="P97" s="99">
        <f t="shared" si="4"/>
        <v>2370000</v>
      </c>
      <c r="Q97" s="99">
        <f t="shared" si="4"/>
        <v>2370000</v>
      </c>
      <c r="R97" s="99">
        <f t="shared" si="4"/>
        <v>2370000</v>
      </c>
      <c r="S97" s="99">
        <f t="shared" si="4"/>
        <v>2370000</v>
      </c>
      <c r="T97" s="99">
        <f t="shared" si="4"/>
        <v>2370000</v>
      </c>
      <c r="U97" s="99">
        <f t="shared" si="4"/>
        <v>2370000</v>
      </c>
      <c r="V97" s="99">
        <f t="shared" si="4"/>
        <v>2370000</v>
      </c>
      <c r="W97" s="99">
        <f t="shared" si="4"/>
        <v>2370000</v>
      </c>
      <c r="X97" s="99">
        <f t="shared" si="4"/>
        <v>2370000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-59180</v>
      </c>
      <c r="F99" s="93">
        <f t="shared" si="5"/>
        <v>-60067.7</v>
      </c>
      <c r="G99" s="93">
        <f t="shared" si="5"/>
        <v>-60968.715499999984</v>
      </c>
      <c r="H99" s="93">
        <f t="shared" si="5"/>
        <v>-61883.24623249998</v>
      </c>
      <c r="I99" s="93">
        <f t="shared" si="5"/>
        <v>-62811.494925987463</v>
      </c>
      <c r="J99" s="93">
        <f t="shared" si="5"/>
        <v>-63753.667349877272</v>
      </c>
      <c r="K99" s="93">
        <f t="shared" si="5"/>
        <v>-64709.972360125415</v>
      </c>
      <c r="L99" s="93">
        <f t="shared" si="5"/>
        <v>-65680.621945527295</v>
      </c>
      <c r="M99" s="93">
        <f t="shared" si="5"/>
        <v>-66665.831274710188</v>
      </c>
      <c r="N99" s="93">
        <f t="shared" si="5"/>
        <v>-67665.818743830838</v>
      </c>
      <c r="O99" s="93">
        <f t="shared" si="5"/>
        <v>-68680.806024988298</v>
      </c>
      <c r="P99" s="93">
        <f t="shared" si="5"/>
        <v>-69711.018115363113</v>
      </c>
      <c r="Q99" s="93">
        <f t="shared" si="5"/>
        <v>-70756.683387093537</v>
      </c>
      <c r="R99" s="93">
        <f t="shared" si="5"/>
        <v>-71818.033637899935</v>
      </c>
      <c r="S99" s="93">
        <f t="shared" si="5"/>
        <v>-72895.30414246842</v>
      </c>
      <c r="T99" s="93">
        <f t="shared" si="5"/>
        <v>-73988.733704605431</v>
      </c>
      <c r="U99" s="93">
        <f t="shared" si="5"/>
        <v>-75098.564710174513</v>
      </c>
      <c r="V99" s="93">
        <f t="shared" si="5"/>
        <v>-76225.04318082711</v>
      </c>
      <c r="W99" s="93">
        <f t="shared" si="5"/>
        <v>-77368.418828539521</v>
      </c>
      <c r="X99" s="93">
        <f t="shared" si="5"/>
        <v>-78528.945110967601</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73470</v>
      </c>
      <c r="U106" s="105">
        <f t="shared" si="12"/>
        <v>73470</v>
      </c>
      <c r="V106" s="105">
        <f t="shared" si="12"/>
        <v>73470</v>
      </c>
      <c r="W106" s="105">
        <f t="shared" si="12"/>
        <v>73470</v>
      </c>
      <c r="X106" s="105">
        <f t="shared" si="12"/>
        <v>73470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73470</v>
      </c>
      <c r="U108" s="93">
        <f t="shared" si="13"/>
        <v>73470</v>
      </c>
      <c r="V108" s="93">
        <f t="shared" si="13"/>
        <v>73470</v>
      </c>
      <c r="W108" s="93">
        <f t="shared" si="13"/>
        <v>73470</v>
      </c>
      <c r="X108" s="93">
        <f t="shared" si="13"/>
        <v>73470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-59180</v>
      </c>
      <c r="F109" s="96">
        <f t="shared" si="14"/>
        <v>-60067.7</v>
      </c>
      <c r="G109" s="96">
        <f t="shared" si="14"/>
        <v>-60968.715499999984</v>
      </c>
      <c r="H109" s="96">
        <f t="shared" si="14"/>
        <v>-61883.24623249998</v>
      </c>
      <c r="I109" s="96">
        <f t="shared" si="14"/>
        <v>-62811.494925987463</v>
      </c>
      <c r="J109" s="96">
        <f t="shared" si="14"/>
        <v>-63753.667349877272</v>
      </c>
      <c r="K109" s="96">
        <f t="shared" si="14"/>
        <v>-64709.972360125415</v>
      </c>
      <c r="L109" s="96">
        <f t="shared" si="14"/>
        <v>-65680.621945527295</v>
      </c>
      <c r="M109" s="96">
        <f t="shared" si="14"/>
        <v>-66665.831274710188</v>
      </c>
      <c r="N109" s="96">
        <f t="shared" si="14"/>
        <v>-67665.818743830838</v>
      </c>
      <c r="O109" s="96">
        <f t="shared" si="14"/>
        <v>-68680.806024988298</v>
      </c>
      <c r="P109" s="96">
        <f t="shared" si="14"/>
        <v>-69711.018115363113</v>
      </c>
      <c r="Q109" s="96">
        <f t="shared" si="14"/>
        <v>-70756.683387093537</v>
      </c>
      <c r="R109" s="96">
        <f t="shared" si="14"/>
        <v>-71818.033637899935</v>
      </c>
      <c r="S109" s="96">
        <f t="shared" si="14"/>
        <v>-72895.30414246842</v>
      </c>
      <c r="T109" s="96">
        <f t="shared" si="14"/>
        <v>-73988.733704605431</v>
      </c>
      <c r="U109" s="96">
        <f t="shared" si="14"/>
        <v>-75098.564710174513</v>
      </c>
      <c r="V109" s="96">
        <f t="shared" si="14"/>
        <v>-76225.04318082711</v>
      </c>
      <c r="W109" s="96">
        <f t="shared" si="14"/>
        <v>-77368.418828539521</v>
      </c>
      <c r="X109" s="96">
        <f t="shared" si="14"/>
        <v>-78528.945110967601</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-59180</v>
      </c>
      <c r="F110" s="105">
        <f t="shared" ref="F110:AR110" si="15">SUM(F108:F109)</f>
        <v>-60067.7</v>
      </c>
      <c r="G110" s="105">
        <f t="shared" si="15"/>
        <v>-60968.715499999984</v>
      </c>
      <c r="H110" s="105">
        <f t="shared" si="15"/>
        <v>-61883.24623249998</v>
      </c>
      <c r="I110" s="105">
        <f t="shared" si="15"/>
        <v>-62811.494925987463</v>
      </c>
      <c r="J110" s="105">
        <f t="shared" si="15"/>
        <v>-63753.667349877272</v>
      </c>
      <c r="K110" s="105">
        <f t="shared" si="15"/>
        <v>-64709.972360125415</v>
      </c>
      <c r="L110" s="105">
        <f t="shared" si="15"/>
        <v>-65680.621945527295</v>
      </c>
      <c r="M110" s="105">
        <f t="shared" si="15"/>
        <v>-66665.831274710188</v>
      </c>
      <c r="N110" s="105">
        <f t="shared" si="15"/>
        <v>-67665.818743830838</v>
      </c>
      <c r="O110" s="105">
        <f t="shared" si="15"/>
        <v>-68680.806024988298</v>
      </c>
      <c r="P110" s="105">
        <f t="shared" si="15"/>
        <v>-69711.018115363113</v>
      </c>
      <c r="Q110" s="105">
        <f t="shared" si="15"/>
        <v>-70756.683387093537</v>
      </c>
      <c r="R110" s="105">
        <f t="shared" si="15"/>
        <v>-71818.033637899935</v>
      </c>
      <c r="S110" s="105">
        <f t="shared" si="15"/>
        <v>-72895.30414246842</v>
      </c>
      <c r="T110" s="105">
        <f t="shared" si="15"/>
        <v>-518.73370460543083</v>
      </c>
      <c r="U110" s="105">
        <f t="shared" si="15"/>
        <v>-1628.5647101745126</v>
      </c>
      <c r="V110" s="105">
        <f t="shared" si="15"/>
        <v>-2755.0431808271096</v>
      </c>
      <c r="W110" s="105">
        <f t="shared" si="15"/>
        <v>-3898.4188285395212</v>
      </c>
      <c r="X110" s="105">
        <f t="shared" si="15"/>
        <v>-5058.9451109676011</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-177513.33333333331</v>
      </c>
      <c r="F117" s="110">
        <f t="shared" ref="F117:AR117" si="20">F110+F112+F113</f>
        <v>-176587.15590552217</v>
      </c>
      <c r="G117" s="110">
        <f t="shared" si="20"/>
        <v>-175610.80826773762</v>
      </c>
      <c r="H117" s="110">
        <f t="shared" si="20"/>
        <v>-174582.26815263063</v>
      </c>
      <c r="I117" s="110">
        <f t="shared" si="20"/>
        <v>-173499.43851884484</v>
      </c>
      <c r="J117" s="110">
        <f t="shared" si="20"/>
        <v>-172360.14487400686</v>
      </c>
      <c r="K117" s="110">
        <f t="shared" si="20"/>
        <v>-171162.13250312168</v>
      </c>
      <c r="L117" s="110">
        <f t="shared" si="20"/>
        <v>-169903.06359905066</v>
      </c>
      <c r="M117" s="110">
        <f t="shared" si="20"/>
        <v>-168580.51429162902</v>
      </c>
      <c r="N117" s="110">
        <f t="shared" si="20"/>
        <v>-167191.97157186401</v>
      </c>
      <c r="O117" s="110">
        <f t="shared" si="20"/>
        <v>-165734.83010752479</v>
      </c>
      <c r="P117" s="110">
        <f t="shared" si="20"/>
        <v>-164206.38894631059</v>
      </c>
      <c r="Q117" s="110">
        <f t="shared" si="20"/>
        <v>-162603.84810264633</v>
      </c>
      <c r="R117" s="110">
        <f t="shared" si="20"/>
        <v>-160924.3050240193</v>
      </c>
      <c r="S117" s="110">
        <f t="shared" si="20"/>
        <v>-159164.75093262413</v>
      </c>
      <c r="T117" s="110">
        <f t="shared" si="20"/>
        <v>-518.73370460543083</v>
      </c>
      <c r="U117" s="110">
        <f t="shared" si="20"/>
        <v>-1628.5647101745126</v>
      </c>
      <c r="V117" s="110">
        <f t="shared" si="20"/>
        <v>-2755.0431808271096</v>
      </c>
      <c r="W117" s="110">
        <f t="shared" si="20"/>
        <v>-3898.4188285395212</v>
      </c>
      <c r="X117" s="110">
        <f t="shared" si="20"/>
        <v>-5058.9451109676011</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26626.999999999996</v>
      </c>
      <c r="F118" s="112">
        <f t="shared" si="21"/>
        <v>26488.073385828324</v>
      </c>
      <c r="G118" s="112">
        <f t="shared" si="21"/>
        <v>26341.621240160643</v>
      </c>
      <c r="H118" s="112">
        <f t="shared" si="21"/>
        <v>26187.340222894592</v>
      </c>
      <c r="I118" s="112">
        <f t="shared" si="21"/>
        <v>26024.915777826725</v>
      </c>
      <c r="J118" s="112">
        <f t="shared" si="21"/>
        <v>25854.021731101027</v>
      </c>
      <c r="K118" s="112">
        <f t="shared" si="21"/>
        <v>25674.319875468253</v>
      </c>
      <c r="L118" s="112">
        <f t="shared" si="21"/>
        <v>25485.459539857598</v>
      </c>
      <c r="M118" s="112">
        <f t="shared" si="21"/>
        <v>25287.077143744351</v>
      </c>
      <c r="N118" s="112">
        <f t="shared" si="21"/>
        <v>25078.7957357796</v>
      </c>
      <c r="O118" s="112">
        <f t="shared" si="21"/>
        <v>24860.224516128717</v>
      </c>
      <c r="P118" s="112">
        <f t="shared" si="21"/>
        <v>24630.958341946589</v>
      </c>
      <c r="Q118" s="112">
        <f t="shared" si="21"/>
        <v>24390.577215396948</v>
      </c>
      <c r="R118" s="112">
        <f t="shared" si="21"/>
        <v>24138.645753602894</v>
      </c>
      <c r="S118" s="112">
        <f t="shared" si="21"/>
        <v>23874.71263989362</v>
      </c>
      <c r="T118" s="112">
        <f t="shared" si="21"/>
        <v>77.810055690814622</v>
      </c>
      <c r="U118" s="112">
        <f t="shared" si="21"/>
        <v>244.28470652617688</v>
      </c>
      <c r="V118" s="112">
        <f t="shared" si="21"/>
        <v>413.25647712406641</v>
      </c>
      <c r="W118" s="112">
        <f t="shared" si="21"/>
        <v>584.76282428092816</v>
      </c>
      <c r="X118" s="112">
        <f t="shared" si="21"/>
        <v>758.84176664514018</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-119378.06936603296</v>
      </c>
      <c r="F120" s="116">
        <f t="shared" si="22"/>
        <v>-120404.69598020465</v>
      </c>
      <c r="G120" s="116">
        <f t="shared" si="22"/>
        <v>-121452.1636258723</v>
      </c>
      <c r="H120" s="116">
        <f t="shared" si="22"/>
        <v>-122520.97537563834</v>
      </c>
      <c r="I120" s="116">
        <f t="shared" si="22"/>
        <v>-123611.6485141937</v>
      </c>
      <c r="J120" s="116">
        <f t="shared" si="22"/>
        <v>-124724.71498480919</v>
      </c>
      <c r="K120" s="116">
        <f t="shared" si="22"/>
        <v>-125860.72185069013</v>
      </c>
      <c r="L120" s="116">
        <f t="shared" si="22"/>
        <v>-127020.23177170265</v>
      </c>
      <c r="M120" s="116">
        <f t="shared" si="22"/>
        <v>-128203.8234969988</v>
      </c>
      <c r="N120" s="116">
        <f t="shared" si="22"/>
        <v>-129412.0923740842</v>
      </c>
      <c r="O120" s="116">
        <f t="shared" si="22"/>
        <v>-130645.65087489254</v>
      </c>
      <c r="P120" s="116">
        <f t="shared" si="22"/>
        <v>-131905.12913944951</v>
      </c>
      <c r="Q120" s="116">
        <f t="shared" si="22"/>
        <v>-133191.17553772955</v>
      </c>
      <c r="R120" s="116">
        <f t="shared" si="22"/>
        <v>-134504.45725032999</v>
      </c>
      <c r="S120" s="116">
        <f t="shared" si="22"/>
        <v>-135845.66086860775</v>
      </c>
      <c r="T120" s="116">
        <f t="shared" si="22"/>
        <v>-440.92364891461619</v>
      </c>
      <c r="U120" s="116">
        <f t="shared" si="22"/>
        <v>-1384.2800036483357</v>
      </c>
      <c r="V120" s="116">
        <f t="shared" si="22"/>
        <v>-2341.7867037030433</v>
      </c>
      <c r="W120" s="116">
        <f t="shared" si="22"/>
        <v>-3313.6560042585929</v>
      </c>
      <c r="X120" s="116">
        <f t="shared" si="22"/>
        <v>-4300.1033443224605</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-32553.000000000004</v>
      </c>
      <c r="F121" s="121">
        <f t="shared" ref="F121:AR121" si="23">F110+F118</f>
        <v>-33579.626614171677</v>
      </c>
      <c r="G121" s="121">
        <f t="shared" si="23"/>
        <v>-34627.094259839345</v>
      </c>
      <c r="H121" s="121">
        <f t="shared" si="23"/>
        <v>-35695.906009605387</v>
      </c>
      <c r="I121" s="121">
        <f t="shared" si="23"/>
        <v>-36786.579148160738</v>
      </c>
      <c r="J121" s="121">
        <f t="shared" si="23"/>
        <v>-37899.645618776245</v>
      </c>
      <c r="K121" s="121">
        <f t="shared" si="23"/>
        <v>-39035.652484657163</v>
      </c>
      <c r="L121" s="121">
        <f t="shared" si="23"/>
        <v>-40195.162405669696</v>
      </c>
      <c r="M121" s="121">
        <f t="shared" si="23"/>
        <v>-41378.754130965841</v>
      </c>
      <c r="N121" s="121">
        <f t="shared" si="23"/>
        <v>-42587.023008051241</v>
      </c>
      <c r="O121" s="121">
        <f t="shared" si="23"/>
        <v>-43820.581508859585</v>
      </c>
      <c r="P121" s="121">
        <f t="shared" si="23"/>
        <v>-45080.05977341652</v>
      </c>
      <c r="Q121" s="121">
        <f t="shared" si="23"/>
        <v>-46366.106171696592</v>
      </c>
      <c r="R121" s="121">
        <f t="shared" si="23"/>
        <v>-47679.387884297044</v>
      </c>
      <c r="S121" s="121">
        <f t="shared" si="23"/>
        <v>-49020.591502574796</v>
      </c>
      <c r="T121" s="121">
        <f t="shared" si="23"/>
        <v>-440.92364891461619</v>
      </c>
      <c r="U121" s="121">
        <f t="shared" si="23"/>
        <v>-1384.2800036483357</v>
      </c>
      <c r="V121" s="121">
        <f t="shared" si="23"/>
        <v>-2341.7867037030433</v>
      </c>
      <c r="W121" s="121">
        <f t="shared" si="23"/>
        <v>-3313.6560042585929</v>
      </c>
      <c r="X121" s="121">
        <f t="shared" si="23"/>
        <v>-4300.1033443224605</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-119378.06936603296</v>
      </c>
      <c r="F122" s="121">
        <f t="shared" ref="F122:AR122" si="24">F120</f>
        <v>-120404.69598020465</v>
      </c>
      <c r="G122" s="121">
        <f t="shared" si="24"/>
        <v>-121452.1636258723</v>
      </c>
      <c r="H122" s="121">
        <f t="shared" si="24"/>
        <v>-122520.97537563834</v>
      </c>
      <c r="I122" s="121">
        <f t="shared" si="24"/>
        <v>-123611.6485141937</v>
      </c>
      <c r="J122" s="121">
        <f t="shared" si="24"/>
        <v>-124724.71498480919</v>
      </c>
      <c r="K122" s="121">
        <f t="shared" si="24"/>
        <v>-125860.72185069013</v>
      </c>
      <c r="L122" s="121">
        <f t="shared" si="24"/>
        <v>-127020.23177170265</v>
      </c>
      <c r="M122" s="121">
        <f t="shared" si="24"/>
        <v>-128203.8234969988</v>
      </c>
      <c r="N122" s="121">
        <f t="shared" si="24"/>
        <v>-129412.0923740842</v>
      </c>
      <c r="O122" s="121">
        <f t="shared" si="24"/>
        <v>-130645.65087489254</v>
      </c>
      <c r="P122" s="121">
        <f t="shared" si="24"/>
        <v>-131905.12913944951</v>
      </c>
      <c r="Q122" s="121">
        <f t="shared" si="24"/>
        <v>-133191.17553772955</v>
      </c>
      <c r="R122" s="121">
        <f t="shared" si="24"/>
        <v>-134504.45725032999</v>
      </c>
      <c r="S122" s="121">
        <f t="shared" si="24"/>
        <v>-135845.66086860775</v>
      </c>
      <c r="T122" s="121">
        <f t="shared" si="24"/>
        <v>-440.92364891461619</v>
      </c>
      <c r="U122" s="121">
        <f t="shared" si="24"/>
        <v>-1384.2800036483357</v>
      </c>
      <c r="V122" s="121">
        <f t="shared" si="24"/>
        <v>-2341.7867037030433</v>
      </c>
      <c r="W122" s="121">
        <f t="shared" si="24"/>
        <v>-3313.6560042585929</v>
      </c>
      <c r="X122" s="121">
        <f t="shared" si="24"/>
        <v>-4300.1033443224605</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2370000</v>
      </c>
      <c r="F123" s="123">
        <f t="shared" si="25"/>
        <v>2370000</v>
      </c>
      <c r="G123" s="123">
        <f t="shared" si="25"/>
        <v>2370000</v>
      </c>
      <c r="H123" s="123">
        <f t="shared" si="25"/>
        <v>2370000</v>
      </c>
      <c r="I123" s="123">
        <f t="shared" si="25"/>
        <v>2370000</v>
      </c>
      <c r="J123" s="123">
        <f t="shared" si="25"/>
        <v>2370000</v>
      </c>
      <c r="K123" s="123">
        <f t="shared" si="25"/>
        <v>2370000</v>
      </c>
      <c r="L123" s="123">
        <f t="shared" si="25"/>
        <v>2370000</v>
      </c>
      <c r="M123" s="123">
        <f t="shared" si="25"/>
        <v>2370000</v>
      </c>
      <c r="N123" s="123">
        <f t="shared" si="25"/>
        <v>2370000</v>
      </c>
      <c r="O123" s="123">
        <f t="shared" si="25"/>
        <v>2370000</v>
      </c>
      <c r="P123" s="123">
        <f t="shared" si="25"/>
        <v>2370000</v>
      </c>
      <c r="Q123" s="123">
        <f t="shared" si="25"/>
        <v>2370000</v>
      </c>
      <c r="R123" s="123">
        <f t="shared" si="25"/>
        <v>2370000</v>
      </c>
      <c r="S123" s="123">
        <f t="shared" si="25"/>
        <v>2370000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1157898</v>
      </c>
      <c r="F124" s="143">
        <f t="shared" ref="F124:Y124" si="26">E124-($C$5*F97+F109+F113)</f>
        <v>1064869.8225721889</v>
      </c>
      <c r="G124" s="143">
        <f t="shared" si="26"/>
        <v>970865.29750659317</v>
      </c>
      <c r="H124" s="143">
        <f t="shared" si="26"/>
        <v>875832.23232589045</v>
      </c>
      <c r="I124" s="143">
        <f t="shared" si="26"/>
        <v>779716.33751140197</v>
      </c>
      <c r="J124" s="143">
        <f t="shared" si="26"/>
        <v>682461.14905207546</v>
      </c>
      <c r="K124" s="143">
        <f t="shared" si="26"/>
        <v>584007.94822186383</v>
      </c>
      <c r="L124" s="143">
        <f t="shared" si="26"/>
        <v>484295.67848758114</v>
      </c>
      <c r="M124" s="143">
        <f t="shared" si="26"/>
        <v>383260.85944587685</v>
      </c>
      <c r="N124" s="143">
        <f t="shared" si="26"/>
        <v>280837.49768440751</v>
      </c>
      <c r="O124" s="143">
        <f t="shared" si="26"/>
        <v>176956.99445859902</v>
      </c>
      <c r="P124" s="143">
        <f t="shared" si="26"/>
        <v>71548.050071576276</v>
      </c>
      <c r="Q124" s="143">
        <f t="shared" si="26"/>
        <v>-35463.435159110712</v>
      </c>
      <c r="R124" s="143">
        <f t="shared" si="26"/>
        <v>-144154.46346842474</v>
      </c>
      <c r="S124" s="143">
        <f t="shared" si="26"/>
        <v>-254605.04586913396</v>
      </c>
      <c r="T124" s="143">
        <f t="shared" si="26"/>
        <v>-366898.31216452853</v>
      </c>
      <c r="U124" s="143">
        <f t="shared" si="26"/>
        <v>-478081.74745435402</v>
      </c>
      <c r="V124" s="143">
        <f t="shared" si="26"/>
        <v>-588138.70427352691</v>
      </c>
      <c r="W124" s="143">
        <f t="shared" si="26"/>
        <v>-697052.28544498736</v>
      </c>
      <c r="X124" s="143">
        <f t="shared" si="26"/>
        <v>-804805.34033401974</v>
      </c>
      <c r="Y124" s="143">
        <f t="shared" si="26"/>
        <v>-804805.34033401974</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1.4638859597585749</v>
      </c>
      <c r="F125" s="310">
        <f>IF(F91&gt;$C$76,"",(F110+F97*$C$5)/-F115)</f>
        <v>1.4536619541058104</v>
      </c>
      <c r="G125" s="310">
        <f t="shared" ref="G125:AR125" si="27">IF(G91&gt;$C$76,"",(G110+G97*$C$5)/-G115)</f>
        <v>1.4432845883682541</v>
      </c>
      <c r="H125" s="310">
        <f t="shared" si="27"/>
        <v>1.4327515621446352</v>
      </c>
      <c r="I125" s="310">
        <f t="shared" si="27"/>
        <v>1.4220605405276614</v>
      </c>
      <c r="J125" s="310">
        <f t="shared" si="27"/>
        <v>1.4112091535864333</v>
      </c>
      <c r="K125" s="310">
        <f t="shared" si="27"/>
        <v>1.4001949958410866</v>
      </c>
      <c r="L125" s="310">
        <f t="shared" si="27"/>
        <v>1.3890156257295598</v>
      </c>
      <c r="M125" s="310">
        <f t="shared" si="27"/>
        <v>1.3776685650663603</v>
      </c>
      <c r="N125" s="310">
        <f t="shared" si="27"/>
        <v>1.3661512984932125</v>
      </c>
      <c r="O125" s="310">
        <f t="shared" si="27"/>
        <v>1.3544612729214671</v>
      </c>
      <c r="P125" s="310">
        <f t="shared" si="27"/>
        <v>1.342595896966146</v>
      </c>
      <c r="Q125" s="310">
        <f t="shared" si="27"/>
        <v>1.3305525403714955</v>
      </c>
      <c r="R125" s="310">
        <f t="shared" si="27"/>
        <v>1.3183285334279247</v>
      </c>
      <c r="S125" s="310">
        <f t="shared" si="27"/>
        <v>1.3059211663802008</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-954541.89280839649</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15322447.165458191</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1.3874495769125881</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4.4% / 2.8%</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2370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34" priority="5" operator="containsText" text="Pas op">
      <formula>NOT(ISERROR(SEARCH("Pas op",G1)))</formula>
    </cfRule>
  </conditionalFormatting>
  <conditionalFormatting sqref="G165">
    <cfRule type="containsText" dxfId="33" priority="4" operator="containsText" text="Pas op">
      <formula>NOT(ISERROR(SEARCH("Pas op",G165)))</formula>
    </cfRule>
  </conditionalFormatting>
  <conditionalFormatting sqref="G144 G147:G149">
    <cfRule type="containsText" dxfId="32" priority="3" operator="containsText" text="Pas op">
      <formula>NOT(ISERROR(SEARCH("Pas op",G144)))</formula>
    </cfRule>
  </conditionalFormatting>
  <conditionalFormatting sqref="G84">
    <cfRule type="containsText" dxfId="31" priority="2" operator="containsText" text="Pas op">
      <formula>NOT(ISERROR(SEARCH("Pas op",G84)))</formula>
    </cfRule>
  </conditionalFormatting>
  <conditionalFormatting sqref="G83">
    <cfRule type="containsText" dxfId="30"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78B1E6C3-F3B6-4736-9B3F-45B1BFEB97F3}">
      <formula1>"ja,nee"</formula1>
    </dataValidation>
  </dataValidations>
  <pageMargins left="0.7" right="0.7" top="0.75" bottom="0.75" header="0.3" footer="0.3"/>
  <pageSetup paperSize="9" scale="13"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CA64-56ED-42FA-BA17-1870A6A2517D}">
  <sheetPr codeName="Sheet96">
    <pageSetUpPr fitToPage="1"/>
  </sheetPr>
  <dimension ref="A1:AS164"/>
  <sheetViews>
    <sheetView showGridLines="0" zoomScaleNormal="100" workbookViewId="0">
      <selection activeCell="A3" sqref="A3"/>
    </sheetView>
  </sheetViews>
  <sheetFormatPr defaultColWidth="12.85546875" defaultRowHeight="12.75" x14ac:dyDescent="0.2"/>
  <cols>
    <col min="1" max="1" width="1.42578125" style="127" customWidth="1"/>
    <col min="2" max="2" width="46.7109375" style="127" customWidth="1"/>
    <col min="3" max="3" width="13.42578125" style="66" bestFit="1" customWidth="1"/>
    <col min="4" max="4" width="29.28515625" style="66" bestFit="1" customWidth="1"/>
    <col min="5" max="5" width="12.7109375" style="127" customWidth="1"/>
    <col min="6" max="7" width="12.85546875" style="127" customWidth="1"/>
    <col min="8" max="256" width="12.85546875" style="127"/>
    <col min="257" max="257" width="1.42578125" style="127" customWidth="1"/>
    <col min="258" max="258" width="40.5703125" style="127" bestFit="1" customWidth="1"/>
    <col min="259" max="259" width="13.42578125" style="127" bestFit="1" customWidth="1"/>
    <col min="260" max="260" width="29.28515625" style="127" bestFit="1" customWidth="1"/>
    <col min="261" max="261" width="13.5703125" style="127" bestFit="1" customWidth="1"/>
    <col min="262" max="512" width="12.85546875" style="127"/>
    <col min="513" max="513" width="1.42578125" style="127" customWidth="1"/>
    <col min="514" max="514" width="40.5703125" style="127" bestFit="1" customWidth="1"/>
    <col min="515" max="515" width="13.42578125" style="127" bestFit="1" customWidth="1"/>
    <col min="516" max="516" width="29.28515625" style="127" bestFit="1" customWidth="1"/>
    <col min="517" max="517" width="13.5703125" style="127" bestFit="1" customWidth="1"/>
    <col min="518" max="768" width="12.85546875" style="127"/>
    <col min="769" max="769" width="1.42578125" style="127" customWidth="1"/>
    <col min="770" max="770" width="40.5703125" style="127" bestFit="1" customWidth="1"/>
    <col min="771" max="771" width="13.42578125" style="127" bestFit="1" customWidth="1"/>
    <col min="772" max="772" width="29.28515625" style="127" bestFit="1" customWidth="1"/>
    <col min="773" max="773" width="13.5703125" style="127" bestFit="1" customWidth="1"/>
    <col min="774" max="1024" width="12.85546875" style="127"/>
    <col min="1025" max="1025" width="1.42578125" style="127" customWidth="1"/>
    <col min="1026" max="1026" width="40.5703125" style="127" bestFit="1" customWidth="1"/>
    <col min="1027" max="1027" width="13.42578125" style="127" bestFit="1" customWidth="1"/>
    <col min="1028" max="1028" width="29.28515625" style="127" bestFit="1" customWidth="1"/>
    <col min="1029" max="1029" width="13.5703125" style="127" bestFit="1" customWidth="1"/>
    <col min="1030" max="1280" width="12.85546875" style="127"/>
    <col min="1281" max="1281" width="1.42578125" style="127" customWidth="1"/>
    <col min="1282" max="1282" width="40.5703125" style="127" bestFit="1" customWidth="1"/>
    <col min="1283" max="1283" width="13.42578125" style="127" bestFit="1" customWidth="1"/>
    <col min="1284" max="1284" width="29.28515625" style="127" bestFit="1" customWidth="1"/>
    <col min="1285" max="1285" width="13.5703125" style="127" bestFit="1" customWidth="1"/>
    <col min="1286" max="1536" width="12.85546875" style="127"/>
    <col min="1537" max="1537" width="1.42578125" style="127" customWidth="1"/>
    <col min="1538" max="1538" width="40.5703125" style="127" bestFit="1" customWidth="1"/>
    <col min="1539" max="1539" width="13.42578125" style="127" bestFit="1" customWidth="1"/>
    <col min="1540" max="1540" width="29.28515625" style="127" bestFit="1" customWidth="1"/>
    <col min="1541" max="1541" width="13.5703125" style="127" bestFit="1" customWidth="1"/>
    <col min="1542" max="1792" width="12.85546875" style="127"/>
    <col min="1793" max="1793" width="1.42578125" style="127" customWidth="1"/>
    <col min="1794" max="1794" width="40.5703125" style="127" bestFit="1" customWidth="1"/>
    <col min="1795" max="1795" width="13.42578125" style="127" bestFit="1" customWidth="1"/>
    <col min="1796" max="1796" width="29.28515625" style="127" bestFit="1" customWidth="1"/>
    <col min="1797" max="1797" width="13.5703125" style="127" bestFit="1" customWidth="1"/>
    <col min="1798" max="2048" width="12.85546875" style="127"/>
    <col min="2049" max="2049" width="1.42578125" style="127" customWidth="1"/>
    <col min="2050" max="2050" width="40.5703125" style="127" bestFit="1" customWidth="1"/>
    <col min="2051" max="2051" width="13.42578125" style="127" bestFit="1" customWidth="1"/>
    <col min="2052" max="2052" width="29.28515625" style="127" bestFit="1" customWidth="1"/>
    <col min="2053" max="2053" width="13.5703125" style="127" bestFit="1" customWidth="1"/>
    <col min="2054" max="2304" width="12.85546875" style="127"/>
    <col min="2305" max="2305" width="1.42578125" style="127" customWidth="1"/>
    <col min="2306" max="2306" width="40.5703125" style="127" bestFit="1" customWidth="1"/>
    <col min="2307" max="2307" width="13.42578125" style="127" bestFit="1" customWidth="1"/>
    <col min="2308" max="2308" width="29.28515625" style="127" bestFit="1" customWidth="1"/>
    <col min="2309" max="2309" width="13.5703125" style="127" bestFit="1" customWidth="1"/>
    <col min="2310" max="2560" width="12.85546875" style="127"/>
    <col min="2561" max="2561" width="1.42578125" style="127" customWidth="1"/>
    <col min="2562" max="2562" width="40.5703125" style="127" bestFit="1" customWidth="1"/>
    <col min="2563" max="2563" width="13.42578125" style="127" bestFit="1" customWidth="1"/>
    <col min="2564" max="2564" width="29.28515625" style="127" bestFit="1" customWidth="1"/>
    <col min="2565" max="2565" width="13.5703125" style="127" bestFit="1" customWidth="1"/>
    <col min="2566" max="2816" width="12.85546875" style="127"/>
    <col min="2817" max="2817" width="1.42578125" style="127" customWidth="1"/>
    <col min="2818" max="2818" width="40.5703125" style="127" bestFit="1" customWidth="1"/>
    <col min="2819" max="2819" width="13.42578125" style="127" bestFit="1" customWidth="1"/>
    <col min="2820" max="2820" width="29.28515625" style="127" bestFit="1" customWidth="1"/>
    <col min="2821" max="2821" width="13.5703125" style="127" bestFit="1" customWidth="1"/>
    <col min="2822" max="3072" width="12.85546875" style="127"/>
    <col min="3073" max="3073" width="1.42578125" style="127" customWidth="1"/>
    <col min="3074" max="3074" width="40.5703125" style="127" bestFit="1" customWidth="1"/>
    <col min="3075" max="3075" width="13.42578125" style="127" bestFit="1" customWidth="1"/>
    <col min="3076" max="3076" width="29.28515625" style="127" bestFit="1" customWidth="1"/>
    <col min="3077" max="3077" width="13.5703125" style="127" bestFit="1" customWidth="1"/>
    <col min="3078" max="3328" width="12.85546875" style="127"/>
    <col min="3329" max="3329" width="1.42578125" style="127" customWidth="1"/>
    <col min="3330" max="3330" width="40.5703125" style="127" bestFit="1" customWidth="1"/>
    <col min="3331" max="3331" width="13.42578125" style="127" bestFit="1" customWidth="1"/>
    <col min="3332" max="3332" width="29.28515625" style="127" bestFit="1" customWidth="1"/>
    <col min="3333" max="3333" width="13.5703125" style="127" bestFit="1" customWidth="1"/>
    <col min="3334" max="3584" width="12.85546875" style="127"/>
    <col min="3585" max="3585" width="1.42578125" style="127" customWidth="1"/>
    <col min="3586" max="3586" width="40.5703125" style="127" bestFit="1" customWidth="1"/>
    <col min="3587" max="3587" width="13.42578125" style="127" bestFit="1" customWidth="1"/>
    <col min="3588" max="3588" width="29.28515625" style="127" bestFit="1" customWidth="1"/>
    <col min="3589" max="3589" width="13.5703125" style="127" bestFit="1" customWidth="1"/>
    <col min="3590" max="3840" width="12.85546875" style="127"/>
    <col min="3841" max="3841" width="1.42578125" style="127" customWidth="1"/>
    <col min="3842" max="3842" width="40.5703125" style="127" bestFit="1" customWidth="1"/>
    <col min="3843" max="3843" width="13.42578125" style="127" bestFit="1" customWidth="1"/>
    <col min="3844" max="3844" width="29.28515625" style="127" bestFit="1" customWidth="1"/>
    <col min="3845" max="3845" width="13.5703125" style="127" bestFit="1" customWidth="1"/>
    <col min="3846" max="4096" width="12.85546875" style="127"/>
    <col min="4097" max="4097" width="1.42578125" style="127" customWidth="1"/>
    <col min="4098" max="4098" width="40.5703125" style="127" bestFit="1" customWidth="1"/>
    <col min="4099" max="4099" width="13.42578125" style="127" bestFit="1" customWidth="1"/>
    <col min="4100" max="4100" width="29.28515625" style="127" bestFit="1" customWidth="1"/>
    <col min="4101" max="4101" width="13.5703125" style="127" bestFit="1" customWidth="1"/>
    <col min="4102" max="4352" width="12.85546875" style="127"/>
    <col min="4353" max="4353" width="1.42578125" style="127" customWidth="1"/>
    <col min="4354" max="4354" width="40.5703125" style="127" bestFit="1" customWidth="1"/>
    <col min="4355" max="4355" width="13.42578125" style="127" bestFit="1" customWidth="1"/>
    <col min="4356" max="4356" width="29.28515625" style="127" bestFit="1" customWidth="1"/>
    <col min="4357" max="4357" width="13.5703125" style="127" bestFit="1" customWidth="1"/>
    <col min="4358" max="4608" width="12.85546875" style="127"/>
    <col min="4609" max="4609" width="1.42578125" style="127" customWidth="1"/>
    <col min="4610" max="4610" width="40.5703125" style="127" bestFit="1" customWidth="1"/>
    <col min="4611" max="4611" width="13.42578125" style="127" bestFit="1" customWidth="1"/>
    <col min="4612" max="4612" width="29.28515625" style="127" bestFit="1" customWidth="1"/>
    <col min="4613" max="4613" width="13.5703125" style="127" bestFit="1" customWidth="1"/>
    <col min="4614" max="4864" width="12.85546875" style="127"/>
    <col min="4865" max="4865" width="1.42578125" style="127" customWidth="1"/>
    <col min="4866" max="4866" width="40.5703125" style="127" bestFit="1" customWidth="1"/>
    <col min="4867" max="4867" width="13.42578125" style="127" bestFit="1" customWidth="1"/>
    <col min="4868" max="4868" width="29.28515625" style="127" bestFit="1" customWidth="1"/>
    <col min="4869" max="4869" width="13.5703125" style="127" bestFit="1" customWidth="1"/>
    <col min="4870" max="5120" width="12.85546875" style="127"/>
    <col min="5121" max="5121" width="1.42578125" style="127" customWidth="1"/>
    <col min="5122" max="5122" width="40.5703125" style="127" bestFit="1" customWidth="1"/>
    <col min="5123" max="5123" width="13.42578125" style="127" bestFit="1" customWidth="1"/>
    <col min="5124" max="5124" width="29.28515625" style="127" bestFit="1" customWidth="1"/>
    <col min="5125" max="5125" width="13.5703125" style="127" bestFit="1" customWidth="1"/>
    <col min="5126" max="5376" width="12.85546875" style="127"/>
    <col min="5377" max="5377" width="1.42578125" style="127" customWidth="1"/>
    <col min="5378" max="5378" width="40.5703125" style="127" bestFit="1" customWidth="1"/>
    <col min="5379" max="5379" width="13.42578125" style="127" bestFit="1" customWidth="1"/>
    <col min="5380" max="5380" width="29.28515625" style="127" bestFit="1" customWidth="1"/>
    <col min="5381" max="5381" width="13.5703125" style="127" bestFit="1" customWidth="1"/>
    <col min="5382" max="5632" width="12.85546875" style="127"/>
    <col min="5633" max="5633" width="1.42578125" style="127" customWidth="1"/>
    <col min="5634" max="5634" width="40.5703125" style="127" bestFit="1" customWidth="1"/>
    <col min="5635" max="5635" width="13.42578125" style="127" bestFit="1" customWidth="1"/>
    <col min="5636" max="5636" width="29.28515625" style="127" bestFit="1" customWidth="1"/>
    <col min="5637" max="5637" width="13.5703125" style="127" bestFit="1" customWidth="1"/>
    <col min="5638" max="5888" width="12.85546875" style="127"/>
    <col min="5889" max="5889" width="1.42578125" style="127" customWidth="1"/>
    <col min="5890" max="5890" width="40.5703125" style="127" bestFit="1" customWidth="1"/>
    <col min="5891" max="5891" width="13.42578125" style="127" bestFit="1" customWidth="1"/>
    <col min="5892" max="5892" width="29.28515625" style="127" bestFit="1" customWidth="1"/>
    <col min="5893" max="5893" width="13.5703125" style="127" bestFit="1" customWidth="1"/>
    <col min="5894" max="6144" width="12.85546875" style="127"/>
    <col min="6145" max="6145" width="1.42578125" style="127" customWidth="1"/>
    <col min="6146" max="6146" width="40.5703125" style="127" bestFit="1" customWidth="1"/>
    <col min="6147" max="6147" width="13.42578125" style="127" bestFit="1" customWidth="1"/>
    <col min="6148" max="6148" width="29.28515625" style="127" bestFit="1" customWidth="1"/>
    <col min="6149" max="6149" width="13.5703125" style="127" bestFit="1" customWidth="1"/>
    <col min="6150" max="6400" width="12.85546875" style="127"/>
    <col min="6401" max="6401" width="1.42578125" style="127" customWidth="1"/>
    <col min="6402" max="6402" width="40.5703125" style="127" bestFit="1" customWidth="1"/>
    <col min="6403" max="6403" width="13.42578125" style="127" bestFit="1" customWidth="1"/>
    <col min="6404" max="6404" width="29.28515625" style="127" bestFit="1" customWidth="1"/>
    <col min="6405" max="6405" width="13.5703125" style="127" bestFit="1" customWidth="1"/>
    <col min="6406" max="6656" width="12.85546875" style="127"/>
    <col min="6657" max="6657" width="1.42578125" style="127" customWidth="1"/>
    <col min="6658" max="6658" width="40.5703125" style="127" bestFit="1" customWidth="1"/>
    <col min="6659" max="6659" width="13.42578125" style="127" bestFit="1" customWidth="1"/>
    <col min="6660" max="6660" width="29.28515625" style="127" bestFit="1" customWidth="1"/>
    <col min="6661" max="6661" width="13.5703125" style="127" bestFit="1" customWidth="1"/>
    <col min="6662" max="6912" width="12.85546875" style="127"/>
    <col min="6913" max="6913" width="1.42578125" style="127" customWidth="1"/>
    <col min="6914" max="6914" width="40.5703125" style="127" bestFit="1" customWidth="1"/>
    <col min="6915" max="6915" width="13.42578125" style="127" bestFit="1" customWidth="1"/>
    <col min="6916" max="6916" width="29.28515625" style="127" bestFit="1" customWidth="1"/>
    <col min="6917" max="6917" width="13.5703125" style="127" bestFit="1" customWidth="1"/>
    <col min="6918" max="7168" width="12.85546875" style="127"/>
    <col min="7169" max="7169" width="1.42578125" style="127" customWidth="1"/>
    <col min="7170" max="7170" width="40.5703125" style="127" bestFit="1" customWidth="1"/>
    <col min="7171" max="7171" width="13.42578125" style="127" bestFit="1" customWidth="1"/>
    <col min="7172" max="7172" width="29.28515625" style="127" bestFit="1" customWidth="1"/>
    <col min="7173" max="7173" width="13.5703125" style="127" bestFit="1" customWidth="1"/>
    <col min="7174" max="7424" width="12.85546875" style="127"/>
    <col min="7425" max="7425" width="1.42578125" style="127" customWidth="1"/>
    <col min="7426" max="7426" width="40.5703125" style="127" bestFit="1" customWidth="1"/>
    <col min="7427" max="7427" width="13.42578125" style="127" bestFit="1" customWidth="1"/>
    <col min="7428" max="7428" width="29.28515625" style="127" bestFit="1" customWidth="1"/>
    <col min="7429" max="7429" width="13.5703125" style="127" bestFit="1" customWidth="1"/>
    <col min="7430" max="7680" width="12.85546875" style="127"/>
    <col min="7681" max="7681" width="1.42578125" style="127" customWidth="1"/>
    <col min="7682" max="7682" width="40.5703125" style="127" bestFit="1" customWidth="1"/>
    <col min="7683" max="7683" width="13.42578125" style="127" bestFit="1" customWidth="1"/>
    <col min="7684" max="7684" width="29.28515625" style="127" bestFit="1" customWidth="1"/>
    <col min="7685" max="7685" width="13.5703125" style="127" bestFit="1" customWidth="1"/>
    <col min="7686" max="7936" width="12.85546875" style="127"/>
    <col min="7937" max="7937" width="1.42578125" style="127" customWidth="1"/>
    <col min="7938" max="7938" width="40.5703125" style="127" bestFit="1" customWidth="1"/>
    <col min="7939" max="7939" width="13.42578125" style="127" bestFit="1" customWidth="1"/>
    <col min="7940" max="7940" width="29.28515625" style="127" bestFit="1" customWidth="1"/>
    <col min="7941" max="7941" width="13.5703125" style="127" bestFit="1" customWidth="1"/>
    <col min="7942" max="8192" width="12.85546875" style="127"/>
    <col min="8193" max="8193" width="1.42578125" style="127" customWidth="1"/>
    <col min="8194" max="8194" width="40.5703125" style="127" bestFit="1" customWidth="1"/>
    <col min="8195" max="8195" width="13.42578125" style="127" bestFit="1" customWidth="1"/>
    <col min="8196" max="8196" width="29.28515625" style="127" bestFit="1" customWidth="1"/>
    <col min="8197" max="8197" width="13.5703125" style="127" bestFit="1" customWidth="1"/>
    <col min="8198" max="8448" width="12.85546875" style="127"/>
    <col min="8449" max="8449" width="1.42578125" style="127" customWidth="1"/>
    <col min="8450" max="8450" width="40.5703125" style="127" bestFit="1" customWidth="1"/>
    <col min="8451" max="8451" width="13.42578125" style="127" bestFit="1" customWidth="1"/>
    <col min="8452" max="8452" width="29.28515625" style="127" bestFit="1" customWidth="1"/>
    <col min="8453" max="8453" width="13.5703125" style="127" bestFit="1" customWidth="1"/>
    <col min="8454" max="8704" width="12.85546875" style="127"/>
    <col min="8705" max="8705" width="1.42578125" style="127" customWidth="1"/>
    <col min="8706" max="8706" width="40.5703125" style="127" bestFit="1" customWidth="1"/>
    <col min="8707" max="8707" width="13.42578125" style="127" bestFit="1" customWidth="1"/>
    <col min="8708" max="8708" width="29.28515625" style="127" bestFit="1" customWidth="1"/>
    <col min="8709" max="8709" width="13.5703125" style="127" bestFit="1" customWidth="1"/>
    <col min="8710" max="8960" width="12.85546875" style="127"/>
    <col min="8961" max="8961" width="1.42578125" style="127" customWidth="1"/>
    <col min="8962" max="8962" width="40.5703125" style="127" bestFit="1" customWidth="1"/>
    <col min="8963" max="8963" width="13.42578125" style="127" bestFit="1" customWidth="1"/>
    <col min="8964" max="8964" width="29.28515625" style="127" bestFit="1" customWidth="1"/>
    <col min="8965" max="8965" width="13.5703125" style="127" bestFit="1" customWidth="1"/>
    <col min="8966" max="9216" width="12.85546875" style="127"/>
    <col min="9217" max="9217" width="1.42578125" style="127" customWidth="1"/>
    <col min="9218" max="9218" width="40.5703125" style="127" bestFit="1" customWidth="1"/>
    <col min="9219" max="9219" width="13.42578125" style="127" bestFit="1" customWidth="1"/>
    <col min="9220" max="9220" width="29.28515625" style="127" bestFit="1" customWidth="1"/>
    <col min="9221" max="9221" width="13.5703125" style="127" bestFit="1" customWidth="1"/>
    <col min="9222" max="9472" width="12.85546875" style="127"/>
    <col min="9473" max="9473" width="1.42578125" style="127" customWidth="1"/>
    <col min="9474" max="9474" width="40.5703125" style="127" bestFit="1" customWidth="1"/>
    <col min="9475" max="9475" width="13.42578125" style="127" bestFit="1" customWidth="1"/>
    <col min="9476" max="9476" width="29.28515625" style="127" bestFit="1" customWidth="1"/>
    <col min="9477" max="9477" width="13.5703125" style="127" bestFit="1" customWidth="1"/>
    <col min="9478" max="9728" width="12.85546875" style="127"/>
    <col min="9729" max="9729" width="1.42578125" style="127" customWidth="1"/>
    <col min="9730" max="9730" width="40.5703125" style="127" bestFit="1" customWidth="1"/>
    <col min="9731" max="9731" width="13.42578125" style="127" bestFit="1" customWidth="1"/>
    <col min="9732" max="9732" width="29.28515625" style="127" bestFit="1" customWidth="1"/>
    <col min="9733" max="9733" width="13.5703125" style="127" bestFit="1" customWidth="1"/>
    <col min="9734" max="9984" width="12.85546875" style="127"/>
    <col min="9985" max="9985" width="1.42578125" style="127" customWidth="1"/>
    <col min="9986" max="9986" width="40.5703125" style="127" bestFit="1" customWidth="1"/>
    <col min="9987" max="9987" width="13.42578125" style="127" bestFit="1" customWidth="1"/>
    <col min="9988" max="9988" width="29.28515625" style="127" bestFit="1" customWidth="1"/>
    <col min="9989" max="9989" width="13.5703125" style="127" bestFit="1" customWidth="1"/>
    <col min="9990" max="10240" width="12.85546875" style="127"/>
    <col min="10241" max="10241" width="1.42578125" style="127" customWidth="1"/>
    <col min="10242" max="10242" width="40.5703125" style="127" bestFit="1" customWidth="1"/>
    <col min="10243" max="10243" width="13.42578125" style="127" bestFit="1" customWidth="1"/>
    <col min="10244" max="10244" width="29.28515625" style="127" bestFit="1" customWidth="1"/>
    <col min="10245" max="10245" width="13.5703125" style="127" bestFit="1" customWidth="1"/>
    <col min="10246" max="10496" width="12.85546875" style="127"/>
    <col min="10497" max="10497" width="1.42578125" style="127" customWidth="1"/>
    <col min="10498" max="10498" width="40.5703125" style="127" bestFit="1" customWidth="1"/>
    <col min="10499" max="10499" width="13.42578125" style="127" bestFit="1" customWidth="1"/>
    <col min="10500" max="10500" width="29.28515625" style="127" bestFit="1" customWidth="1"/>
    <col min="10501" max="10501" width="13.5703125" style="127" bestFit="1" customWidth="1"/>
    <col min="10502" max="10752" width="12.85546875" style="127"/>
    <col min="10753" max="10753" width="1.42578125" style="127" customWidth="1"/>
    <col min="10754" max="10754" width="40.5703125" style="127" bestFit="1" customWidth="1"/>
    <col min="10755" max="10755" width="13.42578125" style="127" bestFit="1" customWidth="1"/>
    <col min="10756" max="10756" width="29.28515625" style="127" bestFit="1" customWidth="1"/>
    <col min="10757" max="10757" width="13.5703125" style="127" bestFit="1" customWidth="1"/>
    <col min="10758" max="11008" width="12.85546875" style="127"/>
    <col min="11009" max="11009" width="1.42578125" style="127" customWidth="1"/>
    <col min="11010" max="11010" width="40.5703125" style="127" bestFit="1" customWidth="1"/>
    <col min="11011" max="11011" width="13.42578125" style="127" bestFit="1" customWidth="1"/>
    <col min="11012" max="11012" width="29.28515625" style="127" bestFit="1" customWidth="1"/>
    <col min="11013" max="11013" width="13.5703125" style="127" bestFit="1" customWidth="1"/>
    <col min="11014" max="11264" width="12.85546875" style="127"/>
    <col min="11265" max="11265" width="1.42578125" style="127" customWidth="1"/>
    <col min="11266" max="11266" width="40.5703125" style="127" bestFit="1" customWidth="1"/>
    <col min="11267" max="11267" width="13.42578125" style="127" bestFit="1" customWidth="1"/>
    <col min="11268" max="11268" width="29.28515625" style="127" bestFit="1" customWidth="1"/>
    <col min="11269" max="11269" width="13.5703125" style="127" bestFit="1" customWidth="1"/>
    <col min="11270" max="11520" width="12.85546875" style="127"/>
    <col min="11521" max="11521" width="1.42578125" style="127" customWidth="1"/>
    <col min="11522" max="11522" width="40.5703125" style="127" bestFit="1" customWidth="1"/>
    <col min="11523" max="11523" width="13.42578125" style="127" bestFit="1" customWidth="1"/>
    <col min="11524" max="11524" width="29.28515625" style="127" bestFit="1" customWidth="1"/>
    <col min="11525" max="11525" width="13.5703125" style="127" bestFit="1" customWidth="1"/>
    <col min="11526" max="11776" width="12.85546875" style="127"/>
    <col min="11777" max="11777" width="1.42578125" style="127" customWidth="1"/>
    <col min="11778" max="11778" width="40.5703125" style="127" bestFit="1" customWidth="1"/>
    <col min="11779" max="11779" width="13.42578125" style="127" bestFit="1" customWidth="1"/>
    <col min="11780" max="11780" width="29.28515625" style="127" bestFit="1" customWidth="1"/>
    <col min="11781" max="11781" width="13.5703125" style="127" bestFit="1" customWidth="1"/>
    <col min="11782" max="12032" width="12.85546875" style="127"/>
    <col min="12033" max="12033" width="1.42578125" style="127" customWidth="1"/>
    <col min="12034" max="12034" width="40.5703125" style="127" bestFit="1" customWidth="1"/>
    <col min="12035" max="12035" width="13.42578125" style="127" bestFit="1" customWidth="1"/>
    <col min="12036" max="12036" width="29.28515625" style="127" bestFit="1" customWidth="1"/>
    <col min="12037" max="12037" width="13.5703125" style="127" bestFit="1" customWidth="1"/>
    <col min="12038" max="12288" width="12.85546875" style="127"/>
    <col min="12289" max="12289" width="1.42578125" style="127" customWidth="1"/>
    <col min="12290" max="12290" width="40.5703125" style="127" bestFit="1" customWidth="1"/>
    <col min="12291" max="12291" width="13.42578125" style="127" bestFit="1" customWidth="1"/>
    <col min="12292" max="12292" width="29.28515625" style="127" bestFit="1" customWidth="1"/>
    <col min="12293" max="12293" width="13.5703125" style="127" bestFit="1" customWidth="1"/>
    <col min="12294" max="12544" width="12.85546875" style="127"/>
    <col min="12545" max="12545" width="1.42578125" style="127" customWidth="1"/>
    <col min="12546" max="12546" width="40.5703125" style="127" bestFit="1" customWidth="1"/>
    <col min="12547" max="12547" width="13.42578125" style="127" bestFit="1" customWidth="1"/>
    <col min="12548" max="12548" width="29.28515625" style="127" bestFit="1" customWidth="1"/>
    <col min="12549" max="12549" width="13.5703125" style="127" bestFit="1" customWidth="1"/>
    <col min="12550" max="12800" width="12.85546875" style="127"/>
    <col min="12801" max="12801" width="1.42578125" style="127" customWidth="1"/>
    <col min="12802" max="12802" width="40.5703125" style="127" bestFit="1" customWidth="1"/>
    <col min="12803" max="12803" width="13.42578125" style="127" bestFit="1" customWidth="1"/>
    <col min="12804" max="12804" width="29.28515625" style="127" bestFit="1" customWidth="1"/>
    <col min="12805" max="12805" width="13.5703125" style="127" bestFit="1" customWidth="1"/>
    <col min="12806" max="13056" width="12.85546875" style="127"/>
    <col min="13057" max="13057" width="1.42578125" style="127" customWidth="1"/>
    <col min="13058" max="13058" width="40.5703125" style="127" bestFit="1" customWidth="1"/>
    <col min="13059" max="13059" width="13.42578125" style="127" bestFit="1" customWidth="1"/>
    <col min="13060" max="13060" width="29.28515625" style="127" bestFit="1" customWidth="1"/>
    <col min="13061" max="13061" width="13.5703125" style="127" bestFit="1" customWidth="1"/>
    <col min="13062" max="13312" width="12.85546875" style="127"/>
    <col min="13313" max="13313" width="1.42578125" style="127" customWidth="1"/>
    <col min="13314" max="13314" width="40.5703125" style="127" bestFit="1" customWidth="1"/>
    <col min="13315" max="13315" width="13.42578125" style="127" bestFit="1" customWidth="1"/>
    <col min="13316" max="13316" width="29.28515625" style="127" bestFit="1" customWidth="1"/>
    <col min="13317" max="13317" width="13.5703125" style="127" bestFit="1" customWidth="1"/>
    <col min="13318" max="13568" width="12.85546875" style="127"/>
    <col min="13569" max="13569" width="1.42578125" style="127" customWidth="1"/>
    <col min="13570" max="13570" width="40.5703125" style="127" bestFit="1" customWidth="1"/>
    <col min="13571" max="13571" width="13.42578125" style="127" bestFit="1" customWidth="1"/>
    <col min="13572" max="13572" width="29.28515625" style="127" bestFit="1" customWidth="1"/>
    <col min="13573" max="13573" width="13.5703125" style="127" bestFit="1" customWidth="1"/>
    <col min="13574" max="13824" width="12.85546875" style="127"/>
    <col min="13825" max="13825" width="1.42578125" style="127" customWidth="1"/>
    <col min="13826" max="13826" width="40.5703125" style="127" bestFit="1" customWidth="1"/>
    <col min="13827" max="13827" width="13.42578125" style="127" bestFit="1" customWidth="1"/>
    <col min="13828" max="13828" width="29.28515625" style="127" bestFit="1" customWidth="1"/>
    <col min="13829" max="13829" width="13.5703125" style="127" bestFit="1" customWidth="1"/>
    <col min="13830" max="14080" width="12.85546875" style="127"/>
    <col min="14081" max="14081" width="1.42578125" style="127" customWidth="1"/>
    <col min="14082" max="14082" width="40.5703125" style="127" bestFit="1" customWidth="1"/>
    <col min="14083" max="14083" width="13.42578125" style="127" bestFit="1" customWidth="1"/>
    <col min="14084" max="14084" width="29.28515625" style="127" bestFit="1" customWidth="1"/>
    <col min="14085" max="14085" width="13.5703125" style="127" bestFit="1" customWidth="1"/>
    <col min="14086" max="14336" width="12.85546875" style="127"/>
    <col min="14337" max="14337" width="1.42578125" style="127" customWidth="1"/>
    <col min="14338" max="14338" width="40.5703125" style="127" bestFit="1" customWidth="1"/>
    <col min="14339" max="14339" width="13.42578125" style="127" bestFit="1" customWidth="1"/>
    <col min="14340" max="14340" width="29.28515625" style="127" bestFit="1" customWidth="1"/>
    <col min="14341" max="14341" width="13.5703125" style="127" bestFit="1" customWidth="1"/>
    <col min="14342" max="14592" width="12.85546875" style="127"/>
    <col min="14593" max="14593" width="1.42578125" style="127" customWidth="1"/>
    <col min="14594" max="14594" width="40.5703125" style="127" bestFit="1" customWidth="1"/>
    <col min="14595" max="14595" width="13.42578125" style="127" bestFit="1" customWidth="1"/>
    <col min="14596" max="14596" width="29.28515625" style="127" bestFit="1" customWidth="1"/>
    <col min="14597" max="14597" width="13.5703125" style="127" bestFit="1" customWidth="1"/>
    <col min="14598" max="14848" width="12.85546875" style="127"/>
    <col min="14849" max="14849" width="1.42578125" style="127" customWidth="1"/>
    <col min="14850" max="14850" width="40.5703125" style="127" bestFit="1" customWidth="1"/>
    <col min="14851" max="14851" width="13.42578125" style="127" bestFit="1" customWidth="1"/>
    <col min="14852" max="14852" width="29.28515625" style="127" bestFit="1" customWidth="1"/>
    <col min="14853" max="14853" width="13.5703125" style="127" bestFit="1" customWidth="1"/>
    <col min="14854" max="15104" width="12.85546875" style="127"/>
    <col min="15105" max="15105" width="1.42578125" style="127" customWidth="1"/>
    <col min="15106" max="15106" width="40.5703125" style="127" bestFit="1" customWidth="1"/>
    <col min="15107" max="15107" width="13.42578125" style="127" bestFit="1" customWidth="1"/>
    <col min="15108" max="15108" width="29.28515625" style="127" bestFit="1" customWidth="1"/>
    <col min="15109" max="15109" width="13.5703125" style="127" bestFit="1" customWidth="1"/>
    <col min="15110" max="15360" width="12.85546875" style="127"/>
    <col min="15361" max="15361" width="1.42578125" style="127" customWidth="1"/>
    <col min="15362" max="15362" width="40.5703125" style="127" bestFit="1" customWidth="1"/>
    <col min="15363" max="15363" width="13.42578125" style="127" bestFit="1" customWidth="1"/>
    <col min="15364" max="15364" width="29.28515625" style="127" bestFit="1" customWidth="1"/>
    <col min="15365" max="15365" width="13.5703125" style="127" bestFit="1" customWidth="1"/>
    <col min="15366" max="15616" width="12.85546875" style="127"/>
    <col min="15617" max="15617" width="1.42578125" style="127" customWidth="1"/>
    <col min="15618" max="15618" width="40.5703125" style="127" bestFit="1" customWidth="1"/>
    <col min="15619" max="15619" width="13.42578125" style="127" bestFit="1" customWidth="1"/>
    <col min="15620" max="15620" width="29.28515625" style="127" bestFit="1" customWidth="1"/>
    <col min="15621" max="15621" width="13.5703125" style="127" bestFit="1" customWidth="1"/>
    <col min="15622" max="15872" width="12.85546875" style="127"/>
    <col min="15873" max="15873" width="1.42578125" style="127" customWidth="1"/>
    <col min="15874" max="15874" width="40.5703125" style="127" bestFit="1" customWidth="1"/>
    <col min="15875" max="15875" width="13.42578125" style="127" bestFit="1" customWidth="1"/>
    <col min="15876" max="15876" width="29.28515625" style="127" bestFit="1" customWidth="1"/>
    <col min="15877" max="15877" width="13.5703125" style="127" bestFit="1" customWidth="1"/>
    <col min="15878" max="16128" width="12.85546875" style="127"/>
    <col min="16129" max="16129" width="1.42578125" style="127" customWidth="1"/>
    <col min="16130" max="16130" width="40.5703125" style="127" bestFit="1" customWidth="1"/>
    <col min="16131" max="16131" width="13.42578125" style="127" bestFit="1" customWidth="1"/>
    <col min="16132" max="16132" width="29.28515625" style="127" bestFit="1" customWidth="1"/>
    <col min="16133" max="16133" width="13.5703125" style="127" bestFit="1" customWidth="1"/>
    <col min="16134" max="16384" width="12.85546875" style="127"/>
  </cols>
  <sheetData>
    <row r="1" spans="1:26" s="22" customFormat="1" ht="18" x14ac:dyDescent="0.25">
      <c r="A1" s="18" t="s">
        <v>388</v>
      </c>
      <c r="B1" s="19"/>
      <c r="C1" s="20"/>
      <c r="D1" s="20"/>
      <c r="E1" s="19"/>
      <c r="F1" s="19"/>
      <c r="G1" s="19"/>
      <c r="H1" s="19"/>
      <c r="I1" s="19"/>
      <c r="J1" s="19"/>
      <c r="K1" s="19"/>
      <c r="L1" s="19"/>
      <c r="M1" s="19"/>
      <c r="N1" s="19"/>
      <c r="O1" s="19"/>
      <c r="P1" s="19"/>
      <c r="Q1" s="19"/>
      <c r="R1" s="19"/>
      <c r="S1" s="19"/>
      <c r="T1" s="19"/>
      <c r="U1" s="19"/>
      <c r="V1" s="19"/>
      <c r="W1" s="19"/>
      <c r="X1" s="19"/>
      <c r="Y1" s="19"/>
      <c r="Z1" s="21"/>
    </row>
    <row r="2" spans="1:26" s="23" customFormat="1" ht="23.25" x14ac:dyDescent="0.35">
      <c r="A2" s="23" t="s">
        <v>383</v>
      </c>
      <c r="B2" s="24"/>
      <c r="C2" s="25"/>
      <c r="D2" s="25"/>
      <c r="E2" s="24"/>
      <c r="F2" s="24"/>
      <c r="G2" s="24"/>
      <c r="H2" s="24"/>
      <c r="I2" s="24"/>
      <c r="J2" s="24"/>
      <c r="K2" s="24"/>
      <c r="L2" s="24"/>
      <c r="M2" s="24"/>
      <c r="N2" s="24"/>
      <c r="O2" s="24"/>
      <c r="P2" s="24"/>
      <c r="Q2" s="24"/>
      <c r="R2" s="24"/>
      <c r="S2" s="24"/>
      <c r="T2" s="24"/>
      <c r="U2" s="24"/>
      <c r="V2" s="24"/>
      <c r="W2" s="24"/>
      <c r="X2" s="24"/>
      <c r="Y2" s="24"/>
      <c r="Z2" s="26"/>
    </row>
    <row r="4" spans="1:26" x14ac:dyDescent="0.2">
      <c r="B4" s="1" t="s">
        <v>1</v>
      </c>
      <c r="C4" s="27" t="s">
        <v>45</v>
      </c>
      <c r="D4" s="28" t="s">
        <v>46</v>
      </c>
      <c r="E4" s="388" t="s">
        <v>47</v>
      </c>
      <c r="F4" s="389"/>
      <c r="G4" s="389"/>
      <c r="H4" s="389"/>
      <c r="I4" s="389"/>
      <c r="J4" s="389"/>
      <c r="K4" s="389"/>
      <c r="L4" s="389"/>
      <c r="M4" s="389"/>
      <c r="N4" s="29"/>
    </row>
    <row r="5" spans="1:26" ht="15.75" x14ac:dyDescent="0.25">
      <c r="B5" s="3" t="s">
        <v>68</v>
      </c>
      <c r="C5" s="324">
        <f>ROUND((D136-D128)/D129,4)</f>
        <v>8.4400000000000003E-2</v>
      </c>
      <c r="D5" s="130" t="str">
        <f>CONCATENATE("Euro/",$C$9)</f>
        <v>Euro/kWh</v>
      </c>
      <c r="E5" s="385"/>
      <c r="F5" s="386"/>
      <c r="G5" s="386"/>
      <c r="H5" s="386"/>
      <c r="I5" s="386"/>
      <c r="J5" s="386"/>
      <c r="K5" s="386"/>
      <c r="L5" s="386"/>
      <c r="M5" s="387"/>
      <c r="N5" s="31"/>
    </row>
    <row r="6" spans="1:26" x14ac:dyDescent="0.2">
      <c r="B6" s="3" t="s">
        <v>106</v>
      </c>
      <c r="C6" s="131">
        <f>ROUND((C5-C7)/C8*1000,0)</f>
        <v>248</v>
      </c>
      <c r="D6" s="30" t="s">
        <v>107</v>
      </c>
      <c r="E6" s="385"/>
      <c r="F6" s="386"/>
      <c r="G6" s="386"/>
      <c r="H6" s="386"/>
      <c r="I6" s="386"/>
      <c r="J6" s="386"/>
      <c r="K6" s="386"/>
      <c r="L6" s="386"/>
      <c r="M6" s="387"/>
      <c r="N6" s="31"/>
    </row>
    <row r="7" spans="1:26" x14ac:dyDescent="0.2">
      <c r="B7" s="3" t="s">
        <v>108</v>
      </c>
      <c r="C7" s="325">
        <v>3.09E-2</v>
      </c>
      <c r="D7" s="130" t="str">
        <f>CONCATENATE("Euro/",$C$9)</f>
        <v>Euro/kWh</v>
      </c>
      <c r="E7" s="385"/>
      <c r="F7" s="386"/>
      <c r="G7" s="386"/>
      <c r="H7" s="386"/>
      <c r="I7" s="386"/>
      <c r="J7" s="386"/>
      <c r="K7" s="386"/>
      <c r="L7" s="386"/>
      <c r="M7" s="387"/>
      <c r="N7" s="31"/>
    </row>
    <row r="8" spans="1:26" x14ac:dyDescent="0.2">
      <c r="B8" s="3" t="s">
        <v>4</v>
      </c>
      <c r="C8" s="326">
        <f>ROUND(IF($C$20="Ja",$C$54,($C$53*$C$25*$C$27+$C$52*$C$23*$C$26)/($C$25*$C$27+$C$23*$C$26))-$C$45*$C$57-$C$47*$C$56-$C$58*$C$49-$C$43/(MAX($C$26,$C$27)*$C$19)*$C$55,4)</f>
        <v>0.216</v>
      </c>
      <c r="D8" s="30" t="str">
        <f>CONCATENATE("kg CO2/",$C$9)</f>
        <v>kg CO2/kWh</v>
      </c>
      <c r="E8" s="366"/>
      <c r="F8" s="367"/>
      <c r="G8" s="367"/>
      <c r="H8" s="367"/>
      <c r="I8" s="367"/>
      <c r="J8" s="367"/>
      <c r="K8" s="367"/>
      <c r="L8" s="367"/>
      <c r="M8" s="368"/>
      <c r="N8" s="31"/>
    </row>
    <row r="9" spans="1:26" x14ac:dyDescent="0.2">
      <c r="B9" s="94" t="s">
        <v>109</v>
      </c>
      <c r="C9" s="132" t="s">
        <v>61</v>
      </c>
      <c r="D9" s="366"/>
      <c r="E9" s="366"/>
      <c r="F9" s="367"/>
      <c r="G9" s="367"/>
      <c r="H9" s="367"/>
      <c r="I9" s="367"/>
      <c r="J9" s="367"/>
      <c r="K9" s="367"/>
      <c r="L9" s="367"/>
      <c r="M9" s="368"/>
      <c r="N9" s="31"/>
    </row>
    <row r="10" spans="1:26" x14ac:dyDescent="0.2">
      <c r="B10" s="4" t="s">
        <v>110</v>
      </c>
      <c r="C10" s="133" t="s">
        <v>111</v>
      </c>
      <c r="D10" s="366"/>
      <c r="E10" s="385"/>
      <c r="F10" s="386"/>
      <c r="G10" s="386"/>
      <c r="H10" s="386"/>
      <c r="I10" s="386"/>
      <c r="J10" s="386"/>
      <c r="K10" s="386"/>
      <c r="L10" s="386"/>
      <c r="M10" s="387"/>
      <c r="N10" s="31"/>
    </row>
    <row r="11" spans="1:26" x14ac:dyDescent="0.2">
      <c r="B11" s="33"/>
      <c r="C11" s="34"/>
      <c r="D11" s="35"/>
      <c r="H11" s="36"/>
      <c r="I11" s="36"/>
      <c r="J11" s="36"/>
      <c r="K11" s="36"/>
      <c r="L11" s="36"/>
    </row>
    <row r="12" spans="1:26" x14ac:dyDescent="0.2">
      <c r="A12" s="37"/>
      <c r="B12" s="1" t="s">
        <v>5</v>
      </c>
      <c r="C12" s="27" t="s">
        <v>45</v>
      </c>
      <c r="D12" s="28" t="s">
        <v>46</v>
      </c>
      <c r="E12" s="388" t="s">
        <v>47</v>
      </c>
      <c r="F12" s="389"/>
      <c r="G12" s="389"/>
      <c r="H12" s="389"/>
      <c r="I12" s="389"/>
      <c r="J12" s="389"/>
      <c r="K12" s="389"/>
      <c r="L12" s="389"/>
      <c r="M12" s="389"/>
    </row>
    <row r="13" spans="1:26" x14ac:dyDescent="0.2">
      <c r="B13" s="5" t="s">
        <v>6</v>
      </c>
      <c r="C13" s="273">
        <v>35.799999999999997</v>
      </c>
      <c r="D13" s="38" t="s">
        <v>48</v>
      </c>
      <c r="E13" s="390"/>
      <c r="F13" s="391"/>
      <c r="G13" s="391"/>
      <c r="H13" s="391"/>
      <c r="I13" s="391"/>
      <c r="J13" s="391"/>
      <c r="K13" s="391"/>
      <c r="L13" s="391"/>
      <c r="M13" s="392"/>
    </row>
    <row r="14" spans="1:26" x14ac:dyDescent="0.2">
      <c r="B14" s="5" t="s">
        <v>7</v>
      </c>
      <c r="C14" s="273">
        <v>31.65</v>
      </c>
      <c r="D14" s="38" t="s">
        <v>48</v>
      </c>
      <c r="E14" s="390"/>
      <c r="F14" s="391"/>
      <c r="G14" s="391"/>
      <c r="H14" s="391"/>
      <c r="I14" s="391"/>
      <c r="J14" s="391"/>
      <c r="K14" s="391"/>
      <c r="L14" s="391"/>
      <c r="M14" s="392"/>
    </row>
    <row r="15" spans="1:26" x14ac:dyDescent="0.2">
      <c r="B15" s="5" t="s">
        <v>8</v>
      </c>
      <c r="C15" s="273">
        <v>35.17</v>
      </c>
      <c r="D15" s="38" t="s">
        <v>48</v>
      </c>
      <c r="E15" s="390"/>
      <c r="F15" s="391"/>
      <c r="G15" s="391"/>
      <c r="H15" s="391"/>
      <c r="I15" s="391"/>
      <c r="J15" s="391"/>
      <c r="K15" s="391"/>
      <c r="L15" s="391"/>
      <c r="M15" s="392"/>
    </row>
    <row r="16" spans="1:26" x14ac:dyDescent="0.2">
      <c r="B16" s="6" t="s">
        <v>9</v>
      </c>
      <c r="C16" s="274">
        <v>3.6</v>
      </c>
      <c r="D16" s="38" t="s">
        <v>49</v>
      </c>
      <c r="E16" s="390"/>
      <c r="F16" s="391"/>
      <c r="G16" s="391"/>
      <c r="H16" s="391"/>
      <c r="I16" s="391"/>
      <c r="J16" s="391"/>
      <c r="K16" s="391"/>
      <c r="L16" s="391"/>
      <c r="M16" s="392"/>
    </row>
    <row r="17" spans="1:13" x14ac:dyDescent="0.2">
      <c r="B17" s="33"/>
      <c r="C17" s="34"/>
      <c r="D17" s="35"/>
      <c r="H17" s="36"/>
      <c r="I17" s="36"/>
      <c r="J17" s="36"/>
      <c r="K17" s="36"/>
      <c r="L17" s="36"/>
    </row>
    <row r="18" spans="1:13" x14ac:dyDescent="0.2">
      <c r="A18" s="37"/>
      <c r="B18" s="1" t="s">
        <v>10</v>
      </c>
      <c r="C18" s="27" t="s">
        <v>45</v>
      </c>
      <c r="D18" s="28" t="s">
        <v>46</v>
      </c>
      <c r="E18" s="388" t="s">
        <v>47</v>
      </c>
      <c r="F18" s="389"/>
      <c r="G18" s="389"/>
      <c r="H18" s="389"/>
      <c r="I18" s="389"/>
      <c r="J18" s="389"/>
      <c r="K18" s="389"/>
      <c r="L18" s="389"/>
      <c r="M18" s="389"/>
    </row>
    <row r="19" spans="1:13" x14ac:dyDescent="0.2">
      <c r="A19" s="37"/>
      <c r="B19" s="2" t="s">
        <v>11</v>
      </c>
      <c r="C19" s="32">
        <v>1000</v>
      </c>
      <c r="D19" s="134" t="str">
        <f>C10</f>
        <v>kW</v>
      </c>
      <c r="E19" s="385"/>
      <c r="F19" s="386"/>
      <c r="G19" s="386"/>
      <c r="H19" s="386"/>
      <c r="I19" s="386"/>
      <c r="J19" s="386"/>
      <c r="K19" s="386"/>
      <c r="L19" s="386"/>
      <c r="M19" s="387"/>
    </row>
    <row r="20" spans="1:13" x14ac:dyDescent="0.2">
      <c r="A20" s="37"/>
      <c r="B20" s="2" t="s">
        <v>12</v>
      </c>
      <c r="C20" s="32"/>
      <c r="D20" s="39"/>
      <c r="E20" s="366"/>
      <c r="F20" s="367"/>
      <c r="G20" s="367"/>
      <c r="H20" s="367"/>
      <c r="I20" s="367"/>
      <c r="J20" s="367"/>
      <c r="K20" s="367"/>
      <c r="L20" s="367"/>
      <c r="M20" s="368"/>
    </row>
    <row r="21" spans="1:13" x14ac:dyDescent="0.2">
      <c r="A21" s="37"/>
      <c r="B21" s="7" t="s">
        <v>13</v>
      </c>
      <c r="C21" s="40"/>
      <c r="D21" s="41"/>
      <c r="E21" s="385"/>
      <c r="F21" s="386"/>
      <c r="G21" s="386"/>
      <c r="H21" s="386"/>
      <c r="I21" s="386"/>
      <c r="J21" s="386"/>
      <c r="K21" s="386"/>
      <c r="L21" s="386"/>
      <c r="M21" s="387"/>
    </row>
    <row r="22" spans="1:13" x14ac:dyDescent="0.2">
      <c r="A22" s="37"/>
      <c r="B22" s="8" t="s">
        <v>14</v>
      </c>
      <c r="C22" s="42">
        <f>IF(C20="JA",IF(C21&lt;&gt;"",C19*C16/C13/C21,0),0)</f>
        <v>0</v>
      </c>
      <c r="D22" s="39" t="s">
        <v>50</v>
      </c>
      <c r="E22" s="385"/>
      <c r="F22" s="386"/>
      <c r="G22" s="386"/>
      <c r="H22" s="386"/>
      <c r="I22" s="386"/>
      <c r="J22" s="386"/>
      <c r="K22" s="386"/>
      <c r="L22" s="386"/>
      <c r="M22" s="387"/>
    </row>
    <row r="23" spans="1:13" x14ac:dyDescent="0.2">
      <c r="A23" s="37"/>
      <c r="B23" s="5" t="s">
        <v>15</v>
      </c>
      <c r="C23" s="43"/>
      <c r="D23" s="135" t="str">
        <f>C10</f>
        <v>kW</v>
      </c>
      <c r="E23" s="385"/>
      <c r="F23" s="386"/>
      <c r="G23" s="386"/>
      <c r="H23" s="386"/>
      <c r="I23" s="386"/>
      <c r="J23" s="386"/>
      <c r="K23" s="386"/>
      <c r="L23" s="386"/>
      <c r="M23" s="387"/>
    </row>
    <row r="24" spans="1:13" x14ac:dyDescent="0.2">
      <c r="A24" s="37"/>
      <c r="B24" s="9" t="s">
        <v>51</v>
      </c>
      <c r="C24" s="42">
        <f>IF(C20="JA",IF(C23=0,,C23*C16/C14),0)</f>
        <v>0</v>
      </c>
      <c r="D24" s="39" t="s">
        <v>50</v>
      </c>
      <c r="E24" s="385"/>
      <c r="F24" s="386"/>
      <c r="G24" s="386"/>
      <c r="H24" s="386"/>
      <c r="I24" s="386"/>
      <c r="J24" s="386"/>
      <c r="K24" s="386"/>
      <c r="L24" s="386"/>
      <c r="M24" s="387"/>
    </row>
    <row r="25" spans="1:13" x14ac:dyDescent="0.2">
      <c r="A25" s="37"/>
      <c r="B25" s="5" t="s">
        <v>52</v>
      </c>
      <c r="C25" s="44">
        <v>1000</v>
      </c>
      <c r="D25" s="135" t="str">
        <f>C10</f>
        <v>kW</v>
      </c>
      <c r="E25" s="390"/>
      <c r="F25" s="391"/>
      <c r="G25" s="391"/>
      <c r="H25" s="391"/>
      <c r="I25" s="391"/>
      <c r="J25" s="391"/>
      <c r="K25" s="391"/>
      <c r="L25" s="391"/>
      <c r="M25" s="392"/>
    </row>
    <row r="26" spans="1:13" x14ac:dyDescent="0.2">
      <c r="A26" s="37"/>
      <c r="B26" s="5" t="s">
        <v>112</v>
      </c>
      <c r="C26" s="44"/>
      <c r="D26" s="41" t="s">
        <v>53</v>
      </c>
      <c r="E26" s="385" t="s">
        <v>54</v>
      </c>
      <c r="F26" s="386"/>
      <c r="G26" s="386"/>
      <c r="H26" s="386"/>
      <c r="I26" s="386"/>
      <c r="J26" s="386"/>
      <c r="K26" s="386"/>
      <c r="L26" s="386"/>
      <c r="M26" s="387"/>
    </row>
    <row r="27" spans="1:13" x14ac:dyDescent="0.2">
      <c r="A27" s="37"/>
      <c r="B27" s="5" t="s">
        <v>113</v>
      </c>
      <c r="C27" s="44">
        <v>2180</v>
      </c>
      <c r="D27" s="41" t="s">
        <v>53</v>
      </c>
      <c r="E27" s="385" t="s">
        <v>54</v>
      </c>
      <c r="F27" s="386"/>
      <c r="G27" s="386"/>
      <c r="H27" s="386"/>
      <c r="I27" s="386"/>
      <c r="J27" s="386"/>
      <c r="K27" s="386"/>
      <c r="L27" s="386"/>
      <c r="M27" s="387"/>
    </row>
    <row r="28" spans="1:13" x14ac:dyDescent="0.2">
      <c r="A28" s="37"/>
      <c r="B28" s="10"/>
      <c r="C28" s="45"/>
      <c r="D28" s="46"/>
      <c r="E28" s="393"/>
      <c r="F28" s="394"/>
      <c r="G28" s="394"/>
      <c r="H28" s="394"/>
      <c r="I28" s="394"/>
      <c r="J28" s="394"/>
      <c r="K28" s="394"/>
      <c r="L28" s="394"/>
      <c r="M28" s="394"/>
    </row>
    <row r="29" spans="1:13" x14ac:dyDescent="0.2">
      <c r="A29" s="37"/>
      <c r="B29" s="2" t="s">
        <v>16</v>
      </c>
      <c r="C29" s="47">
        <f>IF(C19&gt;0,C25/C19,IF(C25&gt;0,1,0))</f>
        <v>1</v>
      </c>
      <c r="D29" s="39"/>
      <c r="E29" s="390"/>
      <c r="F29" s="391"/>
      <c r="G29" s="391"/>
      <c r="H29" s="391"/>
      <c r="I29" s="391"/>
      <c r="J29" s="391"/>
      <c r="K29" s="391"/>
      <c r="L29" s="391"/>
      <c r="M29" s="392"/>
    </row>
    <row r="30" spans="1:13" x14ac:dyDescent="0.2">
      <c r="A30" s="37"/>
      <c r="B30" s="5" t="s">
        <v>17</v>
      </c>
      <c r="C30" s="47">
        <f>IF(C25&gt;0,C29-C32*C29*(C23*C26)/(C25*C27),)</f>
        <v>1</v>
      </c>
      <c r="D30" s="41"/>
      <c r="E30" s="390"/>
      <c r="F30" s="391"/>
      <c r="G30" s="391"/>
      <c r="H30" s="391"/>
      <c r="I30" s="391"/>
      <c r="J30" s="391"/>
      <c r="K30" s="391"/>
      <c r="L30" s="391"/>
      <c r="M30" s="392"/>
    </row>
    <row r="31" spans="1:13" x14ac:dyDescent="0.2">
      <c r="A31" s="37"/>
      <c r="B31" s="5" t="s">
        <v>18</v>
      </c>
      <c r="C31" s="48">
        <f>IF(C19&gt;0,C23/C19,0)</f>
        <v>0</v>
      </c>
      <c r="D31" s="41"/>
      <c r="E31" s="390"/>
      <c r="F31" s="391"/>
      <c r="G31" s="391"/>
      <c r="H31" s="391"/>
      <c r="I31" s="391"/>
      <c r="J31" s="391"/>
      <c r="K31" s="391"/>
      <c r="L31" s="391"/>
      <c r="M31" s="392"/>
    </row>
    <row r="32" spans="1:13" x14ac:dyDescent="0.2">
      <c r="A32" s="37"/>
      <c r="B32" s="5" t="s">
        <v>19</v>
      </c>
      <c r="C32" s="49"/>
      <c r="D32" s="41" t="s">
        <v>55</v>
      </c>
      <c r="E32" s="385"/>
      <c r="F32" s="386"/>
      <c r="G32" s="386"/>
      <c r="H32" s="386"/>
      <c r="I32" s="386"/>
      <c r="J32" s="386"/>
      <c r="K32" s="386"/>
      <c r="L32" s="386"/>
      <c r="M32" s="387"/>
    </row>
    <row r="33" spans="1:13" x14ac:dyDescent="0.2">
      <c r="A33" s="37"/>
      <c r="B33" s="10"/>
      <c r="C33" s="45"/>
      <c r="D33" s="46"/>
      <c r="E33" s="393"/>
      <c r="F33" s="394"/>
      <c r="G33" s="394"/>
      <c r="H33" s="394"/>
      <c r="I33" s="394"/>
      <c r="J33" s="394"/>
      <c r="K33" s="394"/>
      <c r="L33" s="394"/>
      <c r="M33" s="394"/>
    </row>
    <row r="34" spans="1:13" x14ac:dyDescent="0.2">
      <c r="A34" s="37"/>
      <c r="B34" s="11" t="s">
        <v>20</v>
      </c>
      <c r="C34" s="50">
        <v>1250</v>
      </c>
      <c r="D34" s="39" t="str">
        <f>CONCATENATE("Euro/",$C$10)</f>
        <v>Euro/kW</v>
      </c>
      <c r="E34" s="390"/>
      <c r="F34" s="391"/>
      <c r="G34" s="391"/>
      <c r="H34" s="391"/>
      <c r="I34" s="391"/>
      <c r="J34" s="391"/>
      <c r="K34" s="391"/>
      <c r="L34" s="391"/>
      <c r="M34" s="392"/>
    </row>
    <row r="35" spans="1:13" x14ac:dyDescent="0.2">
      <c r="A35" s="37"/>
      <c r="B35" s="11"/>
      <c r="C35" s="43"/>
      <c r="D35" s="39" t="str">
        <f>CONCATENATE("Euro/",$C$10)</f>
        <v>Euro/kW</v>
      </c>
      <c r="E35" s="390"/>
      <c r="F35" s="391"/>
      <c r="G35" s="391"/>
      <c r="H35" s="391"/>
      <c r="I35" s="391"/>
      <c r="J35" s="391"/>
      <c r="K35" s="391"/>
      <c r="L35" s="391"/>
      <c r="M35" s="392"/>
    </row>
    <row r="36" spans="1:13" x14ac:dyDescent="0.2">
      <c r="A36" s="37"/>
      <c r="B36" s="5" t="s">
        <v>21</v>
      </c>
      <c r="C36" s="51">
        <f>(C19*C34+SUM(C23,C25)*C35)/1000000</f>
        <v>1.25</v>
      </c>
      <c r="D36" s="41" t="s">
        <v>56</v>
      </c>
      <c r="E36" s="385"/>
      <c r="F36" s="386"/>
      <c r="G36" s="386"/>
      <c r="H36" s="386"/>
      <c r="I36" s="386"/>
      <c r="J36" s="386"/>
      <c r="K36" s="386"/>
      <c r="L36" s="386"/>
      <c r="M36" s="387"/>
    </row>
    <row r="37" spans="1:13" x14ac:dyDescent="0.2">
      <c r="A37" s="37"/>
      <c r="B37" s="12" t="s">
        <v>22</v>
      </c>
      <c r="C37" s="52">
        <v>26</v>
      </c>
      <c r="D37" s="39" t="str">
        <f>CONCATENATE("Euro/",$C$10,"/jaar")</f>
        <v>Euro/kW/jaar</v>
      </c>
      <c r="E37" s="390"/>
      <c r="F37" s="391"/>
      <c r="G37" s="391"/>
      <c r="H37" s="391"/>
      <c r="I37" s="391"/>
      <c r="J37" s="391"/>
      <c r="K37" s="391"/>
      <c r="L37" s="391"/>
      <c r="M37" s="392"/>
    </row>
    <row r="38" spans="1:13" x14ac:dyDescent="0.2">
      <c r="A38" s="37"/>
      <c r="B38" s="11"/>
      <c r="C38" s="52"/>
      <c r="D38" s="39" t="str">
        <f>CONCATENATE("Euro/",$C$10,"/jaar")</f>
        <v>Euro/kW/jaar</v>
      </c>
      <c r="E38" s="390"/>
      <c r="F38" s="391"/>
      <c r="G38" s="391"/>
      <c r="H38" s="391"/>
      <c r="I38" s="391"/>
      <c r="J38" s="391"/>
      <c r="K38" s="391"/>
      <c r="L38" s="391"/>
      <c r="M38" s="392"/>
    </row>
    <row r="39" spans="1:13" x14ac:dyDescent="0.2">
      <c r="A39" s="37"/>
      <c r="B39" s="5" t="s">
        <v>23</v>
      </c>
      <c r="C39" s="53">
        <f>(C37*C19+C38*SUM(C23,C25))/1000</f>
        <v>26</v>
      </c>
      <c r="D39" s="41" t="s">
        <v>57</v>
      </c>
      <c r="E39" s="385"/>
      <c r="F39" s="386"/>
      <c r="G39" s="386"/>
      <c r="H39" s="386"/>
      <c r="I39" s="386"/>
      <c r="J39" s="386"/>
      <c r="K39" s="386"/>
      <c r="L39" s="386"/>
      <c r="M39" s="387"/>
    </row>
    <row r="40" spans="1:13" x14ac:dyDescent="0.2">
      <c r="A40" s="37"/>
      <c r="B40" s="5" t="s">
        <v>24</v>
      </c>
      <c r="C40" s="54">
        <v>1.4E-2</v>
      </c>
      <c r="D40" s="39" t="str">
        <f>CONCATENATE("Euro/",$C$9)</f>
        <v>Euro/kWh</v>
      </c>
      <c r="E40" s="385"/>
      <c r="F40" s="386"/>
      <c r="G40" s="386"/>
      <c r="H40" s="386"/>
      <c r="I40" s="386"/>
      <c r="J40" s="386"/>
      <c r="K40" s="386"/>
      <c r="L40" s="386"/>
      <c r="M40" s="387"/>
    </row>
    <row r="41" spans="1:13" x14ac:dyDescent="0.2">
      <c r="A41" s="37"/>
      <c r="B41" s="13"/>
      <c r="C41" s="45"/>
      <c r="D41" s="46"/>
      <c r="E41" s="393"/>
      <c r="F41" s="394"/>
      <c r="G41" s="394"/>
      <c r="H41" s="394"/>
      <c r="I41" s="394"/>
      <c r="J41" s="394"/>
      <c r="K41" s="394"/>
      <c r="L41" s="394"/>
      <c r="M41" s="394"/>
    </row>
    <row r="42" spans="1:13" x14ac:dyDescent="0.2">
      <c r="A42" s="37"/>
      <c r="B42" s="5" t="s">
        <v>25</v>
      </c>
      <c r="C42" s="345"/>
      <c r="D42" s="41" t="s">
        <v>58</v>
      </c>
      <c r="E42" s="390"/>
      <c r="F42" s="391"/>
      <c r="G42" s="391"/>
      <c r="H42" s="391"/>
      <c r="I42" s="391"/>
      <c r="J42" s="391"/>
      <c r="K42" s="391"/>
      <c r="L42" s="391"/>
      <c r="M42" s="392"/>
    </row>
    <row r="43" spans="1:13" x14ac:dyDescent="0.2">
      <c r="A43" s="37"/>
      <c r="B43" s="5" t="s">
        <v>26</v>
      </c>
      <c r="C43" s="55">
        <f>IF(C42=0,,$C$19*MAX($C$26,$C$27)*$C$16/$C$42/1000)</f>
        <v>0</v>
      </c>
      <c r="D43" s="41" t="s">
        <v>59</v>
      </c>
      <c r="E43" s="395"/>
      <c r="F43" s="396"/>
      <c r="G43" s="396"/>
      <c r="H43" s="396"/>
      <c r="I43" s="396"/>
      <c r="J43" s="396"/>
      <c r="K43" s="396"/>
      <c r="L43" s="396"/>
      <c r="M43" s="397"/>
    </row>
    <row r="44" spans="1:13" x14ac:dyDescent="0.2">
      <c r="A44" s="37"/>
      <c r="B44" s="5" t="s">
        <v>27</v>
      </c>
      <c r="C44" s="56"/>
      <c r="D44" s="41" t="s">
        <v>60</v>
      </c>
      <c r="E44" s="390"/>
      <c r="F44" s="391"/>
      <c r="G44" s="391"/>
      <c r="H44" s="391"/>
      <c r="I44" s="391"/>
      <c r="J44" s="391"/>
      <c r="K44" s="391"/>
      <c r="L44" s="391"/>
      <c r="M44" s="392"/>
    </row>
    <row r="45" spans="1:13" x14ac:dyDescent="0.2">
      <c r="A45" s="37"/>
      <c r="B45" s="5" t="s">
        <v>114</v>
      </c>
      <c r="C45" s="56"/>
      <c r="D45" s="41" t="str">
        <f>CONCATENATE("kWh/",$C$9)</f>
        <v>kWh/kWh</v>
      </c>
      <c r="E45" s="363"/>
      <c r="F45" s="364"/>
      <c r="G45" s="364"/>
      <c r="H45" s="364"/>
      <c r="I45" s="364"/>
      <c r="J45" s="364"/>
      <c r="K45" s="364"/>
      <c r="L45" s="364"/>
      <c r="M45" s="365"/>
    </row>
    <row r="46" spans="1:13" x14ac:dyDescent="0.2">
      <c r="A46" s="37"/>
      <c r="B46" s="5" t="s">
        <v>28</v>
      </c>
      <c r="C46" s="55">
        <f>IF(C45=0,,MAX($C$23,C25)*MAX($C$26,$C$27)*C45*10^(-3))</f>
        <v>0</v>
      </c>
      <c r="D46" s="41" t="s">
        <v>115</v>
      </c>
      <c r="E46" s="363"/>
      <c r="F46" s="364"/>
      <c r="G46" s="364"/>
      <c r="H46" s="364"/>
      <c r="I46" s="364"/>
      <c r="J46" s="364"/>
      <c r="K46" s="364"/>
      <c r="L46" s="364"/>
      <c r="M46" s="365"/>
    </row>
    <row r="47" spans="1:13" x14ac:dyDescent="0.2">
      <c r="A47" s="37"/>
      <c r="B47" s="5" t="s">
        <v>116</v>
      </c>
      <c r="C47" s="56"/>
      <c r="D47" s="41" t="str">
        <f>CONCATENATE("kWh/",$C$9)</f>
        <v>kWh/kWh</v>
      </c>
      <c r="E47" s="363"/>
      <c r="F47" s="364"/>
      <c r="G47" s="364"/>
      <c r="H47" s="364"/>
      <c r="I47" s="364"/>
      <c r="J47" s="364"/>
      <c r="K47" s="364"/>
      <c r="L47" s="364"/>
      <c r="M47" s="365"/>
    </row>
    <row r="48" spans="1:13" x14ac:dyDescent="0.2">
      <c r="A48" s="37"/>
      <c r="B48" s="5" t="s">
        <v>117</v>
      </c>
      <c r="C48" s="55">
        <f>IF(C47=0,,MAX($C$23,C25)*MAX($C$26,$C$27)*$C$47/1000)</f>
        <v>0</v>
      </c>
      <c r="D48" s="41" t="s">
        <v>115</v>
      </c>
      <c r="E48" s="363"/>
      <c r="F48" s="364"/>
      <c r="G48" s="364"/>
      <c r="H48" s="364"/>
      <c r="I48" s="364"/>
      <c r="J48" s="364"/>
      <c r="K48" s="364"/>
      <c r="L48" s="364"/>
      <c r="M48" s="365"/>
    </row>
    <row r="49" spans="1:13" x14ac:dyDescent="0.2">
      <c r="A49" s="37"/>
      <c r="B49" s="4" t="s">
        <v>288</v>
      </c>
      <c r="C49" s="56"/>
      <c r="D49" s="41" t="str">
        <f>CONCATENATE("kWh/",$C$9)</f>
        <v>kWh/kWh</v>
      </c>
      <c r="E49" s="287"/>
      <c r="F49" s="287"/>
      <c r="G49" s="287"/>
      <c r="H49" s="287"/>
      <c r="I49" s="287"/>
      <c r="J49" s="287"/>
      <c r="K49" s="287"/>
      <c r="L49" s="287"/>
      <c r="M49" s="287"/>
    </row>
    <row r="50" spans="1:13" x14ac:dyDescent="0.2">
      <c r="A50" s="37"/>
      <c r="B50" s="4" t="s">
        <v>289</v>
      </c>
      <c r="C50" s="55"/>
      <c r="D50" s="41" t="s">
        <v>115</v>
      </c>
      <c r="E50" s="287"/>
      <c r="F50" s="287"/>
      <c r="G50" s="287"/>
      <c r="H50" s="287"/>
      <c r="I50" s="287"/>
      <c r="J50" s="287"/>
      <c r="K50" s="287"/>
      <c r="L50" s="287"/>
      <c r="M50" s="287"/>
    </row>
    <row r="51" spans="1:13" x14ac:dyDescent="0.2">
      <c r="A51" s="37"/>
      <c r="B51" s="13" t="s">
        <v>118</v>
      </c>
      <c r="C51" s="45"/>
      <c r="D51" s="46"/>
      <c r="E51" s="393"/>
      <c r="F51" s="394"/>
      <c r="G51" s="394"/>
      <c r="H51" s="394"/>
      <c r="I51" s="394"/>
      <c r="J51" s="394"/>
      <c r="K51" s="394"/>
      <c r="L51" s="394"/>
      <c r="M51" s="394"/>
    </row>
    <row r="52" spans="1:13" x14ac:dyDescent="0.2">
      <c r="A52" s="37"/>
      <c r="B52" s="5" t="s">
        <v>285</v>
      </c>
      <c r="C52" s="56">
        <v>0.22600000000000001</v>
      </c>
      <c r="D52" s="41" t="str">
        <f>IF(AND(C23&gt;0,C20=""),CONCATENATE("kg CO2/",$C$9),"kg CO2/kWh")</f>
        <v>kg CO2/kWh</v>
      </c>
      <c r="E52" s="363"/>
      <c r="F52" s="364"/>
      <c r="G52" s="364"/>
      <c r="H52" s="364"/>
      <c r="I52" s="364"/>
      <c r="J52" s="364"/>
      <c r="K52" s="364"/>
      <c r="L52" s="364"/>
      <c r="M52" s="365"/>
    </row>
    <row r="53" spans="1:13" x14ac:dyDescent="0.2">
      <c r="A53" s="37"/>
      <c r="B53" s="5" t="s">
        <v>32</v>
      </c>
      <c r="C53" s="56">
        <v>0.216</v>
      </c>
      <c r="D53" s="41" t="str">
        <f>IF(C25&gt;0,CONCATENATE("kg CO2/",$C$9),"kg CO2/kWh")</f>
        <v>kg CO2/kWh</v>
      </c>
      <c r="E53" s="363"/>
      <c r="F53" s="364"/>
      <c r="G53" s="364"/>
      <c r="H53" s="364"/>
      <c r="I53" s="364"/>
      <c r="J53" s="364"/>
      <c r="K53" s="364"/>
      <c r="L53" s="364"/>
      <c r="M53" s="365"/>
    </row>
    <row r="54" spans="1:13" x14ac:dyDescent="0.2">
      <c r="A54" s="37"/>
      <c r="B54" s="5" t="s">
        <v>119</v>
      </c>
      <c r="C54" s="56">
        <v>0.183</v>
      </c>
      <c r="D54" s="41" t="str">
        <f>IF(C20="Ja",CONCATENATE("kg CO2/",$C$9),"kg CO2/kWh")</f>
        <v>kg CO2/kWh</v>
      </c>
      <c r="E54" s="363"/>
      <c r="F54" s="364"/>
      <c r="G54" s="364"/>
      <c r="H54" s="364"/>
      <c r="I54" s="364"/>
      <c r="J54" s="364"/>
      <c r="K54" s="364"/>
      <c r="L54" s="364"/>
      <c r="M54" s="365"/>
    </row>
    <row r="55" spans="1:13" x14ac:dyDescent="0.2">
      <c r="A55" s="37"/>
      <c r="B55" s="5" t="s">
        <v>30</v>
      </c>
      <c r="C55" s="56">
        <v>0</v>
      </c>
      <c r="D55" s="41" t="s">
        <v>63</v>
      </c>
      <c r="E55" s="363"/>
      <c r="F55" s="364"/>
      <c r="G55" s="364"/>
      <c r="H55" s="364"/>
      <c r="I55" s="364"/>
      <c r="J55" s="364"/>
      <c r="K55" s="364"/>
      <c r="L55" s="364"/>
      <c r="M55" s="365"/>
    </row>
    <row r="56" spans="1:13" x14ac:dyDescent="0.2">
      <c r="A56" s="37"/>
      <c r="B56" s="5" t="s">
        <v>29</v>
      </c>
      <c r="C56" s="56">
        <v>0</v>
      </c>
      <c r="D56" s="41" t="s">
        <v>62</v>
      </c>
      <c r="E56" s="363"/>
      <c r="F56" s="364"/>
      <c r="G56" s="364"/>
      <c r="H56" s="364"/>
      <c r="I56" s="364"/>
      <c r="J56" s="364"/>
      <c r="K56" s="364"/>
      <c r="L56" s="364"/>
      <c r="M56" s="365"/>
    </row>
    <row r="57" spans="1:13" x14ac:dyDescent="0.2">
      <c r="A57" s="37"/>
      <c r="B57" s="5" t="s">
        <v>31</v>
      </c>
      <c r="C57" s="56">
        <v>0.216</v>
      </c>
      <c r="D57" s="41" t="s">
        <v>62</v>
      </c>
      <c r="E57" s="363"/>
      <c r="F57" s="364"/>
      <c r="G57" s="364"/>
      <c r="H57" s="364"/>
      <c r="I57" s="364"/>
      <c r="J57" s="364"/>
      <c r="K57" s="364"/>
      <c r="L57" s="364"/>
      <c r="M57" s="365"/>
    </row>
    <row r="58" spans="1:13" x14ac:dyDescent="0.2">
      <c r="A58" s="37"/>
      <c r="B58" s="4" t="s">
        <v>290</v>
      </c>
      <c r="C58" s="288"/>
      <c r="D58" s="41" t="s">
        <v>62</v>
      </c>
      <c r="E58" s="287"/>
      <c r="F58" s="287"/>
      <c r="G58" s="287"/>
      <c r="H58" s="287"/>
      <c r="I58" s="287"/>
      <c r="J58" s="287"/>
      <c r="K58" s="287"/>
      <c r="L58" s="287"/>
      <c r="M58" s="287"/>
    </row>
    <row r="59" spans="1:13" x14ac:dyDescent="0.2">
      <c r="A59" s="37"/>
      <c r="B59" s="14"/>
      <c r="C59" s="45"/>
      <c r="D59" s="46"/>
      <c r="E59" s="393"/>
      <c r="F59" s="394"/>
      <c r="G59" s="394"/>
      <c r="H59" s="394"/>
      <c r="I59" s="394"/>
      <c r="J59" s="394"/>
      <c r="K59" s="394"/>
      <c r="L59" s="394"/>
      <c r="M59" s="394"/>
    </row>
    <row r="60" spans="1:13" x14ac:dyDescent="0.2">
      <c r="A60" s="37"/>
      <c r="B60" s="4" t="s">
        <v>286</v>
      </c>
      <c r="C60" s="56">
        <v>3.1E-2</v>
      </c>
      <c r="D60" s="35" t="s">
        <v>78</v>
      </c>
      <c r="E60" s="286"/>
      <c r="F60" s="286"/>
      <c r="G60" s="286"/>
      <c r="H60" s="286"/>
      <c r="I60" s="286"/>
      <c r="J60" s="286"/>
      <c r="K60" s="286"/>
      <c r="L60" s="286"/>
      <c r="M60" s="286"/>
    </row>
    <row r="61" spans="1:13" x14ac:dyDescent="0.2">
      <c r="A61" s="37"/>
      <c r="B61" s="4" t="s">
        <v>287</v>
      </c>
      <c r="C61" s="56">
        <v>2180</v>
      </c>
      <c r="D61" s="35" t="s">
        <v>53</v>
      </c>
      <c r="E61" s="286"/>
      <c r="F61" s="286"/>
      <c r="G61" s="286"/>
      <c r="H61" s="286"/>
      <c r="I61" s="286"/>
      <c r="J61" s="286"/>
      <c r="K61" s="286"/>
      <c r="L61" s="286"/>
      <c r="M61" s="286"/>
    </row>
    <row r="62" spans="1:13" x14ac:dyDescent="0.2">
      <c r="A62" s="37"/>
      <c r="B62" s="4" t="s">
        <v>335</v>
      </c>
      <c r="C62" s="344"/>
      <c r="D62" s="35" t="s">
        <v>78</v>
      </c>
      <c r="E62" s="286"/>
      <c r="F62" s="286"/>
      <c r="G62" s="286"/>
      <c r="H62" s="286"/>
      <c r="I62" s="286"/>
      <c r="J62" s="286"/>
      <c r="K62" s="286"/>
      <c r="L62" s="286"/>
      <c r="M62" s="286"/>
    </row>
    <row r="63" spans="1:13" x14ac:dyDescent="0.2">
      <c r="A63" s="37"/>
      <c r="B63" s="4" t="s">
        <v>287</v>
      </c>
      <c r="C63" s="344"/>
      <c r="D63" s="35" t="s">
        <v>53</v>
      </c>
      <c r="E63" s="286"/>
      <c r="F63" s="286"/>
      <c r="G63" s="286"/>
      <c r="H63" s="286"/>
      <c r="I63" s="286"/>
      <c r="J63" s="286"/>
      <c r="K63" s="286"/>
      <c r="L63" s="286"/>
      <c r="M63" s="286"/>
    </row>
    <row r="64" spans="1:13" x14ac:dyDescent="0.2">
      <c r="A64" s="37"/>
      <c r="B64" s="14"/>
      <c r="C64" s="45"/>
      <c r="D64" s="46"/>
      <c r="E64" s="393"/>
      <c r="F64" s="394"/>
      <c r="G64" s="394"/>
      <c r="H64" s="394"/>
      <c r="I64" s="394"/>
      <c r="J64" s="394"/>
      <c r="K64" s="394"/>
      <c r="L64" s="394"/>
      <c r="M64" s="394"/>
    </row>
    <row r="65" spans="1:15" x14ac:dyDescent="0.2">
      <c r="A65" s="37"/>
      <c r="B65" s="5" t="s">
        <v>120</v>
      </c>
      <c r="C65" s="57"/>
      <c r="D65" s="41" t="s">
        <v>64</v>
      </c>
      <c r="E65" s="390"/>
      <c r="F65" s="391"/>
      <c r="G65" s="391"/>
      <c r="H65" s="391"/>
      <c r="I65" s="391"/>
      <c r="J65" s="391"/>
      <c r="K65" s="391"/>
      <c r="L65" s="391"/>
      <c r="M65" s="392"/>
    </row>
    <row r="66" spans="1:15" x14ac:dyDescent="0.2">
      <c r="A66" s="37"/>
      <c r="B66" s="5" t="s">
        <v>33</v>
      </c>
      <c r="C66" s="57"/>
      <c r="D66" s="41" t="s">
        <v>64</v>
      </c>
      <c r="E66" s="390"/>
      <c r="F66" s="391"/>
      <c r="G66" s="391"/>
      <c r="H66" s="391"/>
      <c r="I66" s="391"/>
      <c r="J66" s="391"/>
      <c r="K66" s="391"/>
      <c r="L66" s="391"/>
      <c r="M66" s="392"/>
    </row>
    <row r="67" spans="1:15" x14ac:dyDescent="0.2">
      <c r="A67" s="37"/>
      <c r="B67" s="14"/>
      <c r="C67" s="45"/>
      <c r="D67" s="46"/>
      <c r="E67" s="393"/>
      <c r="F67" s="394"/>
      <c r="G67" s="394"/>
      <c r="H67" s="394"/>
      <c r="I67" s="394"/>
      <c r="J67" s="394"/>
      <c r="K67" s="394"/>
      <c r="L67" s="394"/>
      <c r="M67" s="394"/>
    </row>
    <row r="68" spans="1:15" x14ac:dyDescent="0.2">
      <c r="A68" s="37"/>
      <c r="B68" s="2" t="s">
        <v>34</v>
      </c>
      <c r="C68" s="58">
        <v>1.4999999999999999E-2</v>
      </c>
      <c r="D68" s="39"/>
      <c r="E68" s="390"/>
      <c r="F68" s="391"/>
      <c r="G68" s="391"/>
      <c r="H68" s="391"/>
      <c r="I68" s="391"/>
      <c r="J68" s="391"/>
      <c r="K68" s="391"/>
      <c r="L68" s="391"/>
      <c r="M68" s="392"/>
    </row>
    <row r="69" spans="1:15" x14ac:dyDescent="0.2">
      <c r="A69" s="37"/>
      <c r="B69" s="5" t="s">
        <v>35</v>
      </c>
      <c r="C69" s="59">
        <v>3.5000000000000003E-2</v>
      </c>
      <c r="D69" s="41"/>
      <c r="E69" s="390"/>
      <c r="F69" s="391"/>
      <c r="G69" s="391"/>
      <c r="H69" s="391"/>
      <c r="I69" s="391"/>
      <c r="J69" s="391"/>
      <c r="K69" s="391"/>
      <c r="L69" s="391"/>
      <c r="M69" s="392"/>
    </row>
    <row r="70" spans="1:15" x14ac:dyDescent="0.2">
      <c r="A70" s="37"/>
      <c r="B70" s="5" t="s">
        <v>36</v>
      </c>
      <c r="C70" s="59">
        <v>0.10100000000000001</v>
      </c>
      <c r="D70" s="41"/>
      <c r="E70" s="390"/>
      <c r="F70" s="391"/>
      <c r="G70" s="391"/>
      <c r="H70" s="391"/>
      <c r="I70" s="391"/>
      <c r="J70" s="391"/>
      <c r="K70" s="391"/>
      <c r="L70" s="391"/>
      <c r="M70" s="392"/>
    </row>
    <row r="71" spans="1:15" x14ac:dyDescent="0.2">
      <c r="A71" s="37"/>
      <c r="B71" s="5" t="s">
        <v>37</v>
      </c>
      <c r="C71" s="60">
        <v>0.2</v>
      </c>
      <c r="D71" s="41"/>
      <c r="E71" s="390"/>
      <c r="F71" s="391"/>
      <c r="G71" s="391"/>
      <c r="H71" s="391"/>
      <c r="I71" s="391"/>
      <c r="J71" s="391"/>
      <c r="K71" s="391"/>
      <c r="L71" s="391"/>
      <c r="M71" s="392"/>
    </row>
    <row r="72" spans="1:15" x14ac:dyDescent="0.2">
      <c r="A72" s="37"/>
      <c r="B72" s="15" t="s">
        <v>38</v>
      </c>
      <c r="C72" s="61">
        <f>1-C71</f>
        <v>0.8</v>
      </c>
      <c r="D72" s="41"/>
      <c r="E72" s="390"/>
      <c r="F72" s="391"/>
      <c r="G72" s="391"/>
      <c r="H72" s="391"/>
      <c r="I72" s="391"/>
      <c r="J72" s="391"/>
      <c r="K72" s="391"/>
      <c r="L72" s="391"/>
      <c r="M72" s="392"/>
    </row>
    <row r="73" spans="1:15" x14ac:dyDescent="0.2">
      <c r="A73" s="37"/>
      <c r="B73" s="16" t="s">
        <v>39</v>
      </c>
      <c r="C73" s="62">
        <v>0.15</v>
      </c>
      <c r="D73" s="63"/>
      <c r="E73" s="390"/>
      <c r="F73" s="391"/>
      <c r="G73" s="391"/>
      <c r="H73" s="391"/>
      <c r="I73" s="391"/>
      <c r="J73" s="391"/>
      <c r="K73" s="391"/>
      <c r="L73" s="391"/>
      <c r="M73" s="392"/>
    </row>
    <row r="74" spans="1:15" x14ac:dyDescent="0.2">
      <c r="A74" s="37"/>
      <c r="B74" s="14"/>
      <c r="C74" s="45"/>
      <c r="D74" s="46"/>
      <c r="E74" s="393"/>
      <c r="F74" s="394"/>
      <c r="G74" s="394"/>
      <c r="H74" s="394"/>
      <c r="I74" s="394"/>
      <c r="J74" s="394"/>
      <c r="K74" s="394"/>
      <c r="L74" s="394"/>
      <c r="M74" s="394"/>
      <c r="O74" s="64"/>
    </row>
    <row r="75" spans="1:15" x14ac:dyDescent="0.2">
      <c r="A75" s="37"/>
      <c r="B75" s="17" t="s">
        <v>40</v>
      </c>
      <c r="C75" s="65">
        <v>20</v>
      </c>
      <c r="D75" s="63" t="s">
        <v>65</v>
      </c>
      <c r="E75" s="390"/>
      <c r="F75" s="391"/>
      <c r="G75" s="391"/>
      <c r="H75" s="391"/>
      <c r="I75" s="391"/>
      <c r="J75" s="391"/>
      <c r="K75" s="391"/>
      <c r="L75" s="391"/>
      <c r="M75" s="392"/>
    </row>
    <row r="76" spans="1:15" x14ac:dyDescent="0.2">
      <c r="A76" s="37"/>
      <c r="B76" s="15" t="s">
        <v>41</v>
      </c>
      <c r="C76" s="44">
        <v>15</v>
      </c>
      <c r="D76" s="63" t="s">
        <v>65</v>
      </c>
      <c r="E76" s="390"/>
      <c r="F76" s="391"/>
      <c r="G76" s="391"/>
      <c r="H76" s="391"/>
      <c r="I76" s="391"/>
      <c r="J76" s="391"/>
      <c r="K76" s="391"/>
      <c r="L76" s="391"/>
      <c r="M76" s="392"/>
    </row>
    <row r="77" spans="1:15" x14ac:dyDescent="0.2">
      <c r="A77" s="37"/>
      <c r="B77" s="15" t="s">
        <v>42</v>
      </c>
      <c r="C77" s="44">
        <v>15</v>
      </c>
      <c r="D77" s="63" t="s">
        <v>65</v>
      </c>
      <c r="E77" s="390"/>
      <c r="F77" s="391"/>
      <c r="G77" s="391"/>
      <c r="H77" s="391"/>
      <c r="I77" s="391"/>
      <c r="J77" s="391"/>
      <c r="K77" s="391"/>
      <c r="L77" s="391"/>
      <c r="M77" s="392"/>
    </row>
    <row r="78" spans="1:15" x14ac:dyDescent="0.2">
      <c r="A78" s="37"/>
      <c r="B78" s="6" t="s">
        <v>43</v>
      </c>
      <c r="C78" s="44">
        <v>15</v>
      </c>
      <c r="D78" s="63" t="s">
        <v>65</v>
      </c>
      <c r="E78" s="390"/>
      <c r="F78" s="391"/>
      <c r="G78" s="391"/>
      <c r="H78" s="391"/>
      <c r="I78" s="391"/>
      <c r="J78" s="391"/>
      <c r="K78" s="391"/>
      <c r="L78" s="391"/>
      <c r="M78" s="392"/>
    </row>
    <row r="79" spans="1:15" x14ac:dyDescent="0.2">
      <c r="A79" s="37"/>
      <c r="E79" s="66"/>
      <c r="F79" s="66"/>
    </row>
    <row r="80" spans="1:15" x14ac:dyDescent="0.2">
      <c r="A80" s="37"/>
      <c r="B80" s="1" t="s">
        <v>44</v>
      </c>
      <c r="C80" s="27"/>
      <c r="D80" s="28"/>
      <c r="E80" s="399" t="s">
        <v>47</v>
      </c>
      <c r="F80" s="400"/>
      <c r="G80" s="400"/>
      <c r="H80" s="400"/>
      <c r="I80" s="400"/>
      <c r="J80" s="400"/>
      <c r="K80" s="400"/>
      <c r="L80" s="400"/>
      <c r="M80" s="400"/>
    </row>
    <row r="81" spans="1:44" x14ac:dyDescent="0.2">
      <c r="A81" s="37"/>
      <c r="B81" s="2"/>
      <c r="C81" s="43"/>
      <c r="D81" s="225"/>
      <c r="E81" s="390"/>
      <c r="F81" s="391"/>
      <c r="G81" s="391"/>
      <c r="H81" s="391"/>
      <c r="I81" s="391"/>
      <c r="J81" s="391"/>
      <c r="K81" s="391"/>
      <c r="L81" s="391"/>
      <c r="M81" s="392"/>
    </row>
    <row r="82" spans="1:44" x14ac:dyDescent="0.2">
      <c r="A82" s="37"/>
      <c r="B82" s="2"/>
      <c r="C82" s="43"/>
      <c r="D82" s="225"/>
      <c r="E82" s="390"/>
      <c r="F82" s="391"/>
      <c r="G82" s="391"/>
      <c r="H82" s="391"/>
      <c r="I82" s="391"/>
      <c r="J82" s="391"/>
      <c r="K82" s="391"/>
      <c r="L82" s="391"/>
      <c r="M82" s="392"/>
    </row>
    <row r="83" spans="1:44" x14ac:dyDescent="0.2">
      <c r="A83" s="37"/>
      <c r="E83" s="67"/>
      <c r="F83" s="37"/>
    </row>
    <row r="84" spans="1:44" x14ac:dyDescent="0.2">
      <c r="A84" s="37"/>
      <c r="E84" s="67"/>
      <c r="F84" s="37"/>
    </row>
    <row r="85" spans="1:44" s="68" customFormat="1" x14ac:dyDescent="0.2">
      <c r="A85" s="37"/>
      <c r="B85" s="68" t="s">
        <v>66</v>
      </c>
      <c r="C85" s="69"/>
      <c r="D85" s="69" t="s">
        <v>67</v>
      </c>
      <c r="E85" s="70">
        <v>2022</v>
      </c>
      <c r="F85" s="71">
        <v>2023</v>
      </c>
      <c r="G85" s="71">
        <v>2024</v>
      </c>
      <c r="H85" s="71">
        <v>2025</v>
      </c>
      <c r="I85" s="71">
        <v>2026</v>
      </c>
      <c r="J85" s="71">
        <v>2027</v>
      </c>
      <c r="K85" s="71">
        <v>2028</v>
      </c>
      <c r="L85" s="71">
        <v>2029</v>
      </c>
      <c r="M85" s="71">
        <v>2030</v>
      </c>
      <c r="N85" s="71">
        <v>2031</v>
      </c>
      <c r="O85" s="71">
        <v>2032</v>
      </c>
      <c r="P85" s="71">
        <v>2033</v>
      </c>
      <c r="Q85" s="71">
        <v>2034</v>
      </c>
      <c r="R85" s="71">
        <v>2035</v>
      </c>
      <c r="S85" s="71">
        <v>2036</v>
      </c>
      <c r="T85" s="71">
        <v>2037</v>
      </c>
      <c r="U85" s="71">
        <v>2038</v>
      </c>
      <c r="V85" s="71">
        <v>2039</v>
      </c>
      <c r="W85" s="71">
        <v>2040</v>
      </c>
      <c r="X85" s="71">
        <v>2041</v>
      </c>
      <c r="Y85" s="71">
        <v>2042</v>
      </c>
    </row>
    <row r="86" spans="1:44" s="76" customFormat="1" x14ac:dyDescent="0.2">
      <c r="A86" s="72"/>
      <c r="B86" s="15" t="s">
        <v>68</v>
      </c>
      <c r="C86" s="77"/>
      <c r="D86" s="73"/>
      <c r="E86" s="74"/>
      <c r="F86" s="74"/>
      <c r="G86" s="74"/>
      <c r="H86" s="74"/>
      <c r="I86" s="74"/>
      <c r="J86" s="74"/>
      <c r="K86" s="74"/>
      <c r="L86" s="74"/>
      <c r="M86" s="74"/>
      <c r="N86" s="74"/>
      <c r="O86" s="74"/>
      <c r="P86" s="74"/>
      <c r="Q86" s="74"/>
      <c r="R86" s="74"/>
      <c r="S86" s="74"/>
      <c r="T86" s="74"/>
      <c r="U86" s="74"/>
      <c r="V86" s="74"/>
      <c r="W86" s="74"/>
      <c r="X86" s="74"/>
      <c r="Y86" s="74"/>
      <c r="Z86" s="74"/>
      <c r="AA86" s="75"/>
      <c r="AB86" s="75"/>
      <c r="AC86" s="75"/>
      <c r="AD86" s="75"/>
      <c r="AE86" s="75"/>
      <c r="AF86" s="75"/>
      <c r="AG86" s="75"/>
      <c r="AH86" s="75"/>
      <c r="AI86" s="75"/>
      <c r="AJ86" s="75"/>
      <c r="AK86" s="75"/>
      <c r="AL86" s="75"/>
      <c r="AM86" s="75"/>
      <c r="AN86" s="75"/>
      <c r="AO86" s="75"/>
      <c r="AP86" s="75"/>
      <c r="AQ86" s="75"/>
      <c r="AR86" s="75"/>
    </row>
    <row r="87" spans="1:44" s="81" customFormat="1" x14ac:dyDescent="0.2">
      <c r="A87" s="78"/>
      <c r="B87" s="15" t="s">
        <v>69</v>
      </c>
      <c r="C87" s="77"/>
      <c r="D87" s="73" t="s">
        <v>70</v>
      </c>
      <c r="E87" s="79">
        <f t="shared" ref="E87:AR87" si="0">POWER(1+$C$68,E91-$E$91)</f>
        <v>1</v>
      </c>
      <c r="F87" s="79">
        <f t="shared" si="0"/>
        <v>1.0149999999999999</v>
      </c>
      <c r="G87" s="79">
        <f t="shared" si="0"/>
        <v>1.0302249999999997</v>
      </c>
      <c r="H87" s="79">
        <f t="shared" si="0"/>
        <v>1.0456783749999996</v>
      </c>
      <c r="I87" s="79">
        <f t="shared" si="0"/>
        <v>1.0613635506249994</v>
      </c>
      <c r="J87" s="79">
        <f t="shared" si="0"/>
        <v>1.0772840038843743</v>
      </c>
      <c r="K87" s="79">
        <f t="shared" si="0"/>
        <v>1.0934432639426397</v>
      </c>
      <c r="L87" s="79">
        <f t="shared" si="0"/>
        <v>1.1098449129017791</v>
      </c>
      <c r="M87" s="79">
        <f t="shared" si="0"/>
        <v>1.1264925865953057</v>
      </c>
      <c r="N87" s="79">
        <f t="shared" si="0"/>
        <v>1.1433899753942351</v>
      </c>
      <c r="O87" s="79">
        <f t="shared" si="0"/>
        <v>1.1605408250251485</v>
      </c>
      <c r="P87" s="79">
        <f t="shared" si="0"/>
        <v>1.1779489374005256</v>
      </c>
      <c r="Q87" s="79">
        <f t="shared" si="0"/>
        <v>1.1956181714615333</v>
      </c>
      <c r="R87" s="79">
        <f t="shared" si="0"/>
        <v>1.2135524440334562</v>
      </c>
      <c r="S87" s="79">
        <f t="shared" si="0"/>
        <v>1.2317557306939577</v>
      </c>
      <c r="T87" s="79">
        <f t="shared" si="0"/>
        <v>1.2502320666543669</v>
      </c>
      <c r="U87" s="79">
        <f t="shared" si="0"/>
        <v>1.2689855476541823</v>
      </c>
      <c r="V87" s="79">
        <f t="shared" si="0"/>
        <v>1.2880203308689948</v>
      </c>
      <c r="W87" s="79">
        <f t="shared" si="0"/>
        <v>1.3073406358320296</v>
      </c>
      <c r="X87" s="79">
        <f t="shared" si="0"/>
        <v>1.32695074536951</v>
      </c>
      <c r="Y87" s="79">
        <f t="shared" si="0"/>
        <v>1.3468550065500522</v>
      </c>
      <c r="Z87" s="79">
        <f t="shared" si="0"/>
        <v>1.3670578316483029</v>
      </c>
      <c r="AA87" s="80">
        <f t="shared" si="0"/>
        <v>1.3875636991230271</v>
      </c>
      <c r="AB87" s="80">
        <f t="shared" si="0"/>
        <v>1.4083771546098725</v>
      </c>
      <c r="AC87" s="80">
        <f t="shared" si="0"/>
        <v>1.4295028119290203</v>
      </c>
      <c r="AD87" s="80">
        <f t="shared" si="0"/>
        <v>1.4509453541079556</v>
      </c>
      <c r="AE87" s="80">
        <f t="shared" si="0"/>
        <v>1.4727095344195746</v>
      </c>
      <c r="AF87" s="80">
        <f t="shared" si="0"/>
        <v>1.4948001774358681</v>
      </c>
      <c r="AG87" s="80">
        <f t="shared" si="0"/>
        <v>1.5172221800974057</v>
      </c>
      <c r="AH87" s="80">
        <f t="shared" si="0"/>
        <v>1.5399805127988668</v>
      </c>
      <c r="AI87" s="80">
        <f t="shared" si="0"/>
        <v>1.5630802204908494</v>
      </c>
      <c r="AJ87" s="80">
        <f t="shared" si="0"/>
        <v>1.586526423798212</v>
      </c>
      <c r="AK87" s="80">
        <f t="shared" si="0"/>
        <v>1.6103243201551849</v>
      </c>
      <c r="AL87" s="80">
        <f t="shared" si="0"/>
        <v>1.6344791849575124</v>
      </c>
      <c r="AM87" s="80">
        <f t="shared" si="0"/>
        <v>1.6589963727318748</v>
      </c>
      <c r="AN87" s="80">
        <f t="shared" si="0"/>
        <v>1.6838813183228529</v>
      </c>
      <c r="AO87" s="80">
        <f t="shared" si="0"/>
        <v>1.7091395380976955</v>
      </c>
      <c r="AP87" s="80">
        <f t="shared" si="0"/>
        <v>1.7347766311691606</v>
      </c>
      <c r="AQ87" s="80">
        <f t="shared" si="0"/>
        <v>1.7607982806366977</v>
      </c>
      <c r="AR87" s="80">
        <f t="shared" si="0"/>
        <v>1.7872102548462478</v>
      </c>
    </row>
    <row r="88" spans="1:44" x14ac:dyDescent="0.2">
      <c r="A88" s="37"/>
      <c r="E88" s="67"/>
      <c r="F88" s="37"/>
    </row>
    <row r="89" spans="1:44" ht="13.5" thickBot="1" x14ac:dyDescent="0.25">
      <c r="A89" s="37"/>
      <c r="F89" s="37"/>
    </row>
    <row r="90" spans="1:44" ht="15" thickTop="1" x14ac:dyDescent="0.2">
      <c r="A90" s="33"/>
      <c r="B90" s="398" t="s">
        <v>71</v>
      </c>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row>
    <row r="91" spans="1:44" s="37" customFormat="1" x14ac:dyDescent="0.2">
      <c r="A91" s="33"/>
      <c r="B91" s="82" t="s">
        <v>72</v>
      </c>
      <c r="C91" s="83"/>
      <c r="D91" s="84">
        <v>0</v>
      </c>
      <c r="E91" s="84">
        <v>1</v>
      </c>
      <c r="F91" s="84">
        <v>2</v>
      </c>
      <c r="G91" s="84">
        <v>3</v>
      </c>
      <c r="H91" s="84">
        <v>4</v>
      </c>
      <c r="I91" s="84">
        <v>5</v>
      </c>
      <c r="J91" s="84">
        <v>6</v>
      </c>
      <c r="K91" s="84">
        <v>7</v>
      </c>
      <c r="L91" s="84">
        <v>8</v>
      </c>
      <c r="M91" s="84">
        <v>9</v>
      </c>
      <c r="N91" s="84">
        <v>10</v>
      </c>
      <c r="O91" s="84">
        <v>11</v>
      </c>
      <c r="P91" s="84">
        <v>12</v>
      </c>
      <c r="Q91" s="84">
        <v>13</v>
      </c>
      <c r="R91" s="84">
        <v>14</v>
      </c>
      <c r="S91" s="84">
        <v>15</v>
      </c>
      <c r="T91" s="84">
        <v>16</v>
      </c>
      <c r="U91" s="84">
        <v>17</v>
      </c>
      <c r="V91" s="84">
        <v>18</v>
      </c>
      <c r="W91" s="84">
        <v>19</v>
      </c>
      <c r="X91" s="84">
        <v>20</v>
      </c>
      <c r="Y91" s="84">
        <v>21</v>
      </c>
      <c r="Z91" s="84">
        <v>22</v>
      </c>
      <c r="AA91" s="84">
        <v>23</v>
      </c>
      <c r="AB91" s="84">
        <v>24</v>
      </c>
      <c r="AC91" s="84">
        <v>25</v>
      </c>
      <c r="AD91" s="84">
        <v>26</v>
      </c>
      <c r="AE91" s="84">
        <v>27</v>
      </c>
      <c r="AF91" s="84">
        <v>28</v>
      </c>
      <c r="AG91" s="84">
        <v>29</v>
      </c>
      <c r="AH91" s="84">
        <v>30</v>
      </c>
      <c r="AI91" s="84">
        <v>31</v>
      </c>
      <c r="AJ91" s="84">
        <v>32</v>
      </c>
      <c r="AK91" s="84">
        <v>33</v>
      </c>
      <c r="AL91" s="84">
        <v>34</v>
      </c>
      <c r="AM91" s="84">
        <v>35</v>
      </c>
      <c r="AN91" s="84">
        <v>36</v>
      </c>
      <c r="AO91" s="84">
        <v>37</v>
      </c>
      <c r="AP91" s="84">
        <v>38</v>
      </c>
      <c r="AQ91" s="84">
        <v>39</v>
      </c>
      <c r="AR91" s="136">
        <v>40</v>
      </c>
    </row>
    <row r="92" spans="1:44" s="37" customFormat="1" x14ac:dyDescent="0.2">
      <c r="A92" s="33"/>
      <c r="B92" s="4" t="s">
        <v>73</v>
      </c>
      <c r="C92" s="85" t="s">
        <v>64</v>
      </c>
      <c r="D92" s="86">
        <f>-D130</f>
        <v>-1250000</v>
      </c>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137"/>
    </row>
    <row r="93" spans="1:44" s="37" customFormat="1" x14ac:dyDescent="0.2">
      <c r="A93" s="33"/>
      <c r="B93" s="14"/>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90"/>
    </row>
    <row r="94" spans="1:44" s="37" customFormat="1" x14ac:dyDescent="0.2">
      <c r="A94" s="33"/>
      <c r="B94" s="3" t="s">
        <v>334</v>
      </c>
      <c r="C94" s="359" t="str">
        <f>$C$9</f>
        <v>kWh</v>
      </c>
      <c r="D94" s="92"/>
      <c r="E94" s="93">
        <f t="shared" ref="E94:AR94" si="1">IF(E91&lt;=$C$78,$C$25*$C$27,IF(AND(E91&gt;$C$78,E91&lt;=$C$75),$C$25*$C$61,0))*IF($C$29=0,1,$C$30/$C$29)</f>
        <v>2180000</v>
      </c>
      <c r="F94" s="93">
        <f t="shared" si="1"/>
        <v>2180000</v>
      </c>
      <c r="G94" s="93">
        <f t="shared" si="1"/>
        <v>2180000</v>
      </c>
      <c r="H94" s="93">
        <f t="shared" si="1"/>
        <v>2180000</v>
      </c>
      <c r="I94" s="93">
        <f t="shared" si="1"/>
        <v>2180000</v>
      </c>
      <c r="J94" s="93">
        <f t="shared" si="1"/>
        <v>2180000</v>
      </c>
      <c r="K94" s="93">
        <f t="shared" si="1"/>
        <v>2180000</v>
      </c>
      <c r="L94" s="93">
        <f t="shared" si="1"/>
        <v>2180000</v>
      </c>
      <c r="M94" s="93">
        <f t="shared" si="1"/>
        <v>2180000</v>
      </c>
      <c r="N94" s="93">
        <f t="shared" si="1"/>
        <v>2180000</v>
      </c>
      <c r="O94" s="93">
        <f t="shared" si="1"/>
        <v>2180000</v>
      </c>
      <c r="P94" s="93">
        <f t="shared" si="1"/>
        <v>2180000</v>
      </c>
      <c r="Q94" s="93">
        <f t="shared" si="1"/>
        <v>2180000</v>
      </c>
      <c r="R94" s="93">
        <f t="shared" si="1"/>
        <v>2180000</v>
      </c>
      <c r="S94" s="93">
        <f t="shared" si="1"/>
        <v>2180000</v>
      </c>
      <c r="T94" s="93">
        <f t="shared" si="1"/>
        <v>2180000</v>
      </c>
      <c r="U94" s="93">
        <f t="shared" si="1"/>
        <v>2180000</v>
      </c>
      <c r="V94" s="93">
        <f t="shared" si="1"/>
        <v>2180000</v>
      </c>
      <c r="W94" s="93">
        <f t="shared" si="1"/>
        <v>2180000</v>
      </c>
      <c r="X94" s="93">
        <f t="shared" si="1"/>
        <v>2180000</v>
      </c>
      <c r="Y94" s="93">
        <f t="shared" si="1"/>
        <v>0</v>
      </c>
      <c r="Z94" s="93">
        <f t="shared" si="1"/>
        <v>0</v>
      </c>
      <c r="AA94" s="93">
        <f t="shared" si="1"/>
        <v>0</v>
      </c>
      <c r="AB94" s="93">
        <f t="shared" si="1"/>
        <v>0</v>
      </c>
      <c r="AC94" s="93">
        <f t="shared" si="1"/>
        <v>0</v>
      </c>
      <c r="AD94" s="93">
        <f t="shared" si="1"/>
        <v>0</v>
      </c>
      <c r="AE94" s="93">
        <f t="shared" si="1"/>
        <v>0</v>
      </c>
      <c r="AF94" s="93">
        <f t="shared" si="1"/>
        <v>0</v>
      </c>
      <c r="AG94" s="93">
        <f t="shared" si="1"/>
        <v>0</v>
      </c>
      <c r="AH94" s="93">
        <f t="shared" si="1"/>
        <v>0</v>
      </c>
      <c r="AI94" s="93">
        <f t="shared" si="1"/>
        <v>0</v>
      </c>
      <c r="AJ94" s="93">
        <f t="shared" si="1"/>
        <v>0</v>
      </c>
      <c r="AK94" s="93">
        <f t="shared" si="1"/>
        <v>0</v>
      </c>
      <c r="AL94" s="93">
        <f t="shared" si="1"/>
        <v>0</v>
      </c>
      <c r="AM94" s="93">
        <f t="shared" si="1"/>
        <v>0</v>
      </c>
      <c r="AN94" s="93">
        <f t="shared" si="1"/>
        <v>0</v>
      </c>
      <c r="AO94" s="93">
        <f t="shared" si="1"/>
        <v>0</v>
      </c>
      <c r="AP94" s="93">
        <f t="shared" si="1"/>
        <v>0</v>
      </c>
      <c r="AQ94" s="93">
        <f t="shared" si="1"/>
        <v>0</v>
      </c>
      <c r="AR94" s="93">
        <f t="shared" si="1"/>
        <v>0</v>
      </c>
    </row>
    <row r="95" spans="1:44" s="37" customFormat="1" x14ac:dyDescent="0.2">
      <c r="A95" s="33"/>
      <c r="B95" s="94" t="s">
        <v>333</v>
      </c>
      <c r="C95" s="359" t="str">
        <f>$C$9</f>
        <v>kWh</v>
      </c>
      <c r="D95" s="75"/>
      <c r="E95" s="96">
        <f>IF($C$20="Ja",0,IF(E91&lt;=$C$78,$C$23*$C$26,IF(AND(E91&gt;$C$78,E91&lt;=$C$75),$C$23*$C$63,0)))</f>
        <v>0</v>
      </c>
      <c r="F95" s="96">
        <f t="shared" ref="F95:AR95" si="2">IF($C$20="Ja",0,IF(F91&lt;=$C$78,$C$23*$C$26,IF(AND(F91&gt;$C$78,F91&lt;=$C$75),$C$23*$C$63,0)))</f>
        <v>0</v>
      </c>
      <c r="G95" s="96">
        <f t="shared" si="2"/>
        <v>0</v>
      </c>
      <c r="H95" s="96">
        <f t="shared" si="2"/>
        <v>0</v>
      </c>
      <c r="I95" s="96">
        <f t="shared" si="2"/>
        <v>0</v>
      </c>
      <c r="J95" s="96">
        <f t="shared" si="2"/>
        <v>0</v>
      </c>
      <c r="K95" s="96">
        <f t="shared" si="2"/>
        <v>0</v>
      </c>
      <c r="L95" s="96">
        <f t="shared" si="2"/>
        <v>0</v>
      </c>
      <c r="M95" s="96">
        <f t="shared" si="2"/>
        <v>0</v>
      </c>
      <c r="N95" s="96">
        <f t="shared" si="2"/>
        <v>0</v>
      </c>
      <c r="O95" s="96">
        <f t="shared" si="2"/>
        <v>0</v>
      </c>
      <c r="P95" s="96">
        <f t="shared" si="2"/>
        <v>0</v>
      </c>
      <c r="Q95" s="96">
        <f t="shared" si="2"/>
        <v>0</v>
      </c>
      <c r="R95" s="96">
        <f t="shared" si="2"/>
        <v>0</v>
      </c>
      <c r="S95" s="96">
        <f t="shared" si="2"/>
        <v>0</v>
      </c>
      <c r="T95" s="96">
        <f t="shared" si="2"/>
        <v>0</v>
      </c>
      <c r="U95" s="96">
        <f t="shared" si="2"/>
        <v>0</v>
      </c>
      <c r="V95" s="96">
        <f t="shared" si="2"/>
        <v>0</v>
      </c>
      <c r="W95" s="96">
        <f t="shared" si="2"/>
        <v>0</v>
      </c>
      <c r="X95" s="96">
        <f t="shared" si="2"/>
        <v>0</v>
      </c>
      <c r="Y95" s="96">
        <f t="shared" si="2"/>
        <v>0</v>
      </c>
      <c r="Z95" s="96">
        <f t="shared" si="2"/>
        <v>0</v>
      </c>
      <c r="AA95" s="96">
        <f t="shared" si="2"/>
        <v>0</v>
      </c>
      <c r="AB95" s="96">
        <f t="shared" si="2"/>
        <v>0</v>
      </c>
      <c r="AC95" s="96">
        <f t="shared" si="2"/>
        <v>0</v>
      </c>
      <c r="AD95" s="96">
        <f t="shared" si="2"/>
        <v>0</v>
      </c>
      <c r="AE95" s="96">
        <f t="shared" si="2"/>
        <v>0</v>
      </c>
      <c r="AF95" s="96">
        <f t="shared" si="2"/>
        <v>0</v>
      </c>
      <c r="AG95" s="96">
        <f t="shared" si="2"/>
        <v>0</v>
      </c>
      <c r="AH95" s="96">
        <f t="shared" si="2"/>
        <v>0</v>
      </c>
      <c r="AI95" s="96">
        <f t="shared" si="2"/>
        <v>0</v>
      </c>
      <c r="AJ95" s="96">
        <f t="shared" si="2"/>
        <v>0</v>
      </c>
      <c r="AK95" s="96">
        <f t="shared" si="2"/>
        <v>0</v>
      </c>
      <c r="AL95" s="96">
        <f t="shared" si="2"/>
        <v>0</v>
      </c>
      <c r="AM95" s="96">
        <f t="shared" si="2"/>
        <v>0</v>
      </c>
      <c r="AN95" s="96">
        <f t="shared" si="2"/>
        <v>0</v>
      </c>
      <c r="AO95" s="96">
        <f t="shared" si="2"/>
        <v>0</v>
      </c>
      <c r="AP95" s="96">
        <f t="shared" si="2"/>
        <v>0</v>
      </c>
      <c r="AQ95" s="96">
        <f t="shared" si="2"/>
        <v>0</v>
      </c>
      <c r="AR95" s="96">
        <f t="shared" si="2"/>
        <v>0</v>
      </c>
    </row>
    <row r="96" spans="1:44" s="37" customFormat="1" x14ac:dyDescent="0.2">
      <c r="A96" s="33"/>
      <c r="B96" s="94" t="s">
        <v>74</v>
      </c>
      <c r="C96" s="95" t="s">
        <v>75</v>
      </c>
      <c r="D96" s="75"/>
      <c r="E96" s="96">
        <f t="shared" ref="E96:AR96" si="3">IF(OR(E91&gt;$C$75,$C$20&lt;&gt;"JA"),0,$C$23*$C$26*$C$15/$C$14)</f>
        <v>0</v>
      </c>
      <c r="F96" s="96">
        <f t="shared" si="3"/>
        <v>0</v>
      </c>
      <c r="G96" s="96">
        <f t="shared" si="3"/>
        <v>0</v>
      </c>
      <c r="H96" s="96">
        <f t="shared" si="3"/>
        <v>0</v>
      </c>
      <c r="I96" s="96">
        <f t="shared" si="3"/>
        <v>0</v>
      </c>
      <c r="J96" s="96">
        <f t="shared" si="3"/>
        <v>0</v>
      </c>
      <c r="K96" s="96">
        <f t="shared" si="3"/>
        <v>0</v>
      </c>
      <c r="L96" s="96">
        <f t="shared" si="3"/>
        <v>0</v>
      </c>
      <c r="M96" s="96">
        <f t="shared" si="3"/>
        <v>0</v>
      </c>
      <c r="N96" s="96">
        <f t="shared" si="3"/>
        <v>0</v>
      </c>
      <c r="O96" s="96">
        <f t="shared" si="3"/>
        <v>0</v>
      </c>
      <c r="P96" s="96">
        <f t="shared" si="3"/>
        <v>0</v>
      </c>
      <c r="Q96" s="96">
        <f t="shared" si="3"/>
        <v>0</v>
      </c>
      <c r="R96" s="96">
        <f t="shared" si="3"/>
        <v>0</v>
      </c>
      <c r="S96" s="96">
        <f t="shared" si="3"/>
        <v>0</v>
      </c>
      <c r="T96" s="96">
        <f t="shared" si="3"/>
        <v>0</v>
      </c>
      <c r="U96" s="96">
        <f t="shared" si="3"/>
        <v>0</v>
      </c>
      <c r="V96" s="96">
        <f t="shared" si="3"/>
        <v>0</v>
      </c>
      <c r="W96" s="96">
        <f t="shared" si="3"/>
        <v>0</v>
      </c>
      <c r="X96" s="96">
        <f t="shared" si="3"/>
        <v>0</v>
      </c>
      <c r="Y96" s="96">
        <f t="shared" si="3"/>
        <v>0</v>
      </c>
      <c r="Z96" s="96">
        <f t="shared" si="3"/>
        <v>0</v>
      </c>
      <c r="AA96" s="96">
        <f t="shared" si="3"/>
        <v>0</v>
      </c>
      <c r="AB96" s="96">
        <f t="shared" si="3"/>
        <v>0</v>
      </c>
      <c r="AC96" s="96">
        <f t="shared" si="3"/>
        <v>0</v>
      </c>
      <c r="AD96" s="96">
        <f t="shared" si="3"/>
        <v>0</v>
      </c>
      <c r="AE96" s="96">
        <f t="shared" si="3"/>
        <v>0</v>
      </c>
      <c r="AF96" s="96">
        <f t="shared" si="3"/>
        <v>0</v>
      </c>
      <c r="AG96" s="96">
        <f t="shared" si="3"/>
        <v>0</v>
      </c>
      <c r="AH96" s="96">
        <f t="shared" si="3"/>
        <v>0</v>
      </c>
      <c r="AI96" s="96">
        <f t="shared" si="3"/>
        <v>0</v>
      </c>
      <c r="AJ96" s="96">
        <f t="shared" si="3"/>
        <v>0</v>
      </c>
      <c r="AK96" s="96">
        <f t="shared" si="3"/>
        <v>0</v>
      </c>
      <c r="AL96" s="96">
        <f t="shared" si="3"/>
        <v>0</v>
      </c>
      <c r="AM96" s="96">
        <f t="shared" si="3"/>
        <v>0</v>
      </c>
      <c r="AN96" s="96">
        <f t="shared" si="3"/>
        <v>0</v>
      </c>
      <c r="AO96" s="96">
        <f t="shared" si="3"/>
        <v>0</v>
      </c>
      <c r="AP96" s="96">
        <f t="shared" si="3"/>
        <v>0</v>
      </c>
      <c r="AQ96" s="96">
        <f t="shared" si="3"/>
        <v>0</v>
      </c>
      <c r="AR96" s="101">
        <f t="shared" si="3"/>
        <v>0</v>
      </c>
    </row>
    <row r="97" spans="1:44" s="37" customFormat="1" x14ac:dyDescent="0.2">
      <c r="A97" s="33"/>
      <c r="B97" s="97" t="s">
        <v>355</v>
      </c>
      <c r="C97" s="360" t="str">
        <f>$C$9</f>
        <v>kWh</v>
      </c>
      <c r="D97" s="98"/>
      <c r="E97" s="99">
        <f>SUM(E94:E96)</f>
        <v>2180000</v>
      </c>
      <c r="F97" s="99">
        <f t="shared" ref="F97:AR97" si="4">SUM(F94:F96)</f>
        <v>2180000</v>
      </c>
      <c r="G97" s="99">
        <f t="shared" si="4"/>
        <v>2180000</v>
      </c>
      <c r="H97" s="99">
        <f t="shared" si="4"/>
        <v>2180000</v>
      </c>
      <c r="I97" s="99">
        <f t="shared" si="4"/>
        <v>2180000</v>
      </c>
      <c r="J97" s="99">
        <f t="shared" si="4"/>
        <v>2180000</v>
      </c>
      <c r="K97" s="99">
        <f t="shared" si="4"/>
        <v>2180000</v>
      </c>
      <c r="L97" s="99">
        <f t="shared" si="4"/>
        <v>2180000</v>
      </c>
      <c r="M97" s="99">
        <f t="shared" si="4"/>
        <v>2180000</v>
      </c>
      <c r="N97" s="99">
        <f t="shared" si="4"/>
        <v>2180000</v>
      </c>
      <c r="O97" s="99">
        <f t="shared" si="4"/>
        <v>2180000</v>
      </c>
      <c r="P97" s="99">
        <f t="shared" si="4"/>
        <v>2180000</v>
      </c>
      <c r="Q97" s="99">
        <f t="shared" si="4"/>
        <v>2180000</v>
      </c>
      <c r="R97" s="99">
        <f t="shared" si="4"/>
        <v>2180000</v>
      </c>
      <c r="S97" s="99">
        <f t="shared" si="4"/>
        <v>2180000</v>
      </c>
      <c r="T97" s="99">
        <f t="shared" si="4"/>
        <v>2180000</v>
      </c>
      <c r="U97" s="99">
        <f t="shared" si="4"/>
        <v>2180000</v>
      </c>
      <c r="V97" s="99">
        <f t="shared" si="4"/>
        <v>2180000</v>
      </c>
      <c r="W97" s="99">
        <f t="shared" si="4"/>
        <v>2180000</v>
      </c>
      <c r="X97" s="99">
        <f t="shared" si="4"/>
        <v>2180000</v>
      </c>
      <c r="Y97" s="99">
        <f t="shared" si="4"/>
        <v>0</v>
      </c>
      <c r="Z97" s="99">
        <f t="shared" si="4"/>
        <v>0</v>
      </c>
      <c r="AA97" s="99">
        <f t="shared" si="4"/>
        <v>0</v>
      </c>
      <c r="AB97" s="99">
        <f t="shared" si="4"/>
        <v>0</v>
      </c>
      <c r="AC97" s="99">
        <f t="shared" si="4"/>
        <v>0</v>
      </c>
      <c r="AD97" s="99">
        <f t="shared" si="4"/>
        <v>0</v>
      </c>
      <c r="AE97" s="99">
        <f t="shared" si="4"/>
        <v>0</v>
      </c>
      <c r="AF97" s="99">
        <f t="shared" si="4"/>
        <v>0</v>
      </c>
      <c r="AG97" s="99">
        <f t="shared" si="4"/>
        <v>0</v>
      </c>
      <c r="AH97" s="99">
        <f t="shared" si="4"/>
        <v>0</v>
      </c>
      <c r="AI97" s="99">
        <f t="shared" si="4"/>
        <v>0</v>
      </c>
      <c r="AJ97" s="99">
        <f t="shared" si="4"/>
        <v>0</v>
      </c>
      <c r="AK97" s="99">
        <f t="shared" si="4"/>
        <v>0</v>
      </c>
      <c r="AL97" s="99">
        <f t="shared" si="4"/>
        <v>0</v>
      </c>
      <c r="AM97" s="99">
        <f t="shared" si="4"/>
        <v>0</v>
      </c>
      <c r="AN97" s="99">
        <f t="shared" si="4"/>
        <v>0</v>
      </c>
      <c r="AO97" s="99">
        <f t="shared" si="4"/>
        <v>0</v>
      </c>
      <c r="AP97" s="99">
        <f t="shared" si="4"/>
        <v>0</v>
      </c>
      <c r="AQ97" s="99">
        <f t="shared" si="4"/>
        <v>0</v>
      </c>
      <c r="AR97" s="138">
        <f t="shared" si="4"/>
        <v>0</v>
      </c>
    </row>
    <row r="98" spans="1:44" s="37" customFormat="1" x14ac:dyDescent="0.2">
      <c r="A98" s="33"/>
      <c r="B98" s="14"/>
      <c r="C98" s="88"/>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90"/>
    </row>
    <row r="99" spans="1:44" s="37" customFormat="1" x14ac:dyDescent="0.2">
      <c r="A99" s="33"/>
      <c r="B99" s="3" t="s">
        <v>76</v>
      </c>
      <c r="C99" s="91" t="s">
        <v>64</v>
      </c>
      <c r="D99" s="92"/>
      <c r="E99" s="93">
        <f t="shared" ref="E99:AR99" si="5">IF(E91&gt;$C$75,0,-E87*(($C$37*$C$19+$C$38*SUM($C$23,$C$25))+E97*$C$40))+IF($C$81=E91,$D$81*E87,0)</f>
        <v>-56520</v>
      </c>
      <c r="F99" s="93">
        <f t="shared" si="5"/>
        <v>-57367.799999999996</v>
      </c>
      <c r="G99" s="93">
        <f t="shared" si="5"/>
        <v>-58228.316999999981</v>
      </c>
      <c r="H99" s="93">
        <f t="shared" si="5"/>
        <v>-59101.741754999981</v>
      </c>
      <c r="I99" s="93">
        <f t="shared" si="5"/>
        <v>-59988.267881324966</v>
      </c>
      <c r="J99" s="93">
        <f t="shared" si="5"/>
        <v>-60888.091899544837</v>
      </c>
      <c r="K99" s="93">
        <f t="shared" si="5"/>
        <v>-61801.413278037995</v>
      </c>
      <c r="L99" s="93">
        <f t="shared" si="5"/>
        <v>-62728.434477208553</v>
      </c>
      <c r="M99" s="93">
        <f t="shared" si="5"/>
        <v>-63669.360994366682</v>
      </c>
      <c r="N99" s="93">
        <f t="shared" si="5"/>
        <v>-64624.401409282167</v>
      </c>
      <c r="O99" s="93">
        <f t="shared" si="5"/>
        <v>-65593.767430421402</v>
      </c>
      <c r="P99" s="93">
        <f t="shared" si="5"/>
        <v>-66577.673941877714</v>
      </c>
      <c r="Q99" s="93">
        <f t="shared" si="5"/>
        <v>-67576.339051005867</v>
      </c>
      <c r="R99" s="93">
        <f t="shared" si="5"/>
        <v>-68589.984136770945</v>
      </c>
      <c r="S99" s="93">
        <f t="shared" si="5"/>
        <v>-69618.833898822486</v>
      </c>
      <c r="T99" s="93">
        <f t="shared" si="5"/>
        <v>-70663.116407304813</v>
      </c>
      <c r="U99" s="93">
        <f t="shared" si="5"/>
        <v>-71723.063153414376</v>
      </c>
      <c r="V99" s="93">
        <f t="shared" si="5"/>
        <v>-72798.90910071558</v>
      </c>
      <c r="W99" s="93">
        <f t="shared" si="5"/>
        <v>-73890.892737226313</v>
      </c>
      <c r="X99" s="93">
        <f t="shared" si="5"/>
        <v>-74999.256128284702</v>
      </c>
      <c r="Y99" s="93">
        <f t="shared" si="5"/>
        <v>0</v>
      </c>
      <c r="Z99" s="93">
        <f t="shared" si="5"/>
        <v>0</v>
      </c>
      <c r="AA99" s="93">
        <f t="shared" si="5"/>
        <v>0</v>
      </c>
      <c r="AB99" s="93">
        <f t="shared" si="5"/>
        <v>0</v>
      </c>
      <c r="AC99" s="93">
        <f t="shared" si="5"/>
        <v>0</v>
      </c>
      <c r="AD99" s="93">
        <f t="shared" si="5"/>
        <v>0</v>
      </c>
      <c r="AE99" s="93">
        <f t="shared" si="5"/>
        <v>0</v>
      </c>
      <c r="AF99" s="93">
        <f t="shared" si="5"/>
        <v>0</v>
      </c>
      <c r="AG99" s="93">
        <f t="shared" si="5"/>
        <v>0</v>
      </c>
      <c r="AH99" s="93">
        <f t="shared" si="5"/>
        <v>0</v>
      </c>
      <c r="AI99" s="93">
        <f t="shared" si="5"/>
        <v>0</v>
      </c>
      <c r="AJ99" s="93">
        <f t="shared" si="5"/>
        <v>0</v>
      </c>
      <c r="AK99" s="93">
        <f t="shared" si="5"/>
        <v>0</v>
      </c>
      <c r="AL99" s="93">
        <f t="shared" si="5"/>
        <v>0</v>
      </c>
      <c r="AM99" s="93">
        <f t="shared" si="5"/>
        <v>0</v>
      </c>
      <c r="AN99" s="93">
        <f t="shared" si="5"/>
        <v>0</v>
      </c>
      <c r="AO99" s="93">
        <f t="shared" si="5"/>
        <v>0</v>
      </c>
      <c r="AP99" s="93">
        <f t="shared" si="5"/>
        <v>0</v>
      </c>
      <c r="AQ99" s="93">
        <f t="shared" si="5"/>
        <v>0</v>
      </c>
      <c r="AR99" s="107">
        <f t="shared" si="5"/>
        <v>0</v>
      </c>
    </row>
    <row r="100" spans="1:44" s="37" customFormat="1" x14ac:dyDescent="0.2">
      <c r="A100" s="33"/>
      <c r="B100" s="94" t="s">
        <v>332</v>
      </c>
      <c r="C100" s="95" t="s">
        <v>64</v>
      </c>
      <c r="D100" s="75"/>
      <c r="E100" s="96">
        <f t="shared" ref="E100:AR100" si="6">IF(OR(E91&gt;$C$75, $C$42=0), 0, -E87*$C$44/$C$42*$C$19*MAX($C$26,$C$27)*$C$16/1000)</f>
        <v>0</v>
      </c>
      <c r="F100" s="96">
        <f t="shared" si="6"/>
        <v>0</v>
      </c>
      <c r="G100" s="96">
        <f t="shared" si="6"/>
        <v>0</v>
      </c>
      <c r="H100" s="96">
        <f t="shared" si="6"/>
        <v>0</v>
      </c>
      <c r="I100" s="96">
        <f t="shared" si="6"/>
        <v>0</v>
      </c>
      <c r="J100" s="96">
        <f t="shared" si="6"/>
        <v>0</v>
      </c>
      <c r="K100" s="96">
        <f t="shared" si="6"/>
        <v>0</v>
      </c>
      <c r="L100" s="96">
        <f t="shared" si="6"/>
        <v>0</v>
      </c>
      <c r="M100" s="96">
        <f t="shared" si="6"/>
        <v>0</v>
      </c>
      <c r="N100" s="96">
        <f t="shared" si="6"/>
        <v>0</v>
      </c>
      <c r="O100" s="96">
        <f t="shared" si="6"/>
        <v>0</v>
      </c>
      <c r="P100" s="96">
        <f t="shared" si="6"/>
        <v>0</v>
      </c>
      <c r="Q100" s="96">
        <f t="shared" si="6"/>
        <v>0</v>
      </c>
      <c r="R100" s="96">
        <f t="shared" si="6"/>
        <v>0</v>
      </c>
      <c r="S100" s="96">
        <f t="shared" si="6"/>
        <v>0</v>
      </c>
      <c r="T100" s="96">
        <f t="shared" si="6"/>
        <v>0</v>
      </c>
      <c r="U100" s="96">
        <f t="shared" si="6"/>
        <v>0</v>
      </c>
      <c r="V100" s="96">
        <f t="shared" si="6"/>
        <v>0</v>
      </c>
      <c r="W100" s="96">
        <f t="shared" si="6"/>
        <v>0</v>
      </c>
      <c r="X100" s="96">
        <f t="shared" si="6"/>
        <v>0</v>
      </c>
      <c r="Y100" s="96">
        <f t="shared" si="6"/>
        <v>0</v>
      </c>
      <c r="Z100" s="96">
        <f t="shared" si="6"/>
        <v>0</v>
      </c>
      <c r="AA100" s="96">
        <f t="shared" si="6"/>
        <v>0</v>
      </c>
      <c r="AB100" s="96">
        <f t="shared" si="6"/>
        <v>0</v>
      </c>
      <c r="AC100" s="96">
        <f t="shared" si="6"/>
        <v>0</v>
      </c>
      <c r="AD100" s="96">
        <f t="shared" si="6"/>
        <v>0</v>
      </c>
      <c r="AE100" s="96">
        <f t="shared" si="6"/>
        <v>0</v>
      </c>
      <c r="AF100" s="96">
        <f t="shared" si="6"/>
        <v>0</v>
      </c>
      <c r="AG100" s="96">
        <f t="shared" si="6"/>
        <v>0</v>
      </c>
      <c r="AH100" s="96">
        <f t="shared" si="6"/>
        <v>0</v>
      </c>
      <c r="AI100" s="96">
        <f t="shared" si="6"/>
        <v>0</v>
      </c>
      <c r="AJ100" s="96">
        <f t="shared" si="6"/>
        <v>0</v>
      </c>
      <c r="AK100" s="96">
        <f t="shared" si="6"/>
        <v>0</v>
      </c>
      <c r="AL100" s="96">
        <f t="shared" si="6"/>
        <v>0</v>
      </c>
      <c r="AM100" s="96">
        <f t="shared" si="6"/>
        <v>0</v>
      </c>
      <c r="AN100" s="96">
        <f t="shared" si="6"/>
        <v>0</v>
      </c>
      <c r="AO100" s="96">
        <f t="shared" si="6"/>
        <v>0</v>
      </c>
      <c r="AP100" s="96">
        <f t="shared" si="6"/>
        <v>0</v>
      </c>
      <c r="AQ100" s="96">
        <f t="shared" si="6"/>
        <v>0</v>
      </c>
      <c r="AR100" s="101">
        <f t="shared" si="6"/>
        <v>0</v>
      </c>
    </row>
    <row r="101" spans="1:44" s="37" customFormat="1" x14ac:dyDescent="0.2">
      <c r="A101" s="33"/>
      <c r="B101" s="94" t="s">
        <v>77</v>
      </c>
      <c r="C101" s="95" t="s">
        <v>78</v>
      </c>
      <c r="D101" s="75"/>
      <c r="E101" s="100">
        <f>IF(AND(E91&gt;$C$78,E91&lt;=$C$75),(IF($C$61&gt;0,$C$60,0)), )</f>
        <v>0</v>
      </c>
      <c r="F101" s="100">
        <f t="shared" ref="F101:AR101" si="7">IF(AND(F91&gt;$C$78,F91&lt;=$C$75),(IF($C$61&gt;0,$C$60,0)), )</f>
        <v>0</v>
      </c>
      <c r="G101" s="100">
        <f t="shared" si="7"/>
        <v>0</v>
      </c>
      <c r="H101" s="100">
        <f t="shared" si="7"/>
        <v>0</v>
      </c>
      <c r="I101" s="100">
        <f t="shared" si="7"/>
        <v>0</v>
      </c>
      <c r="J101" s="100">
        <f t="shared" si="7"/>
        <v>0</v>
      </c>
      <c r="K101" s="100">
        <f t="shared" si="7"/>
        <v>0</v>
      </c>
      <c r="L101" s="100">
        <f t="shared" si="7"/>
        <v>0</v>
      </c>
      <c r="M101" s="100">
        <f t="shared" si="7"/>
        <v>0</v>
      </c>
      <c r="N101" s="100">
        <f t="shared" si="7"/>
        <v>0</v>
      </c>
      <c r="O101" s="100">
        <f t="shared" si="7"/>
        <v>0</v>
      </c>
      <c r="P101" s="100">
        <f t="shared" si="7"/>
        <v>0</v>
      </c>
      <c r="Q101" s="100">
        <f t="shared" si="7"/>
        <v>0</v>
      </c>
      <c r="R101" s="100">
        <f t="shared" si="7"/>
        <v>0</v>
      </c>
      <c r="S101" s="100">
        <f t="shared" si="7"/>
        <v>0</v>
      </c>
      <c r="T101" s="100">
        <f t="shared" si="7"/>
        <v>3.1E-2</v>
      </c>
      <c r="U101" s="100">
        <f t="shared" si="7"/>
        <v>3.1E-2</v>
      </c>
      <c r="V101" s="100">
        <f t="shared" si="7"/>
        <v>3.1E-2</v>
      </c>
      <c r="W101" s="100">
        <f t="shared" si="7"/>
        <v>3.1E-2</v>
      </c>
      <c r="X101" s="100">
        <f t="shared" si="7"/>
        <v>3.1E-2</v>
      </c>
      <c r="Y101" s="100">
        <f t="shared" si="7"/>
        <v>0</v>
      </c>
      <c r="Z101" s="100">
        <f t="shared" si="7"/>
        <v>0</v>
      </c>
      <c r="AA101" s="100">
        <f t="shared" si="7"/>
        <v>0</v>
      </c>
      <c r="AB101" s="100">
        <f t="shared" si="7"/>
        <v>0</v>
      </c>
      <c r="AC101" s="100">
        <f t="shared" si="7"/>
        <v>0</v>
      </c>
      <c r="AD101" s="100">
        <f t="shared" si="7"/>
        <v>0</v>
      </c>
      <c r="AE101" s="100">
        <f t="shared" si="7"/>
        <v>0</v>
      </c>
      <c r="AF101" s="100">
        <f t="shared" si="7"/>
        <v>0</v>
      </c>
      <c r="AG101" s="100">
        <f t="shared" si="7"/>
        <v>0</v>
      </c>
      <c r="AH101" s="100">
        <f t="shared" si="7"/>
        <v>0</v>
      </c>
      <c r="AI101" s="100">
        <f t="shared" si="7"/>
        <v>0</v>
      </c>
      <c r="AJ101" s="100">
        <f t="shared" si="7"/>
        <v>0</v>
      </c>
      <c r="AK101" s="100">
        <f t="shared" si="7"/>
        <v>0</v>
      </c>
      <c r="AL101" s="100">
        <f t="shared" si="7"/>
        <v>0</v>
      </c>
      <c r="AM101" s="100">
        <f t="shared" si="7"/>
        <v>0</v>
      </c>
      <c r="AN101" s="100">
        <f t="shared" si="7"/>
        <v>0</v>
      </c>
      <c r="AO101" s="100">
        <f t="shared" si="7"/>
        <v>0</v>
      </c>
      <c r="AP101" s="100">
        <f t="shared" si="7"/>
        <v>0</v>
      </c>
      <c r="AQ101" s="100">
        <f t="shared" si="7"/>
        <v>0</v>
      </c>
      <c r="AR101" s="100">
        <f t="shared" si="7"/>
        <v>0</v>
      </c>
    </row>
    <row r="102" spans="1:44" s="37" customFormat="1" x14ac:dyDescent="0.2">
      <c r="A102" s="33"/>
      <c r="B102" s="94" t="s">
        <v>79</v>
      </c>
      <c r="C102" s="95" t="s">
        <v>78</v>
      </c>
      <c r="D102" s="75"/>
      <c r="E102" s="100">
        <f>IF($C$20="Ja",0,IF(AND(E91&gt;$C$78,E91&lt;=$C$75),(IF($C$63&gt;0,$C$62,0)), ))</f>
        <v>0</v>
      </c>
      <c r="F102" s="100">
        <f t="shared" ref="F102:AR102" si="8">IF($C$20="Ja",0,IF(AND(F91&gt;$C$78,F91&lt;=$C$75),(IF($C$63&gt;0,$C$62,0)), ))</f>
        <v>0</v>
      </c>
      <c r="G102" s="100">
        <f t="shared" si="8"/>
        <v>0</v>
      </c>
      <c r="H102" s="100">
        <f t="shared" si="8"/>
        <v>0</v>
      </c>
      <c r="I102" s="100">
        <f t="shared" si="8"/>
        <v>0</v>
      </c>
      <c r="J102" s="100">
        <f t="shared" si="8"/>
        <v>0</v>
      </c>
      <c r="K102" s="100">
        <f t="shared" si="8"/>
        <v>0</v>
      </c>
      <c r="L102" s="100">
        <f t="shared" si="8"/>
        <v>0</v>
      </c>
      <c r="M102" s="100">
        <f t="shared" si="8"/>
        <v>0</v>
      </c>
      <c r="N102" s="100">
        <f t="shared" si="8"/>
        <v>0</v>
      </c>
      <c r="O102" s="100">
        <f t="shared" si="8"/>
        <v>0</v>
      </c>
      <c r="P102" s="100">
        <f t="shared" si="8"/>
        <v>0</v>
      </c>
      <c r="Q102" s="100">
        <f t="shared" si="8"/>
        <v>0</v>
      </c>
      <c r="R102" s="100">
        <f t="shared" si="8"/>
        <v>0</v>
      </c>
      <c r="S102" s="100">
        <f t="shared" si="8"/>
        <v>0</v>
      </c>
      <c r="T102" s="100">
        <f t="shared" si="8"/>
        <v>0</v>
      </c>
      <c r="U102" s="100">
        <f t="shared" si="8"/>
        <v>0</v>
      </c>
      <c r="V102" s="100">
        <f t="shared" si="8"/>
        <v>0</v>
      </c>
      <c r="W102" s="100">
        <f t="shared" si="8"/>
        <v>0</v>
      </c>
      <c r="X102" s="100">
        <f t="shared" si="8"/>
        <v>0</v>
      </c>
      <c r="Y102" s="100">
        <f t="shared" si="8"/>
        <v>0</v>
      </c>
      <c r="Z102" s="100">
        <f t="shared" si="8"/>
        <v>0</v>
      </c>
      <c r="AA102" s="100">
        <f t="shared" si="8"/>
        <v>0</v>
      </c>
      <c r="AB102" s="100">
        <f t="shared" si="8"/>
        <v>0</v>
      </c>
      <c r="AC102" s="100">
        <f t="shared" si="8"/>
        <v>0</v>
      </c>
      <c r="AD102" s="100">
        <f t="shared" si="8"/>
        <v>0</v>
      </c>
      <c r="AE102" s="100">
        <f t="shared" si="8"/>
        <v>0</v>
      </c>
      <c r="AF102" s="100">
        <f t="shared" si="8"/>
        <v>0</v>
      </c>
      <c r="AG102" s="100">
        <f t="shared" si="8"/>
        <v>0</v>
      </c>
      <c r="AH102" s="100">
        <f t="shared" si="8"/>
        <v>0</v>
      </c>
      <c r="AI102" s="100">
        <f t="shared" si="8"/>
        <v>0</v>
      </c>
      <c r="AJ102" s="100">
        <f t="shared" si="8"/>
        <v>0</v>
      </c>
      <c r="AK102" s="100">
        <f t="shared" si="8"/>
        <v>0</v>
      </c>
      <c r="AL102" s="100">
        <f t="shared" si="8"/>
        <v>0</v>
      </c>
      <c r="AM102" s="100">
        <f t="shared" si="8"/>
        <v>0</v>
      </c>
      <c r="AN102" s="100">
        <f t="shared" si="8"/>
        <v>0</v>
      </c>
      <c r="AO102" s="100">
        <f t="shared" si="8"/>
        <v>0</v>
      </c>
      <c r="AP102" s="100">
        <f t="shared" si="8"/>
        <v>0</v>
      </c>
      <c r="AQ102" s="100">
        <f t="shared" si="8"/>
        <v>0</v>
      </c>
      <c r="AR102" s="100">
        <f t="shared" si="8"/>
        <v>0</v>
      </c>
    </row>
    <row r="103" spans="1:44" s="37" customFormat="1" x14ac:dyDescent="0.2">
      <c r="A103" s="33"/>
      <c r="B103" s="94" t="s">
        <v>3</v>
      </c>
      <c r="C103" s="95" t="str">
        <f>CONCATENATE("Euro/",$C$9)</f>
        <v>Euro/kWh</v>
      </c>
      <c r="D103" s="75"/>
      <c r="E103" s="100">
        <f>IF(AND(E101&gt;0,E102&gt;0),(E101+E102*0)/(1+0),SUM(E101:E102))</f>
        <v>0</v>
      </c>
      <c r="F103" s="100">
        <f t="shared" ref="F103:AR103" si="9">IF(AND(F101&gt;0,F102&gt;0),(F101+F102*0)/(1+0),SUM(F101:F102))</f>
        <v>0</v>
      </c>
      <c r="G103" s="100">
        <f t="shared" si="9"/>
        <v>0</v>
      </c>
      <c r="H103" s="100">
        <f t="shared" si="9"/>
        <v>0</v>
      </c>
      <c r="I103" s="100">
        <f t="shared" si="9"/>
        <v>0</v>
      </c>
      <c r="J103" s="100">
        <f t="shared" si="9"/>
        <v>0</v>
      </c>
      <c r="K103" s="100">
        <f t="shared" si="9"/>
        <v>0</v>
      </c>
      <c r="L103" s="100">
        <f t="shared" si="9"/>
        <v>0</v>
      </c>
      <c r="M103" s="100">
        <f t="shared" si="9"/>
        <v>0</v>
      </c>
      <c r="N103" s="100">
        <f t="shared" si="9"/>
        <v>0</v>
      </c>
      <c r="O103" s="100">
        <f t="shared" si="9"/>
        <v>0</v>
      </c>
      <c r="P103" s="100">
        <f t="shared" si="9"/>
        <v>0</v>
      </c>
      <c r="Q103" s="100">
        <f t="shared" si="9"/>
        <v>0</v>
      </c>
      <c r="R103" s="100">
        <f t="shared" si="9"/>
        <v>0</v>
      </c>
      <c r="S103" s="100">
        <f t="shared" si="9"/>
        <v>0</v>
      </c>
      <c r="T103" s="100">
        <f t="shared" si="9"/>
        <v>3.1E-2</v>
      </c>
      <c r="U103" s="100">
        <f t="shared" si="9"/>
        <v>3.1E-2</v>
      </c>
      <c r="V103" s="100">
        <f t="shared" si="9"/>
        <v>3.1E-2</v>
      </c>
      <c r="W103" s="100">
        <f t="shared" si="9"/>
        <v>3.1E-2</v>
      </c>
      <c r="X103" s="100">
        <f t="shared" si="9"/>
        <v>3.1E-2</v>
      </c>
      <c r="Y103" s="100">
        <f t="shared" si="9"/>
        <v>0</v>
      </c>
      <c r="Z103" s="100">
        <f t="shared" si="9"/>
        <v>0</v>
      </c>
      <c r="AA103" s="100">
        <f t="shared" si="9"/>
        <v>0</v>
      </c>
      <c r="AB103" s="100">
        <f t="shared" si="9"/>
        <v>0</v>
      </c>
      <c r="AC103" s="100">
        <f t="shared" si="9"/>
        <v>0</v>
      </c>
      <c r="AD103" s="100">
        <f t="shared" si="9"/>
        <v>0</v>
      </c>
      <c r="AE103" s="100">
        <f t="shared" si="9"/>
        <v>0</v>
      </c>
      <c r="AF103" s="100">
        <f t="shared" si="9"/>
        <v>0</v>
      </c>
      <c r="AG103" s="100">
        <f t="shared" si="9"/>
        <v>0</v>
      </c>
      <c r="AH103" s="100">
        <f t="shared" si="9"/>
        <v>0</v>
      </c>
      <c r="AI103" s="100">
        <f t="shared" si="9"/>
        <v>0</v>
      </c>
      <c r="AJ103" s="100">
        <f t="shared" si="9"/>
        <v>0</v>
      </c>
      <c r="AK103" s="100">
        <f t="shared" si="9"/>
        <v>0</v>
      </c>
      <c r="AL103" s="100">
        <f t="shared" si="9"/>
        <v>0</v>
      </c>
      <c r="AM103" s="100">
        <f t="shared" si="9"/>
        <v>0</v>
      </c>
      <c r="AN103" s="100">
        <f t="shared" si="9"/>
        <v>0</v>
      </c>
      <c r="AO103" s="100">
        <f t="shared" si="9"/>
        <v>0</v>
      </c>
      <c r="AP103" s="100">
        <f t="shared" si="9"/>
        <v>0</v>
      </c>
      <c r="AQ103" s="100">
        <f t="shared" si="9"/>
        <v>0</v>
      </c>
      <c r="AR103" s="139">
        <f t="shared" si="9"/>
        <v>0</v>
      </c>
    </row>
    <row r="104" spans="1:44" s="37" customFormat="1" x14ac:dyDescent="0.2">
      <c r="A104" s="33"/>
      <c r="B104" s="94" t="s">
        <v>68</v>
      </c>
      <c r="C104" s="95" t="str">
        <f>CONCATENATE("Euro/",$C$9)</f>
        <v>Euro/kWh</v>
      </c>
      <c r="D104" s="75"/>
      <c r="E104" s="100">
        <f t="shared" ref="E104:AR104" si="10">E86</f>
        <v>0</v>
      </c>
      <c r="F104" s="100">
        <f t="shared" si="10"/>
        <v>0</v>
      </c>
      <c r="G104" s="100">
        <f t="shared" si="10"/>
        <v>0</v>
      </c>
      <c r="H104" s="100">
        <f t="shared" si="10"/>
        <v>0</v>
      </c>
      <c r="I104" s="100">
        <f t="shared" si="10"/>
        <v>0</v>
      </c>
      <c r="J104" s="100">
        <f t="shared" si="10"/>
        <v>0</v>
      </c>
      <c r="K104" s="100">
        <f t="shared" si="10"/>
        <v>0</v>
      </c>
      <c r="L104" s="100">
        <f t="shared" si="10"/>
        <v>0</v>
      </c>
      <c r="M104" s="100">
        <f t="shared" si="10"/>
        <v>0</v>
      </c>
      <c r="N104" s="100">
        <f t="shared" si="10"/>
        <v>0</v>
      </c>
      <c r="O104" s="100">
        <f t="shared" si="10"/>
        <v>0</v>
      </c>
      <c r="P104" s="100">
        <f t="shared" si="10"/>
        <v>0</v>
      </c>
      <c r="Q104" s="100">
        <f t="shared" si="10"/>
        <v>0</v>
      </c>
      <c r="R104" s="100">
        <f t="shared" si="10"/>
        <v>0</v>
      </c>
      <c r="S104" s="100">
        <f t="shared" si="10"/>
        <v>0</v>
      </c>
      <c r="T104" s="100">
        <f t="shared" si="10"/>
        <v>0</v>
      </c>
      <c r="U104" s="100">
        <f t="shared" si="10"/>
        <v>0</v>
      </c>
      <c r="V104" s="100">
        <f t="shared" si="10"/>
        <v>0</v>
      </c>
      <c r="W104" s="100">
        <f t="shared" si="10"/>
        <v>0</v>
      </c>
      <c r="X104" s="100">
        <f t="shared" si="10"/>
        <v>0</v>
      </c>
      <c r="Y104" s="100">
        <f t="shared" si="10"/>
        <v>0</v>
      </c>
      <c r="Z104" s="100">
        <f t="shared" si="10"/>
        <v>0</v>
      </c>
      <c r="AA104" s="100">
        <f t="shared" si="10"/>
        <v>0</v>
      </c>
      <c r="AB104" s="100">
        <f t="shared" si="10"/>
        <v>0</v>
      </c>
      <c r="AC104" s="100">
        <f t="shared" si="10"/>
        <v>0</v>
      </c>
      <c r="AD104" s="100">
        <f t="shared" si="10"/>
        <v>0</v>
      </c>
      <c r="AE104" s="100">
        <f t="shared" si="10"/>
        <v>0</v>
      </c>
      <c r="AF104" s="100">
        <f t="shared" si="10"/>
        <v>0</v>
      </c>
      <c r="AG104" s="100">
        <f t="shared" si="10"/>
        <v>0</v>
      </c>
      <c r="AH104" s="100">
        <f t="shared" si="10"/>
        <v>0</v>
      </c>
      <c r="AI104" s="100">
        <f t="shared" si="10"/>
        <v>0</v>
      </c>
      <c r="AJ104" s="100">
        <f t="shared" si="10"/>
        <v>0</v>
      </c>
      <c r="AK104" s="100">
        <f t="shared" si="10"/>
        <v>0</v>
      </c>
      <c r="AL104" s="100">
        <f t="shared" si="10"/>
        <v>0</v>
      </c>
      <c r="AM104" s="100">
        <f t="shared" si="10"/>
        <v>0</v>
      </c>
      <c r="AN104" s="100">
        <f t="shared" si="10"/>
        <v>0</v>
      </c>
      <c r="AO104" s="100">
        <f t="shared" si="10"/>
        <v>0</v>
      </c>
      <c r="AP104" s="100">
        <f t="shared" si="10"/>
        <v>0</v>
      </c>
      <c r="AQ104" s="100">
        <f t="shared" si="10"/>
        <v>0</v>
      </c>
      <c r="AR104" s="139">
        <f t="shared" si="10"/>
        <v>0</v>
      </c>
    </row>
    <row r="105" spans="1:44" s="37" customFormat="1" x14ac:dyDescent="0.2">
      <c r="A105" s="33"/>
      <c r="B105" s="94" t="s">
        <v>80</v>
      </c>
      <c r="C105" s="95" t="s">
        <v>64</v>
      </c>
      <c r="D105" s="75"/>
      <c r="E105" s="96">
        <f>MAX(0,E104-E103)*E97</f>
        <v>0</v>
      </c>
      <c r="F105" s="96">
        <f t="shared" ref="F105:AR105" si="11">MAX(0,F104-F103)*F97</f>
        <v>0</v>
      </c>
      <c r="G105" s="96">
        <f t="shared" si="11"/>
        <v>0</v>
      </c>
      <c r="H105" s="96">
        <f t="shared" si="11"/>
        <v>0</v>
      </c>
      <c r="I105" s="96">
        <f t="shared" si="11"/>
        <v>0</v>
      </c>
      <c r="J105" s="96">
        <f t="shared" si="11"/>
        <v>0</v>
      </c>
      <c r="K105" s="96">
        <f t="shared" si="11"/>
        <v>0</v>
      </c>
      <c r="L105" s="96">
        <f t="shared" si="11"/>
        <v>0</v>
      </c>
      <c r="M105" s="96">
        <f t="shared" si="11"/>
        <v>0</v>
      </c>
      <c r="N105" s="96">
        <f t="shared" si="11"/>
        <v>0</v>
      </c>
      <c r="O105" s="96">
        <f t="shared" si="11"/>
        <v>0</v>
      </c>
      <c r="P105" s="96">
        <f t="shared" si="11"/>
        <v>0</v>
      </c>
      <c r="Q105" s="96">
        <f t="shared" si="11"/>
        <v>0</v>
      </c>
      <c r="R105" s="96">
        <f t="shared" si="11"/>
        <v>0</v>
      </c>
      <c r="S105" s="96">
        <f t="shared" si="11"/>
        <v>0</v>
      </c>
      <c r="T105" s="96">
        <f t="shared" si="11"/>
        <v>0</v>
      </c>
      <c r="U105" s="96">
        <f t="shared" si="11"/>
        <v>0</v>
      </c>
      <c r="V105" s="96">
        <f t="shared" si="11"/>
        <v>0</v>
      </c>
      <c r="W105" s="96">
        <f t="shared" si="11"/>
        <v>0</v>
      </c>
      <c r="X105" s="96">
        <f t="shared" si="11"/>
        <v>0</v>
      </c>
      <c r="Y105" s="96">
        <f t="shared" si="11"/>
        <v>0</v>
      </c>
      <c r="Z105" s="96">
        <f t="shared" si="11"/>
        <v>0</v>
      </c>
      <c r="AA105" s="96">
        <f t="shared" si="11"/>
        <v>0</v>
      </c>
      <c r="AB105" s="96">
        <f t="shared" si="11"/>
        <v>0</v>
      </c>
      <c r="AC105" s="96">
        <f t="shared" si="11"/>
        <v>0</v>
      </c>
      <c r="AD105" s="96">
        <f t="shared" si="11"/>
        <v>0</v>
      </c>
      <c r="AE105" s="96">
        <f t="shared" si="11"/>
        <v>0</v>
      </c>
      <c r="AF105" s="96">
        <f t="shared" si="11"/>
        <v>0</v>
      </c>
      <c r="AG105" s="96">
        <f t="shared" si="11"/>
        <v>0</v>
      </c>
      <c r="AH105" s="96">
        <f t="shared" si="11"/>
        <v>0</v>
      </c>
      <c r="AI105" s="96">
        <f t="shared" si="11"/>
        <v>0</v>
      </c>
      <c r="AJ105" s="96">
        <f t="shared" si="11"/>
        <v>0</v>
      </c>
      <c r="AK105" s="96">
        <f t="shared" si="11"/>
        <v>0</v>
      </c>
      <c r="AL105" s="96">
        <f t="shared" si="11"/>
        <v>0</v>
      </c>
      <c r="AM105" s="96">
        <f t="shared" si="11"/>
        <v>0</v>
      </c>
      <c r="AN105" s="96">
        <f t="shared" si="11"/>
        <v>0</v>
      </c>
      <c r="AO105" s="96">
        <f t="shared" si="11"/>
        <v>0</v>
      </c>
      <c r="AP105" s="96">
        <f t="shared" si="11"/>
        <v>0</v>
      </c>
      <c r="AQ105" s="96">
        <f t="shared" si="11"/>
        <v>0</v>
      </c>
      <c r="AR105" s="101">
        <f t="shared" si="11"/>
        <v>0</v>
      </c>
    </row>
    <row r="106" spans="1:44" s="37" customFormat="1" x14ac:dyDescent="0.2">
      <c r="A106" s="33"/>
      <c r="B106" s="102" t="s">
        <v>81</v>
      </c>
      <c r="C106" s="103" t="s">
        <v>64</v>
      </c>
      <c r="D106" s="104"/>
      <c r="E106" s="105">
        <f t="shared" ref="E106:AR106" si="12">E101*E94+E102*SUM(E95:E96)</f>
        <v>0</v>
      </c>
      <c r="F106" s="105">
        <f t="shared" si="12"/>
        <v>0</v>
      </c>
      <c r="G106" s="105">
        <f t="shared" si="12"/>
        <v>0</v>
      </c>
      <c r="H106" s="105">
        <f t="shared" si="12"/>
        <v>0</v>
      </c>
      <c r="I106" s="105">
        <f t="shared" si="12"/>
        <v>0</v>
      </c>
      <c r="J106" s="105">
        <f t="shared" si="12"/>
        <v>0</v>
      </c>
      <c r="K106" s="105">
        <f t="shared" si="12"/>
        <v>0</v>
      </c>
      <c r="L106" s="105">
        <f t="shared" si="12"/>
        <v>0</v>
      </c>
      <c r="M106" s="105">
        <f t="shared" si="12"/>
        <v>0</v>
      </c>
      <c r="N106" s="105">
        <f t="shared" si="12"/>
        <v>0</v>
      </c>
      <c r="O106" s="105">
        <f t="shared" si="12"/>
        <v>0</v>
      </c>
      <c r="P106" s="105">
        <f t="shared" si="12"/>
        <v>0</v>
      </c>
      <c r="Q106" s="105">
        <f t="shared" si="12"/>
        <v>0</v>
      </c>
      <c r="R106" s="105">
        <f t="shared" si="12"/>
        <v>0</v>
      </c>
      <c r="S106" s="105">
        <f t="shared" si="12"/>
        <v>0</v>
      </c>
      <c r="T106" s="105">
        <f t="shared" si="12"/>
        <v>67580</v>
      </c>
      <c r="U106" s="105">
        <f t="shared" si="12"/>
        <v>67580</v>
      </c>
      <c r="V106" s="105">
        <f t="shared" si="12"/>
        <v>67580</v>
      </c>
      <c r="W106" s="105">
        <f t="shared" si="12"/>
        <v>67580</v>
      </c>
      <c r="X106" s="105">
        <f t="shared" si="12"/>
        <v>67580</v>
      </c>
      <c r="Y106" s="105">
        <f t="shared" si="12"/>
        <v>0</v>
      </c>
      <c r="Z106" s="105">
        <f t="shared" si="12"/>
        <v>0</v>
      </c>
      <c r="AA106" s="105">
        <f t="shared" si="12"/>
        <v>0</v>
      </c>
      <c r="AB106" s="105">
        <f t="shared" si="12"/>
        <v>0</v>
      </c>
      <c r="AC106" s="105">
        <f t="shared" si="12"/>
        <v>0</v>
      </c>
      <c r="AD106" s="105">
        <f t="shared" si="12"/>
        <v>0</v>
      </c>
      <c r="AE106" s="105">
        <f t="shared" si="12"/>
        <v>0</v>
      </c>
      <c r="AF106" s="105">
        <f t="shared" si="12"/>
        <v>0</v>
      </c>
      <c r="AG106" s="105">
        <f t="shared" si="12"/>
        <v>0</v>
      </c>
      <c r="AH106" s="105">
        <f t="shared" si="12"/>
        <v>0</v>
      </c>
      <c r="AI106" s="105">
        <f t="shared" si="12"/>
        <v>0</v>
      </c>
      <c r="AJ106" s="105">
        <f t="shared" si="12"/>
        <v>0</v>
      </c>
      <c r="AK106" s="105">
        <f t="shared" si="12"/>
        <v>0</v>
      </c>
      <c r="AL106" s="105">
        <f t="shared" si="12"/>
        <v>0</v>
      </c>
      <c r="AM106" s="105">
        <f t="shared" si="12"/>
        <v>0</v>
      </c>
      <c r="AN106" s="105">
        <f t="shared" si="12"/>
        <v>0</v>
      </c>
      <c r="AO106" s="105">
        <f t="shared" si="12"/>
        <v>0</v>
      </c>
      <c r="AP106" s="105">
        <f t="shared" si="12"/>
        <v>0</v>
      </c>
      <c r="AQ106" s="105">
        <f t="shared" si="12"/>
        <v>0</v>
      </c>
      <c r="AR106" s="106">
        <f t="shared" si="12"/>
        <v>0</v>
      </c>
    </row>
    <row r="107" spans="1:44" s="37" customFormat="1" x14ac:dyDescent="0.2">
      <c r="A107" s="33"/>
      <c r="B107" s="14"/>
      <c r="C107" s="88"/>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90"/>
    </row>
    <row r="108" spans="1:44" s="37" customFormat="1" x14ac:dyDescent="0.2">
      <c r="A108" s="33"/>
      <c r="B108" s="3" t="s">
        <v>82</v>
      </c>
      <c r="C108" s="91" t="s">
        <v>64</v>
      </c>
      <c r="D108" s="92"/>
      <c r="E108" s="93">
        <f>SUM(E105:E106)</f>
        <v>0</v>
      </c>
      <c r="F108" s="93">
        <f t="shared" ref="F108:AR108" si="13">SUM(F105:F106)</f>
        <v>0</v>
      </c>
      <c r="G108" s="93">
        <f t="shared" si="13"/>
        <v>0</v>
      </c>
      <c r="H108" s="93">
        <f t="shared" si="13"/>
        <v>0</v>
      </c>
      <c r="I108" s="93">
        <f t="shared" si="13"/>
        <v>0</v>
      </c>
      <c r="J108" s="93">
        <f t="shared" si="13"/>
        <v>0</v>
      </c>
      <c r="K108" s="93">
        <f t="shared" si="13"/>
        <v>0</v>
      </c>
      <c r="L108" s="93">
        <f t="shared" si="13"/>
        <v>0</v>
      </c>
      <c r="M108" s="93">
        <f t="shared" si="13"/>
        <v>0</v>
      </c>
      <c r="N108" s="93">
        <f t="shared" si="13"/>
        <v>0</v>
      </c>
      <c r="O108" s="93">
        <f t="shared" si="13"/>
        <v>0</v>
      </c>
      <c r="P108" s="93">
        <f t="shared" si="13"/>
        <v>0</v>
      </c>
      <c r="Q108" s="93">
        <f t="shared" si="13"/>
        <v>0</v>
      </c>
      <c r="R108" s="93">
        <f t="shared" si="13"/>
        <v>0</v>
      </c>
      <c r="S108" s="93">
        <f t="shared" si="13"/>
        <v>0</v>
      </c>
      <c r="T108" s="93">
        <f t="shared" si="13"/>
        <v>67580</v>
      </c>
      <c r="U108" s="93">
        <f t="shared" si="13"/>
        <v>67580</v>
      </c>
      <c r="V108" s="93">
        <f t="shared" si="13"/>
        <v>67580</v>
      </c>
      <c r="W108" s="93">
        <f t="shared" si="13"/>
        <v>67580</v>
      </c>
      <c r="X108" s="93">
        <f t="shared" si="13"/>
        <v>67580</v>
      </c>
      <c r="Y108" s="93">
        <f t="shared" si="13"/>
        <v>0</v>
      </c>
      <c r="Z108" s="93">
        <f t="shared" si="13"/>
        <v>0</v>
      </c>
      <c r="AA108" s="93">
        <f t="shared" si="13"/>
        <v>0</v>
      </c>
      <c r="AB108" s="93">
        <f t="shared" si="13"/>
        <v>0</v>
      </c>
      <c r="AC108" s="93">
        <f t="shared" si="13"/>
        <v>0</v>
      </c>
      <c r="AD108" s="93">
        <f t="shared" si="13"/>
        <v>0</v>
      </c>
      <c r="AE108" s="93">
        <f t="shared" si="13"/>
        <v>0</v>
      </c>
      <c r="AF108" s="93">
        <f t="shared" si="13"/>
        <v>0</v>
      </c>
      <c r="AG108" s="93">
        <f t="shared" si="13"/>
        <v>0</v>
      </c>
      <c r="AH108" s="93">
        <f t="shared" si="13"/>
        <v>0</v>
      </c>
      <c r="AI108" s="93">
        <f t="shared" si="13"/>
        <v>0</v>
      </c>
      <c r="AJ108" s="93">
        <f t="shared" si="13"/>
        <v>0</v>
      </c>
      <c r="AK108" s="93">
        <f t="shared" si="13"/>
        <v>0</v>
      </c>
      <c r="AL108" s="93">
        <f t="shared" si="13"/>
        <v>0</v>
      </c>
      <c r="AM108" s="93">
        <f t="shared" si="13"/>
        <v>0</v>
      </c>
      <c r="AN108" s="93">
        <f t="shared" si="13"/>
        <v>0</v>
      </c>
      <c r="AO108" s="93">
        <f t="shared" si="13"/>
        <v>0</v>
      </c>
      <c r="AP108" s="93">
        <f t="shared" si="13"/>
        <v>0</v>
      </c>
      <c r="AQ108" s="93">
        <f t="shared" si="13"/>
        <v>0</v>
      </c>
      <c r="AR108" s="107">
        <f t="shared" si="13"/>
        <v>0</v>
      </c>
    </row>
    <row r="109" spans="1:44" s="37" customFormat="1" x14ac:dyDescent="0.2">
      <c r="A109" s="33"/>
      <c r="B109" s="94" t="s">
        <v>83</v>
      </c>
      <c r="C109" s="95" t="s">
        <v>64</v>
      </c>
      <c r="D109" s="75"/>
      <c r="E109" s="96">
        <f t="shared" ref="E109:AR109" si="14">SUM(E99:E100)</f>
        <v>-56520</v>
      </c>
      <c r="F109" s="96">
        <f t="shared" si="14"/>
        <v>-57367.799999999996</v>
      </c>
      <c r="G109" s="96">
        <f t="shared" si="14"/>
        <v>-58228.316999999981</v>
      </c>
      <c r="H109" s="96">
        <f t="shared" si="14"/>
        <v>-59101.741754999981</v>
      </c>
      <c r="I109" s="96">
        <f t="shared" si="14"/>
        <v>-59988.267881324966</v>
      </c>
      <c r="J109" s="96">
        <f t="shared" si="14"/>
        <v>-60888.091899544837</v>
      </c>
      <c r="K109" s="96">
        <f t="shared" si="14"/>
        <v>-61801.413278037995</v>
      </c>
      <c r="L109" s="96">
        <f t="shared" si="14"/>
        <v>-62728.434477208553</v>
      </c>
      <c r="M109" s="96">
        <f t="shared" si="14"/>
        <v>-63669.360994366682</v>
      </c>
      <c r="N109" s="96">
        <f t="shared" si="14"/>
        <v>-64624.401409282167</v>
      </c>
      <c r="O109" s="96">
        <f t="shared" si="14"/>
        <v>-65593.767430421402</v>
      </c>
      <c r="P109" s="96">
        <f t="shared" si="14"/>
        <v>-66577.673941877714</v>
      </c>
      <c r="Q109" s="96">
        <f t="shared" si="14"/>
        <v>-67576.339051005867</v>
      </c>
      <c r="R109" s="96">
        <f t="shared" si="14"/>
        <v>-68589.984136770945</v>
      </c>
      <c r="S109" s="96">
        <f t="shared" si="14"/>
        <v>-69618.833898822486</v>
      </c>
      <c r="T109" s="96">
        <f t="shared" si="14"/>
        <v>-70663.116407304813</v>
      </c>
      <c r="U109" s="96">
        <f t="shared" si="14"/>
        <v>-71723.063153414376</v>
      </c>
      <c r="V109" s="96">
        <f t="shared" si="14"/>
        <v>-72798.90910071558</v>
      </c>
      <c r="W109" s="96">
        <f t="shared" si="14"/>
        <v>-73890.892737226313</v>
      </c>
      <c r="X109" s="96">
        <f t="shared" si="14"/>
        <v>-74999.256128284702</v>
      </c>
      <c r="Y109" s="96">
        <f t="shared" si="14"/>
        <v>0</v>
      </c>
      <c r="Z109" s="96">
        <f t="shared" si="14"/>
        <v>0</v>
      </c>
      <c r="AA109" s="96">
        <f t="shared" si="14"/>
        <v>0</v>
      </c>
      <c r="AB109" s="96">
        <f t="shared" si="14"/>
        <v>0</v>
      </c>
      <c r="AC109" s="96">
        <f t="shared" si="14"/>
        <v>0</v>
      </c>
      <c r="AD109" s="96">
        <f t="shared" si="14"/>
        <v>0</v>
      </c>
      <c r="AE109" s="96">
        <f t="shared" si="14"/>
        <v>0</v>
      </c>
      <c r="AF109" s="96">
        <f t="shared" si="14"/>
        <v>0</v>
      </c>
      <c r="AG109" s="96">
        <f t="shared" si="14"/>
        <v>0</v>
      </c>
      <c r="AH109" s="96">
        <f t="shared" si="14"/>
        <v>0</v>
      </c>
      <c r="AI109" s="96">
        <f t="shared" si="14"/>
        <v>0</v>
      </c>
      <c r="AJ109" s="96">
        <f t="shared" si="14"/>
        <v>0</v>
      </c>
      <c r="AK109" s="96">
        <f t="shared" si="14"/>
        <v>0</v>
      </c>
      <c r="AL109" s="96">
        <f t="shared" si="14"/>
        <v>0</v>
      </c>
      <c r="AM109" s="96">
        <f t="shared" si="14"/>
        <v>0</v>
      </c>
      <c r="AN109" s="96">
        <f t="shared" si="14"/>
        <v>0</v>
      </c>
      <c r="AO109" s="96">
        <f t="shared" si="14"/>
        <v>0</v>
      </c>
      <c r="AP109" s="96">
        <f t="shared" si="14"/>
        <v>0</v>
      </c>
      <c r="AQ109" s="96">
        <f t="shared" si="14"/>
        <v>0</v>
      </c>
      <c r="AR109" s="101">
        <f t="shared" si="14"/>
        <v>0</v>
      </c>
    </row>
    <row r="110" spans="1:44" s="37" customFormat="1" x14ac:dyDescent="0.2">
      <c r="A110" s="33"/>
      <c r="B110" s="102" t="s">
        <v>84</v>
      </c>
      <c r="C110" s="103" t="s">
        <v>64</v>
      </c>
      <c r="D110" s="108"/>
      <c r="E110" s="105">
        <f>SUM(E108:E109)</f>
        <v>-56520</v>
      </c>
      <c r="F110" s="105">
        <f t="shared" ref="F110:AR110" si="15">SUM(F108:F109)</f>
        <v>-57367.799999999996</v>
      </c>
      <c r="G110" s="105">
        <f t="shared" si="15"/>
        <v>-58228.316999999981</v>
      </c>
      <c r="H110" s="105">
        <f t="shared" si="15"/>
        <v>-59101.741754999981</v>
      </c>
      <c r="I110" s="105">
        <f t="shared" si="15"/>
        <v>-59988.267881324966</v>
      </c>
      <c r="J110" s="105">
        <f t="shared" si="15"/>
        <v>-60888.091899544837</v>
      </c>
      <c r="K110" s="105">
        <f t="shared" si="15"/>
        <v>-61801.413278037995</v>
      </c>
      <c r="L110" s="105">
        <f t="shared" si="15"/>
        <v>-62728.434477208553</v>
      </c>
      <c r="M110" s="105">
        <f t="shared" si="15"/>
        <v>-63669.360994366682</v>
      </c>
      <c r="N110" s="105">
        <f t="shared" si="15"/>
        <v>-64624.401409282167</v>
      </c>
      <c r="O110" s="105">
        <f t="shared" si="15"/>
        <v>-65593.767430421402</v>
      </c>
      <c r="P110" s="105">
        <f t="shared" si="15"/>
        <v>-66577.673941877714</v>
      </c>
      <c r="Q110" s="105">
        <f t="shared" si="15"/>
        <v>-67576.339051005867</v>
      </c>
      <c r="R110" s="105">
        <f t="shared" si="15"/>
        <v>-68589.984136770945</v>
      </c>
      <c r="S110" s="105">
        <f t="shared" si="15"/>
        <v>-69618.833898822486</v>
      </c>
      <c r="T110" s="105">
        <f t="shared" si="15"/>
        <v>-3083.116407304813</v>
      </c>
      <c r="U110" s="105">
        <f t="shared" si="15"/>
        <v>-4143.0631534143758</v>
      </c>
      <c r="V110" s="105">
        <f t="shared" si="15"/>
        <v>-5218.9091007155803</v>
      </c>
      <c r="W110" s="105">
        <f t="shared" si="15"/>
        <v>-6310.8927372263133</v>
      </c>
      <c r="X110" s="105">
        <f t="shared" si="15"/>
        <v>-7419.2561282847018</v>
      </c>
      <c r="Y110" s="105">
        <f t="shared" si="15"/>
        <v>0</v>
      </c>
      <c r="Z110" s="105">
        <f t="shared" si="15"/>
        <v>0</v>
      </c>
      <c r="AA110" s="105">
        <f t="shared" si="15"/>
        <v>0</v>
      </c>
      <c r="AB110" s="105">
        <f t="shared" si="15"/>
        <v>0</v>
      </c>
      <c r="AC110" s="105">
        <f t="shared" si="15"/>
        <v>0</v>
      </c>
      <c r="AD110" s="105">
        <f t="shared" si="15"/>
        <v>0</v>
      </c>
      <c r="AE110" s="105">
        <f t="shared" si="15"/>
        <v>0</v>
      </c>
      <c r="AF110" s="105">
        <f t="shared" si="15"/>
        <v>0</v>
      </c>
      <c r="AG110" s="105">
        <f t="shared" si="15"/>
        <v>0</v>
      </c>
      <c r="AH110" s="105">
        <f t="shared" si="15"/>
        <v>0</v>
      </c>
      <c r="AI110" s="105">
        <f t="shared" si="15"/>
        <v>0</v>
      </c>
      <c r="AJ110" s="105">
        <f t="shared" si="15"/>
        <v>0</v>
      </c>
      <c r="AK110" s="105">
        <f t="shared" si="15"/>
        <v>0</v>
      </c>
      <c r="AL110" s="105">
        <f t="shared" si="15"/>
        <v>0</v>
      </c>
      <c r="AM110" s="105">
        <f t="shared" si="15"/>
        <v>0</v>
      </c>
      <c r="AN110" s="105">
        <f t="shared" si="15"/>
        <v>0</v>
      </c>
      <c r="AO110" s="105">
        <f t="shared" si="15"/>
        <v>0</v>
      </c>
      <c r="AP110" s="105">
        <f t="shared" si="15"/>
        <v>0</v>
      </c>
      <c r="AQ110" s="105">
        <f t="shared" si="15"/>
        <v>0</v>
      </c>
      <c r="AR110" s="106">
        <f t="shared" si="15"/>
        <v>0</v>
      </c>
    </row>
    <row r="111" spans="1:44" s="37" customFormat="1" x14ac:dyDescent="0.2">
      <c r="A111" s="33"/>
      <c r="B111" s="14"/>
      <c r="C111" s="88"/>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90"/>
    </row>
    <row r="112" spans="1:44" s="37" customFormat="1" x14ac:dyDescent="0.2">
      <c r="A112" s="33"/>
      <c r="B112" s="3" t="s">
        <v>85</v>
      </c>
      <c r="C112" s="91" t="s">
        <v>64</v>
      </c>
      <c r="D112" s="92"/>
      <c r="E112" s="93">
        <f t="shared" ref="E112:AR112" si="16">IF(E91&gt;$C$77,0,-$D$130/$C$77)</f>
        <v>-83333.333333333328</v>
      </c>
      <c r="F112" s="93">
        <f t="shared" si="16"/>
        <v>-83333.333333333328</v>
      </c>
      <c r="G112" s="93">
        <f t="shared" si="16"/>
        <v>-83333.333333333328</v>
      </c>
      <c r="H112" s="93">
        <f t="shared" si="16"/>
        <v>-83333.333333333328</v>
      </c>
      <c r="I112" s="93">
        <f t="shared" si="16"/>
        <v>-83333.333333333328</v>
      </c>
      <c r="J112" s="93">
        <f t="shared" si="16"/>
        <v>-83333.333333333328</v>
      </c>
      <c r="K112" s="93">
        <f t="shared" si="16"/>
        <v>-83333.333333333328</v>
      </c>
      <c r="L112" s="93">
        <f t="shared" si="16"/>
        <v>-83333.333333333328</v>
      </c>
      <c r="M112" s="93">
        <f t="shared" si="16"/>
        <v>-83333.333333333328</v>
      </c>
      <c r="N112" s="93">
        <f t="shared" si="16"/>
        <v>-83333.333333333328</v>
      </c>
      <c r="O112" s="93">
        <f t="shared" si="16"/>
        <v>-83333.333333333328</v>
      </c>
      <c r="P112" s="93">
        <f t="shared" si="16"/>
        <v>-83333.333333333328</v>
      </c>
      <c r="Q112" s="93">
        <f t="shared" si="16"/>
        <v>-83333.333333333328</v>
      </c>
      <c r="R112" s="93">
        <f t="shared" si="16"/>
        <v>-83333.333333333328</v>
      </c>
      <c r="S112" s="93">
        <f t="shared" si="16"/>
        <v>-83333.333333333328</v>
      </c>
      <c r="T112" s="93">
        <f t="shared" si="16"/>
        <v>0</v>
      </c>
      <c r="U112" s="93">
        <f t="shared" si="16"/>
        <v>0</v>
      </c>
      <c r="V112" s="93">
        <f t="shared" si="16"/>
        <v>0</v>
      </c>
      <c r="W112" s="93">
        <f t="shared" si="16"/>
        <v>0</v>
      </c>
      <c r="X112" s="93">
        <f t="shared" si="16"/>
        <v>0</v>
      </c>
      <c r="Y112" s="93">
        <f t="shared" si="16"/>
        <v>0</v>
      </c>
      <c r="Z112" s="93">
        <f t="shared" si="16"/>
        <v>0</v>
      </c>
      <c r="AA112" s="93">
        <f t="shared" si="16"/>
        <v>0</v>
      </c>
      <c r="AB112" s="93">
        <f t="shared" si="16"/>
        <v>0</v>
      </c>
      <c r="AC112" s="93">
        <f t="shared" si="16"/>
        <v>0</v>
      </c>
      <c r="AD112" s="93">
        <f t="shared" si="16"/>
        <v>0</v>
      </c>
      <c r="AE112" s="93">
        <f t="shared" si="16"/>
        <v>0</v>
      </c>
      <c r="AF112" s="93">
        <f t="shared" si="16"/>
        <v>0</v>
      </c>
      <c r="AG112" s="93">
        <f t="shared" si="16"/>
        <v>0</v>
      </c>
      <c r="AH112" s="93">
        <f t="shared" si="16"/>
        <v>0</v>
      </c>
      <c r="AI112" s="93">
        <f t="shared" si="16"/>
        <v>0</v>
      </c>
      <c r="AJ112" s="93">
        <f t="shared" si="16"/>
        <v>0</v>
      </c>
      <c r="AK112" s="93">
        <f t="shared" si="16"/>
        <v>0</v>
      </c>
      <c r="AL112" s="93">
        <f t="shared" si="16"/>
        <v>0</v>
      </c>
      <c r="AM112" s="93">
        <f t="shared" si="16"/>
        <v>0</v>
      </c>
      <c r="AN112" s="93">
        <f t="shared" si="16"/>
        <v>0</v>
      </c>
      <c r="AO112" s="93">
        <f t="shared" si="16"/>
        <v>0</v>
      </c>
      <c r="AP112" s="93">
        <f t="shared" si="16"/>
        <v>0</v>
      </c>
      <c r="AQ112" s="93">
        <f t="shared" si="16"/>
        <v>0</v>
      </c>
      <c r="AR112" s="107">
        <f t="shared" si="16"/>
        <v>0</v>
      </c>
    </row>
    <row r="113" spans="1:45" s="37" customFormat="1" x14ac:dyDescent="0.2">
      <c r="A113" s="33"/>
      <c r="B113" s="94" t="s">
        <v>86</v>
      </c>
      <c r="C113" s="95" t="s">
        <v>64</v>
      </c>
      <c r="D113" s="75"/>
      <c r="E113" s="96">
        <f t="shared" ref="E113:AR113" si="17">IF(E91&gt;$C$76,0,IPMT($C$69,E91,$C$76,$D$135))</f>
        <v>-35000</v>
      </c>
      <c r="F113" s="96">
        <f t="shared" si="17"/>
        <v>-33186.122572188848</v>
      </c>
      <c r="G113" s="96">
        <f t="shared" si="17"/>
        <v>-31308.75943440431</v>
      </c>
      <c r="H113" s="96">
        <f t="shared" si="17"/>
        <v>-29365.6885867973</v>
      </c>
      <c r="I113" s="96">
        <f t="shared" si="17"/>
        <v>-27354.610259524055</v>
      </c>
      <c r="J113" s="96">
        <f t="shared" si="17"/>
        <v>-25273.14419079624</v>
      </c>
      <c r="K113" s="96">
        <f t="shared" si="17"/>
        <v>-23118.826809662954</v>
      </c>
      <c r="L113" s="96">
        <f t="shared" si="17"/>
        <v>-20889.108320190007</v>
      </c>
      <c r="M113" s="96">
        <f t="shared" si="17"/>
        <v>-18581.349683585504</v>
      </c>
      <c r="N113" s="96">
        <f t="shared" si="17"/>
        <v>-16192.819494699843</v>
      </c>
      <c r="O113" s="96">
        <f t="shared" si="17"/>
        <v>-13720.690749203186</v>
      </c>
      <c r="P113" s="96">
        <f t="shared" si="17"/>
        <v>-11162.037497614143</v>
      </c>
      <c r="Q113" s="96">
        <f t="shared" si="17"/>
        <v>-8513.8313822194832</v>
      </c>
      <c r="R113" s="96">
        <f t="shared" si="17"/>
        <v>-5772.9380527860121</v>
      </c>
      <c r="S113" s="96">
        <f t="shared" si="17"/>
        <v>-2936.1134568223706</v>
      </c>
      <c r="T113" s="96">
        <f t="shared" si="17"/>
        <v>0</v>
      </c>
      <c r="U113" s="96">
        <f t="shared" si="17"/>
        <v>0</v>
      </c>
      <c r="V113" s="96">
        <f t="shared" si="17"/>
        <v>0</v>
      </c>
      <c r="W113" s="96">
        <f t="shared" si="17"/>
        <v>0</v>
      </c>
      <c r="X113" s="96">
        <f t="shared" si="17"/>
        <v>0</v>
      </c>
      <c r="Y113" s="96">
        <f t="shared" si="17"/>
        <v>0</v>
      </c>
      <c r="Z113" s="96">
        <f t="shared" si="17"/>
        <v>0</v>
      </c>
      <c r="AA113" s="96">
        <f t="shared" si="17"/>
        <v>0</v>
      </c>
      <c r="AB113" s="96">
        <f t="shared" si="17"/>
        <v>0</v>
      </c>
      <c r="AC113" s="96">
        <f t="shared" si="17"/>
        <v>0</v>
      </c>
      <c r="AD113" s="96">
        <f t="shared" si="17"/>
        <v>0</v>
      </c>
      <c r="AE113" s="96">
        <f t="shared" si="17"/>
        <v>0</v>
      </c>
      <c r="AF113" s="96">
        <f t="shared" si="17"/>
        <v>0</v>
      </c>
      <c r="AG113" s="96">
        <f t="shared" si="17"/>
        <v>0</v>
      </c>
      <c r="AH113" s="96">
        <f t="shared" si="17"/>
        <v>0</v>
      </c>
      <c r="AI113" s="96">
        <f t="shared" si="17"/>
        <v>0</v>
      </c>
      <c r="AJ113" s="96">
        <f t="shared" si="17"/>
        <v>0</v>
      </c>
      <c r="AK113" s="96">
        <f t="shared" si="17"/>
        <v>0</v>
      </c>
      <c r="AL113" s="96">
        <f t="shared" si="17"/>
        <v>0</v>
      </c>
      <c r="AM113" s="96">
        <f t="shared" si="17"/>
        <v>0</v>
      </c>
      <c r="AN113" s="96">
        <f t="shared" si="17"/>
        <v>0</v>
      </c>
      <c r="AO113" s="96">
        <f t="shared" si="17"/>
        <v>0</v>
      </c>
      <c r="AP113" s="96">
        <f t="shared" si="17"/>
        <v>0</v>
      </c>
      <c r="AQ113" s="96">
        <f t="shared" si="17"/>
        <v>0</v>
      </c>
      <c r="AR113" s="101">
        <f t="shared" si="17"/>
        <v>0</v>
      </c>
    </row>
    <row r="114" spans="1:45" s="37" customFormat="1" x14ac:dyDescent="0.2">
      <c r="A114" s="33"/>
      <c r="B114" s="94" t="s">
        <v>87</v>
      </c>
      <c r="C114" s="95" t="s">
        <v>64</v>
      </c>
      <c r="D114" s="75"/>
      <c r="E114" s="96">
        <f t="shared" ref="E114:AR114" si="18">IF(E91&gt;$C$76,0,PPMT($C$69,E91,$C$76,$D$135))</f>
        <v>-51825.069366032956</v>
      </c>
      <c r="F114" s="96">
        <f t="shared" si="18"/>
        <v>-53638.946793844108</v>
      </c>
      <c r="G114" s="96">
        <f t="shared" si="18"/>
        <v>-55516.309931628661</v>
      </c>
      <c r="H114" s="96">
        <f t="shared" si="18"/>
        <v>-57459.380779235653</v>
      </c>
      <c r="I114" s="96">
        <f t="shared" si="18"/>
        <v>-59470.459106508904</v>
      </c>
      <c r="J114" s="96">
        <f t="shared" si="18"/>
        <v>-61551.92517523672</v>
      </c>
      <c r="K114" s="96">
        <f t="shared" si="18"/>
        <v>-63706.242556369994</v>
      </c>
      <c r="L114" s="96">
        <f t="shared" si="18"/>
        <v>-65935.961045842952</v>
      </c>
      <c r="M114" s="96">
        <f t="shared" si="18"/>
        <v>-68243.719682447452</v>
      </c>
      <c r="N114" s="96">
        <f t="shared" si="18"/>
        <v>-70632.249871333115</v>
      </c>
      <c r="O114" s="96">
        <f t="shared" si="18"/>
        <v>-73104.378616829781</v>
      </c>
      <c r="P114" s="96">
        <f t="shared" si="18"/>
        <v>-75663.031868418824</v>
      </c>
      <c r="Q114" s="96">
        <f t="shared" si="18"/>
        <v>-78311.23798381348</v>
      </c>
      <c r="R114" s="96">
        <f t="shared" si="18"/>
        <v>-81052.131313246951</v>
      </c>
      <c r="S114" s="96">
        <f t="shared" si="18"/>
        <v>-83888.955909210577</v>
      </c>
      <c r="T114" s="96">
        <f t="shared" si="18"/>
        <v>0</v>
      </c>
      <c r="U114" s="96">
        <f t="shared" si="18"/>
        <v>0</v>
      </c>
      <c r="V114" s="96">
        <f t="shared" si="18"/>
        <v>0</v>
      </c>
      <c r="W114" s="96">
        <f t="shared" si="18"/>
        <v>0</v>
      </c>
      <c r="X114" s="96">
        <f t="shared" si="18"/>
        <v>0</v>
      </c>
      <c r="Y114" s="96">
        <f t="shared" si="18"/>
        <v>0</v>
      </c>
      <c r="Z114" s="96">
        <f t="shared" si="18"/>
        <v>0</v>
      </c>
      <c r="AA114" s="96">
        <f t="shared" si="18"/>
        <v>0</v>
      </c>
      <c r="AB114" s="96">
        <f t="shared" si="18"/>
        <v>0</v>
      </c>
      <c r="AC114" s="96">
        <f t="shared" si="18"/>
        <v>0</v>
      </c>
      <c r="AD114" s="96">
        <f t="shared" si="18"/>
        <v>0</v>
      </c>
      <c r="AE114" s="96">
        <f t="shared" si="18"/>
        <v>0</v>
      </c>
      <c r="AF114" s="96">
        <f t="shared" si="18"/>
        <v>0</v>
      </c>
      <c r="AG114" s="96">
        <f t="shared" si="18"/>
        <v>0</v>
      </c>
      <c r="AH114" s="96">
        <f t="shared" si="18"/>
        <v>0</v>
      </c>
      <c r="AI114" s="96">
        <f t="shared" si="18"/>
        <v>0</v>
      </c>
      <c r="AJ114" s="96">
        <f t="shared" si="18"/>
        <v>0</v>
      </c>
      <c r="AK114" s="96">
        <f t="shared" si="18"/>
        <v>0</v>
      </c>
      <c r="AL114" s="96">
        <f t="shared" si="18"/>
        <v>0</v>
      </c>
      <c r="AM114" s="96">
        <f t="shared" si="18"/>
        <v>0</v>
      </c>
      <c r="AN114" s="96">
        <f t="shared" si="18"/>
        <v>0</v>
      </c>
      <c r="AO114" s="96">
        <f t="shared" si="18"/>
        <v>0</v>
      </c>
      <c r="AP114" s="96">
        <f t="shared" si="18"/>
        <v>0</v>
      </c>
      <c r="AQ114" s="96">
        <f t="shared" si="18"/>
        <v>0</v>
      </c>
      <c r="AR114" s="101">
        <f t="shared" si="18"/>
        <v>0</v>
      </c>
    </row>
    <row r="115" spans="1:45" s="109" customFormat="1" x14ac:dyDescent="0.2">
      <c r="A115" s="33"/>
      <c r="B115" s="102" t="s">
        <v>88</v>
      </c>
      <c r="C115" s="103" t="s">
        <v>64</v>
      </c>
      <c r="D115" s="104"/>
      <c r="E115" s="105">
        <f>SUM(E113,E114)</f>
        <v>-86825.069366032956</v>
      </c>
      <c r="F115" s="105">
        <f t="shared" ref="F115:AR115" si="19">SUM(F113,F114)</f>
        <v>-86825.069366032956</v>
      </c>
      <c r="G115" s="105">
        <f t="shared" si="19"/>
        <v>-86825.069366032971</v>
      </c>
      <c r="H115" s="105">
        <f t="shared" si="19"/>
        <v>-86825.069366032956</v>
      </c>
      <c r="I115" s="105">
        <f t="shared" si="19"/>
        <v>-86825.069366032956</v>
      </c>
      <c r="J115" s="105">
        <f t="shared" si="19"/>
        <v>-86825.069366032956</v>
      </c>
      <c r="K115" s="105">
        <f t="shared" si="19"/>
        <v>-86825.069366032956</v>
      </c>
      <c r="L115" s="105">
        <f t="shared" si="19"/>
        <v>-86825.069366032956</v>
      </c>
      <c r="M115" s="105">
        <f t="shared" si="19"/>
        <v>-86825.069366032956</v>
      </c>
      <c r="N115" s="105">
        <f t="shared" si="19"/>
        <v>-86825.069366032956</v>
      </c>
      <c r="O115" s="105">
        <f t="shared" si="19"/>
        <v>-86825.069366032971</v>
      </c>
      <c r="P115" s="105">
        <f t="shared" si="19"/>
        <v>-86825.069366032971</v>
      </c>
      <c r="Q115" s="105">
        <f t="shared" si="19"/>
        <v>-86825.069366032956</v>
      </c>
      <c r="R115" s="105">
        <f t="shared" si="19"/>
        <v>-86825.069366032956</v>
      </c>
      <c r="S115" s="105">
        <f t="shared" si="19"/>
        <v>-86825.069366032942</v>
      </c>
      <c r="T115" s="105">
        <f t="shared" si="19"/>
        <v>0</v>
      </c>
      <c r="U115" s="105">
        <f t="shared" si="19"/>
        <v>0</v>
      </c>
      <c r="V115" s="105">
        <f t="shared" si="19"/>
        <v>0</v>
      </c>
      <c r="W115" s="105">
        <f t="shared" si="19"/>
        <v>0</v>
      </c>
      <c r="X115" s="105">
        <f t="shared" si="19"/>
        <v>0</v>
      </c>
      <c r="Y115" s="105">
        <f t="shared" si="19"/>
        <v>0</v>
      </c>
      <c r="Z115" s="105">
        <f t="shared" si="19"/>
        <v>0</v>
      </c>
      <c r="AA115" s="105">
        <f t="shared" si="19"/>
        <v>0</v>
      </c>
      <c r="AB115" s="105">
        <f t="shared" si="19"/>
        <v>0</v>
      </c>
      <c r="AC115" s="105">
        <f t="shared" si="19"/>
        <v>0</v>
      </c>
      <c r="AD115" s="105">
        <f t="shared" si="19"/>
        <v>0</v>
      </c>
      <c r="AE115" s="105">
        <f t="shared" si="19"/>
        <v>0</v>
      </c>
      <c r="AF115" s="105">
        <f t="shared" si="19"/>
        <v>0</v>
      </c>
      <c r="AG115" s="105">
        <f t="shared" si="19"/>
        <v>0</v>
      </c>
      <c r="AH115" s="105">
        <f t="shared" si="19"/>
        <v>0</v>
      </c>
      <c r="AI115" s="105">
        <f t="shared" si="19"/>
        <v>0</v>
      </c>
      <c r="AJ115" s="105">
        <f t="shared" si="19"/>
        <v>0</v>
      </c>
      <c r="AK115" s="105">
        <f t="shared" si="19"/>
        <v>0</v>
      </c>
      <c r="AL115" s="105">
        <f t="shared" si="19"/>
        <v>0</v>
      </c>
      <c r="AM115" s="105">
        <f t="shared" si="19"/>
        <v>0</v>
      </c>
      <c r="AN115" s="105">
        <f t="shared" si="19"/>
        <v>0</v>
      </c>
      <c r="AO115" s="105">
        <f t="shared" si="19"/>
        <v>0</v>
      </c>
      <c r="AP115" s="105">
        <f t="shared" si="19"/>
        <v>0</v>
      </c>
      <c r="AQ115" s="105">
        <f t="shared" si="19"/>
        <v>0</v>
      </c>
      <c r="AR115" s="106">
        <f t="shared" si="19"/>
        <v>0</v>
      </c>
    </row>
    <row r="116" spans="1:45" s="37" customFormat="1" x14ac:dyDescent="0.2">
      <c r="A116" s="33"/>
      <c r="B116" s="14"/>
      <c r="C116" s="88"/>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1:45" s="37" customFormat="1" x14ac:dyDescent="0.2">
      <c r="A117" s="33"/>
      <c r="B117" s="3" t="s">
        <v>89</v>
      </c>
      <c r="C117" s="91" t="s">
        <v>64</v>
      </c>
      <c r="D117" s="92"/>
      <c r="E117" s="110">
        <f>E110+E112+E113</f>
        <v>-174853.33333333331</v>
      </c>
      <c r="F117" s="110">
        <f t="shared" ref="F117:AR117" si="20">F110+F112+F113</f>
        <v>-173887.25590552218</v>
      </c>
      <c r="G117" s="110">
        <f t="shared" si="20"/>
        <v>-172870.40976773761</v>
      </c>
      <c r="H117" s="110">
        <f t="shared" si="20"/>
        <v>-171800.76367513061</v>
      </c>
      <c r="I117" s="110">
        <f t="shared" si="20"/>
        <v>-170676.21147418235</v>
      </c>
      <c r="J117" s="110">
        <f t="shared" si="20"/>
        <v>-169494.5694236744</v>
      </c>
      <c r="K117" s="110">
        <f t="shared" si="20"/>
        <v>-168253.57342103426</v>
      </c>
      <c r="L117" s="110">
        <f t="shared" si="20"/>
        <v>-166950.87613073189</v>
      </c>
      <c r="M117" s="110">
        <f t="shared" si="20"/>
        <v>-165584.04401128553</v>
      </c>
      <c r="N117" s="110">
        <f t="shared" si="20"/>
        <v>-164150.55423731534</v>
      </c>
      <c r="O117" s="110">
        <f t="shared" si="20"/>
        <v>-162647.79151295792</v>
      </c>
      <c r="P117" s="110">
        <f t="shared" si="20"/>
        <v>-161073.04477282517</v>
      </c>
      <c r="Q117" s="110">
        <f t="shared" si="20"/>
        <v>-159423.50376655869</v>
      </c>
      <c r="R117" s="110">
        <f t="shared" si="20"/>
        <v>-157696.25552289028</v>
      </c>
      <c r="S117" s="110">
        <f t="shared" si="20"/>
        <v>-155888.28068897818</v>
      </c>
      <c r="T117" s="110">
        <f t="shared" si="20"/>
        <v>-3083.116407304813</v>
      </c>
      <c r="U117" s="110">
        <f t="shared" si="20"/>
        <v>-4143.0631534143758</v>
      </c>
      <c r="V117" s="110">
        <f t="shared" si="20"/>
        <v>-5218.9091007155803</v>
      </c>
      <c r="W117" s="110">
        <f t="shared" si="20"/>
        <v>-6310.8927372263133</v>
      </c>
      <c r="X117" s="110">
        <f t="shared" si="20"/>
        <v>-7419.2561282847018</v>
      </c>
      <c r="Y117" s="110">
        <f t="shared" si="20"/>
        <v>0</v>
      </c>
      <c r="Z117" s="110">
        <f t="shared" si="20"/>
        <v>0</v>
      </c>
      <c r="AA117" s="110">
        <f t="shared" si="20"/>
        <v>0</v>
      </c>
      <c r="AB117" s="110">
        <f t="shared" si="20"/>
        <v>0</v>
      </c>
      <c r="AC117" s="110">
        <f t="shared" si="20"/>
        <v>0</v>
      </c>
      <c r="AD117" s="110">
        <f t="shared" si="20"/>
        <v>0</v>
      </c>
      <c r="AE117" s="110">
        <f t="shared" si="20"/>
        <v>0</v>
      </c>
      <c r="AF117" s="110">
        <f t="shared" si="20"/>
        <v>0</v>
      </c>
      <c r="AG117" s="110">
        <f t="shared" si="20"/>
        <v>0</v>
      </c>
      <c r="AH117" s="110">
        <f t="shared" si="20"/>
        <v>0</v>
      </c>
      <c r="AI117" s="110">
        <f t="shared" si="20"/>
        <v>0</v>
      </c>
      <c r="AJ117" s="110">
        <f t="shared" si="20"/>
        <v>0</v>
      </c>
      <c r="AK117" s="110">
        <f t="shared" si="20"/>
        <v>0</v>
      </c>
      <c r="AL117" s="110">
        <f t="shared" si="20"/>
        <v>0</v>
      </c>
      <c r="AM117" s="110">
        <f t="shared" si="20"/>
        <v>0</v>
      </c>
      <c r="AN117" s="110">
        <f t="shared" si="20"/>
        <v>0</v>
      </c>
      <c r="AO117" s="110">
        <f t="shared" si="20"/>
        <v>0</v>
      </c>
      <c r="AP117" s="110">
        <f t="shared" si="20"/>
        <v>0</v>
      </c>
      <c r="AQ117" s="110">
        <f t="shared" si="20"/>
        <v>0</v>
      </c>
      <c r="AR117" s="111">
        <f t="shared" si="20"/>
        <v>0</v>
      </c>
    </row>
    <row r="118" spans="1:45" s="37" customFormat="1" x14ac:dyDescent="0.2">
      <c r="A118" s="33"/>
      <c r="B118" s="102" t="s">
        <v>90</v>
      </c>
      <c r="C118" s="103" t="s">
        <v>64</v>
      </c>
      <c r="D118" s="104"/>
      <c r="E118" s="112">
        <f t="shared" ref="E118:AR118" si="21">-$C$73*E117</f>
        <v>26227.999999999996</v>
      </c>
      <c r="F118" s="112">
        <f t="shared" si="21"/>
        <v>26083.088385828327</v>
      </c>
      <c r="G118" s="112">
        <f t="shared" si="21"/>
        <v>25930.561465160641</v>
      </c>
      <c r="H118" s="112">
        <f t="shared" si="21"/>
        <v>25770.114551269591</v>
      </c>
      <c r="I118" s="112">
        <f t="shared" si="21"/>
        <v>25601.431721127352</v>
      </c>
      <c r="J118" s="112">
        <f t="shared" si="21"/>
        <v>25424.18541355116</v>
      </c>
      <c r="K118" s="112">
        <f t="shared" si="21"/>
        <v>25238.036013155139</v>
      </c>
      <c r="L118" s="112">
        <f t="shared" si="21"/>
        <v>25042.631419609785</v>
      </c>
      <c r="M118" s="112">
        <f t="shared" si="21"/>
        <v>24837.606601692827</v>
      </c>
      <c r="N118" s="112">
        <f t="shared" si="21"/>
        <v>24622.583135597302</v>
      </c>
      <c r="O118" s="112">
        <f t="shared" si="21"/>
        <v>24397.168726943688</v>
      </c>
      <c r="P118" s="112">
        <f t="shared" si="21"/>
        <v>24160.956715923774</v>
      </c>
      <c r="Q118" s="112">
        <f t="shared" si="21"/>
        <v>23913.525564983804</v>
      </c>
      <c r="R118" s="112">
        <f t="shared" si="21"/>
        <v>23654.438328433542</v>
      </c>
      <c r="S118" s="112">
        <f t="shared" si="21"/>
        <v>23383.242103346725</v>
      </c>
      <c r="T118" s="112">
        <f t="shared" si="21"/>
        <v>462.46746109572194</v>
      </c>
      <c r="U118" s="112">
        <f t="shared" si="21"/>
        <v>621.45947301215631</v>
      </c>
      <c r="V118" s="112">
        <f t="shared" si="21"/>
        <v>782.83636510733697</v>
      </c>
      <c r="W118" s="112">
        <f t="shared" si="21"/>
        <v>946.633910583947</v>
      </c>
      <c r="X118" s="112">
        <f t="shared" si="21"/>
        <v>1112.8884192427051</v>
      </c>
      <c r="Y118" s="112">
        <f t="shared" si="21"/>
        <v>0</v>
      </c>
      <c r="Z118" s="112">
        <f t="shared" si="21"/>
        <v>0</v>
      </c>
      <c r="AA118" s="112">
        <f t="shared" si="21"/>
        <v>0</v>
      </c>
      <c r="AB118" s="112">
        <f t="shared" si="21"/>
        <v>0</v>
      </c>
      <c r="AC118" s="112">
        <f t="shared" si="21"/>
        <v>0</v>
      </c>
      <c r="AD118" s="112">
        <f t="shared" si="21"/>
        <v>0</v>
      </c>
      <c r="AE118" s="112">
        <f t="shared" si="21"/>
        <v>0</v>
      </c>
      <c r="AF118" s="112">
        <f t="shared" si="21"/>
        <v>0</v>
      </c>
      <c r="AG118" s="112">
        <f t="shared" si="21"/>
        <v>0</v>
      </c>
      <c r="AH118" s="112">
        <f t="shared" si="21"/>
        <v>0</v>
      </c>
      <c r="AI118" s="112">
        <f t="shared" si="21"/>
        <v>0</v>
      </c>
      <c r="AJ118" s="112">
        <f t="shared" si="21"/>
        <v>0</v>
      </c>
      <c r="AK118" s="112">
        <f t="shared" si="21"/>
        <v>0</v>
      </c>
      <c r="AL118" s="112">
        <f t="shared" si="21"/>
        <v>0</v>
      </c>
      <c r="AM118" s="112">
        <f t="shared" si="21"/>
        <v>0</v>
      </c>
      <c r="AN118" s="112">
        <f t="shared" si="21"/>
        <v>0</v>
      </c>
      <c r="AO118" s="112">
        <f t="shared" si="21"/>
        <v>0</v>
      </c>
      <c r="AP118" s="112">
        <f t="shared" si="21"/>
        <v>0</v>
      </c>
      <c r="AQ118" s="112">
        <f t="shared" si="21"/>
        <v>0</v>
      </c>
      <c r="AR118" s="113">
        <f t="shared" si="21"/>
        <v>0</v>
      </c>
    </row>
    <row r="119" spans="1:45" s="37" customFormat="1" x14ac:dyDescent="0.2">
      <c r="A119" s="33"/>
      <c r="B119" s="14"/>
      <c r="C119" s="88"/>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90"/>
    </row>
    <row r="120" spans="1:45" s="37" customFormat="1" x14ac:dyDescent="0.2">
      <c r="A120" s="33"/>
      <c r="B120" s="114" t="s">
        <v>91</v>
      </c>
      <c r="C120" s="115" t="s">
        <v>64</v>
      </c>
      <c r="D120" s="115"/>
      <c r="E120" s="116">
        <f t="shared" ref="E120:AR120" si="22">E110+E115+E118</f>
        <v>-117117.06936603296</v>
      </c>
      <c r="F120" s="116">
        <f t="shared" si="22"/>
        <v>-118109.78098020461</v>
      </c>
      <c r="G120" s="116">
        <f t="shared" si="22"/>
        <v>-119122.82490087229</v>
      </c>
      <c r="H120" s="116">
        <f t="shared" si="22"/>
        <v>-120156.69656976333</v>
      </c>
      <c r="I120" s="116">
        <f t="shared" si="22"/>
        <v>-121211.90552623058</v>
      </c>
      <c r="J120" s="116">
        <f t="shared" si="22"/>
        <v>-122288.97585202663</v>
      </c>
      <c r="K120" s="116">
        <f t="shared" si="22"/>
        <v>-123388.44663091582</v>
      </c>
      <c r="L120" s="116">
        <f t="shared" si="22"/>
        <v>-124510.87242363174</v>
      </c>
      <c r="M120" s="116">
        <f t="shared" si="22"/>
        <v>-125656.82375870683</v>
      </c>
      <c r="N120" s="116">
        <f t="shared" si="22"/>
        <v>-126826.88763971782</v>
      </c>
      <c r="O120" s="116">
        <f t="shared" si="22"/>
        <v>-128021.66806951069</v>
      </c>
      <c r="P120" s="116">
        <f t="shared" si="22"/>
        <v>-129241.78659198691</v>
      </c>
      <c r="Q120" s="116">
        <f t="shared" si="22"/>
        <v>-130487.88285205502</v>
      </c>
      <c r="R120" s="116">
        <f t="shared" si="22"/>
        <v>-131760.61517437035</v>
      </c>
      <c r="S120" s="116">
        <f t="shared" si="22"/>
        <v>-133060.6611615087</v>
      </c>
      <c r="T120" s="116">
        <f t="shared" si="22"/>
        <v>-2620.6489462090913</v>
      </c>
      <c r="U120" s="116">
        <f t="shared" si="22"/>
        <v>-3521.6036804022197</v>
      </c>
      <c r="V120" s="116">
        <f t="shared" si="22"/>
        <v>-4436.0727356082434</v>
      </c>
      <c r="W120" s="116">
        <f t="shared" si="22"/>
        <v>-5364.2588266423663</v>
      </c>
      <c r="X120" s="116">
        <f t="shared" si="22"/>
        <v>-6306.3677090419969</v>
      </c>
      <c r="Y120" s="116">
        <f t="shared" si="22"/>
        <v>0</v>
      </c>
      <c r="Z120" s="116">
        <f t="shared" si="22"/>
        <v>0</v>
      </c>
      <c r="AA120" s="116">
        <f t="shared" si="22"/>
        <v>0</v>
      </c>
      <c r="AB120" s="116">
        <f t="shared" si="22"/>
        <v>0</v>
      </c>
      <c r="AC120" s="116">
        <f t="shared" si="22"/>
        <v>0</v>
      </c>
      <c r="AD120" s="116">
        <f t="shared" si="22"/>
        <v>0</v>
      </c>
      <c r="AE120" s="116">
        <f t="shared" si="22"/>
        <v>0</v>
      </c>
      <c r="AF120" s="116">
        <f t="shared" si="22"/>
        <v>0</v>
      </c>
      <c r="AG120" s="116">
        <f t="shared" si="22"/>
        <v>0</v>
      </c>
      <c r="AH120" s="116">
        <f t="shared" si="22"/>
        <v>0</v>
      </c>
      <c r="AI120" s="116">
        <f t="shared" si="22"/>
        <v>0</v>
      </c>
      <c r="AJ120" s="116">
        <f t="shared" si="22"/>
        <v>0</v>
      </c>
      <c r="AK120" s="116">
        <f t="shared" si="22"/>
        <v>0</v>
      </c>
      <c r="AL120" s="116">
        <f t="shared" si="22"/>
        <v>0</v>
      </c>
      <c r="AM120" s="116">
        <f t="shared" si="22"/>
        <v>0</v>
      </c>
      <c r="AN120" s="116">
        <f t="shared" si="22"/>
        <v>0</v>
      </c>
      <c r="AO120" s="116">
        <f t="shared" si="22"/>
        <v>0</v>
      </c>
      <c r="AP120" s="116">
        <f t="shared" si="22"/>
        <v>0</v>
      </c>
      <c r="AQ120" s="116">
        <f t="shared" si="22"/>
        <v>0</v>
      </c>
      <c r="AR120" s="117">
        <f t="shared" si="22"/>
        <v>0</v>
      </c>
    </row>
    <row r="121" spans="1:45" s="37" customFormat="1" x14ac:dyDescent="0.2">
      <c r="A121" s="33"/>
      <c r="B121" s="118" t="s">
        <v>92</v>
      </c>
      <c r="C121" s="119" t="s">
        <v>64</v>
      </c>
      <c r="D121" s="120">
        <f>-SUM(D135:D136)</f>
        <v>-1250000</v>
      </c>
      <c r="E121" s="121">
        <f>E110+E118</f>
        <v>-30292.000000000004</v>
      </c>
      <c r="F121" s="121">
        <f t="shared" ref="F121:AR121" si="23">F110+F118</f>
        <v>-31284.711614171669</v>
      </c>
      <c r="G121" s="121">
        <f t="shared" si="23"/>
        <v>-32297.75553483934</v>
      </c>
      <c r="H121" s="121">
        <f t="shared" si="23"/>
        <v>-33331.627203730386</v>
      </c>
      <c r="I121" s="121">
        <f t="shared" si="23"/>
        <v>-34386.836160197614</v>
      </c>
      <c r="J121" s="121">
        <f t="shared" si="23"/>
        <v>-35463.906485993677</v>
      </c>
      <c r="K121" s="121">
        <f t="shared" si="23"/>
        <v>-36563.37726488286</v>
      </c>
      <c r="L121" s="121">
        <f t="shared" si="23"/>
        <v>-37685.803057598765</v>
      </c>
      <c r="M121" s="121">
        <f t="shared" si="23"/>
        <v>-38831.754392673858</v>
      </c>
      <c r="N121" s="121">
        <f t="shared" si="23"/>
        <v>-40001.818273684868</v>
      </c>
      <c r="O121" s="121">
        <f t="shared" si="23"/>
        <v>-41196.598703477714</v>
      </c>
      <c r="P121" s="121">
        <f t="shared" si="23"/>
        <v>-42416.717225953937</v>
      </c>
      <c r="Q121" s="121">
        <f t="shared" si="23"/>
        <v>-43662.81348602206</v>
      </c>
      <c r="R121" s="121">
        <f t="shared" si="23"/>
        <v>-44935.545808337403</v>
      </c>
      <c r="S121" s="121">
        <f t="shared" si="23"/>
        <v>-46235.591795475761</v>
      </c>
      <c r="T121" s="121">
        <f t="shared" si="23"/>
        <v>-2620.6489462090913</v>
      </c>
      <c r="U121" s="121">
        <f t="shared" si="23"/>
        <v>-3521.6036804022197</v>
      </c>
      <c r="V121" s="121">
        <f t="shared" si="23"/>
        <v>-4436.0727356082434</v>
      </c>
      <c r="W121" s="121">
        <f t="shared" si="23"/>
        <v>-5364.2588266423663</v>
      </c>
      <c r="X121" s="121">
        <f t="shared" si="23"/>
        <v>-6306.3677090419969</v>
      </c>
      <c r="Y121" s="121">
        <f t="shared" si="23"/>
        <v>0</v>
      </c>
      <c r="Z121" s="121">
        <f t="shared" si="23"/>
        <v>0</v>
      </c>
      <c r="AA121" s="121">
        <f t="shared" si="23"/>
        <v>0</v>
      </c>
      <c r="AB121" s="121">
        <f t="shared" si="23"/>
        <v>0</v>
      </c>
      <c r="AC121" s="121">
        <f t="shared" si="23"/>
        <v>0</v>
      </c>
      <c r="AD121" s="121">
        <f t="shared" si="23"/>
        <v>0</v>
      </c>
      <c r="AE121" s="121">
        <f t="shared" si="23"/>
        <v>0</v>
      </c>
      <c r="AF121" s="121">
        <f t="shared" si="23"/>
        <v>0</v>
      </c>
      <c r="AG121" s="121">
        <f t="shared" si="23"/>
        <v>0</v>
      </c>
      <c r="AH121" s="121">
        <f t="shared" si="23"/>
        <v>0</v>
      </c>
      <c r="AI121" s="121">
        <f t="shared" si="23"/>
        <v>0</v>
      </c>
      <c r="AJ121" s="121">
        <f t="shared" si="23"/>
        <v>0</v>
      </c>
      <c r="AK121" s="121">
        <f t="shared" si="23"/>
        <v>0</v>
      </c>
      <c r="AL121" s="121">
        <f t="shared" si="23"/>
        <v>0</v>
      </c>
      <c r="AM121" s="121">
        <f t="shared" si="23"/>
        <v>0</v>
      </c>
      <c r="AN121" s="121">
        <f t="shared" si="23"/>
        <v>0</v>
      </c>
      <c r="AO121" s="121">
        <f t="shared" si="23"/>
        <v>0</v>
      </c>
      <c r="AP121" s="121">
        <f t="shared" si="23"/>
        <v>0</v>
      </c>
      <c r="AQ121" s="121">
        <f t="shared" si="23"/>
        <v>0</v>
      </c>
      <c r="AR121" s="140">
        <f t="shared" si="23"/>
        <v>0</v>
      </c>
    </row>
    <row r="122" spans="1:45" s="37" customFormat="1" x14ac:dyDescent="0.2">
      <c r="A122" s="33"/>
      <c r="B122" s="118" t="s">
        <v>93</v>
      </c>
      <c r="C122" s="119" t="s">
        <v>64</v>
      </c>
      <c r="D122" s="120">
        <f>-D136</f>
        <v>-250000</v>
      </c>
      <c r="E122" s="121">
        <f>E120</f>
        <v>-117117.06936603296</v>
      </c>
      <c r="F122" s="121">
        <f t="shared" ref="F122:AR122" si="24">F120</f>
        <v>-118109.78098020461</v>
      </c>
      <c r="G122" s="121">
        <f t="shared" si="24"/>
        <v>-119122.82490087229</v>
      </c>
      <c r="H122" s="121">
        <f t="shared" si="24"/>
        <v>-120156.69656976333</v>
      </c>
      <c r="I122" s="121">
        <f t="shared" si="24"/>
        <v>-121211.90552623058</v>
      </c>
      <c r="J122" s="121">
        <f t="shared" si="24"/>
        <v>-122288.97585202663</v>
      </c>
      <c r="K122" s="121">
        <f t="shared" si="24"/>
        <v>-123388.44663091582</v>
      </c>
      <c r="L122" s="121">
        <f t="shared" si="24"/>
        <v>-124510.87242363174</v>
      </c>
      <c r="M122" s="121">
        <f t="shared" si="24"/>
        <v>-125656.82375870683</v>
      </c>
      <c r="N122" s="121">
        <f t="shared" si="24"/>
        <v>-126826.88763971782</v>
      </c>
      <c r="O122" s="121">
        <f t="shared" si="24"/>
        <v>-128021.66806951069</v>
      </c>
      <c r="P122" s="121">
        <f t="shared" si="24"/>
        <v>-129241.78659198691</v>
      </c>
      <c r="Q122" s="121">
        <f t="shared" si="24"/>
        <v>-130487.88285205502</v>
      </c>
      <c r="R122" s="121">
        <f t="shared" si="24"/>
        <v>-131760.61517437035</v>
      </c>
      <c r="S122" s="121">
        <f t="shared" si="24"/>
        <v>-133060.6611615087</v>
      </c>
      <c r="T122" s="121">
        <f t="shared" si="24"/>
        <v>-2620.6489462090913</v>
      </c>
      <c r="U122" s="121">
        <f t="shared" si="24"/>
        <v>-3521.6036804022197</v>
      </c>
      <c r="V122" s="121">
        <f t="shared" si="24"/>
        <v>-4436.0727356082434</v>
      </c>
      <c r="W122" s="121">
        <f t="shared" si="24"/>
        <v>-5364.2588266423663</v>
      </c>
      <c r="X122" s="121">
        <f t="shared" si="24"/>
        <v>-6306.3677090419969</v>
      </c>
      <c r="Y122" s="121">
        <f t="shared" si="24"/>
        <v>0</v>
      </c>
      <c r="Z122" s="121">
        <f t="shared" si="24"/>
        <v>0</v>
      </c>
      <c r="AA122" s="121">
        <f t="shared" si="24"/>
        <v>0</v>
      </c>
      <c r="AB122" s="121">
        <f t="shared" si="24"/>
        <v>0</v>
      </c>
      <c r="AC122" s="121">
        <f t="shared" si="24"/>
        <v>0</v>
      </c>
      <c r="AD122" s="121">
        <f t="shared" si="24"/>
        <v>0</v>
      </c>
      <c r="AE122" s="121">
        <f t="shared" si="24"/>
        <v>0</v>
      </c>
      <c r="AF122" s="121">
        <f t="shared" si="24"/>
        <v>0</v>
      </c>
      <c r="AG122" s="121">
        <f t="shared" si="24"/>
        <v>0</v>
      </c>
      <c r="AH122" s="121">
        <f t="shared" si="24"/>
        <v>0</v>
      </c>
      <c r="AI122" s="121">
        <f t="shared" si="24"/>
        <v>0</v>
      </c>
      <c r="AJ122" s="121">
        <f t="shared" si="24"/>
        <v>0</v>
      </c>
      <c r="AK122" s="121">
        <f t="shared" si="24"/>
        <v>0</v>
      </c>
      <c r="AL122" s="121">
        <f t="shared" si="24"/>
        <v>0</v>
      </c>
      <c r="AM122" s="121">
        <f t="shared" si="24"/>
        <v>0</v>
      </c>
      <c r="AN122" s="121">
        <f t="shared" si="24"/>
        <v>0</v>
      </c>
      <c r="AO122" s="121">
        <f t="shared" si="24"/>
        <v>0</v>
      </c>
      <c r="AP122" s="121">
        <f t="shared" si="24"/>
        <v>0</v>
      </c>
      <c r="AQ122" s="121">
        <f t="shared" si="24"/>
        <v>0</v>
      </c>
      <c r="AR122" s="140">
        <f t="shared" si="24"/>
        <v>0</v>
      </c>
    </row>
    <row r="123" spans="1:45" s="37" customFormat="1" x14ac:dyDescent="0.2">
      <c r="A123" s="33"/>
      <c r="B123" s="97" t="s">
        <v>357</v>
      </c>
      <c r="C123" s="362" t="str">
        <f>$C$9</f>
        <v>kWh</v>
      </c>
      <c r="D123" s="122"/>
      <c r="E123" s="123">
        <f t="shared" ref="E123:AR123" si="25">IF(E91&gt;$C$78,0,E97)</f>
        <v>2180000</v>
      </c>
      <c r="F123" s="123">
        <f t="shared" si="25"/>
        <v>2180000</v>
      </c>
      <c r="G123" s="123">
        <f t="shared" si="25"/>
        <v>2180000</v>
      </c>
      <c r="H123" s="123">
        <f t="shared" si="25"/>
        <v>2180000</v>
      </c>
      <c r="I123" s="123">
        <f t="shared" si="25"/>
        <v>2180000</v>
      </c>
      <c r="J123" s="123">
        <f t="shared" si="25"/>
        <v>2180000</v>
      </c>
      <c r="K123" s="123">
        <f t="shared" si="25"/>
        <v>2180000</v>
      </c>
      <c r="L123" s="123">
        <f t="shared" si="25"/>
        <v>2180000</v>
      </c>
      <c r="M123" s="123">
        <f t="shared" si="25"/>
        <v>2180000</v>
      </c>
      <c r="N123" s="123">
        <f t="shared" si="25"/>
        <v>2180000</v>
      </c>
      <c r="O123" s="123">
        <f t="shared" si="25"/>
        <v>2180000</v>
      </c>
      <c r="P123" s="123">
        <f t="shared" si="25"/>
        <v>2180000</v>
      </c>
      <c r="Q123" s="123">
        <f t="shared" si="25"/>
        <v>2180000</v>
      </c>
      <c r="R123" s="123">
        <f t="shared" si="25"/>
        <v>2180000</v>
      </c>
      <c r="S123" s="123">
        <f t="shared" si="25"/>
        <v>2180000</v>
      </c>
      <c r="T123" s="123">
        <f t="shared" si="25"/>
        <v>0</v>
      </c>
      <c r="U123" s="123">
        <f t="shared" si="25"/>
        <v>0</v>
      </c>
      <c r="V123" s="123">
        <f t="shared" si="25"/>
        <v>0</v>
      </c>
      <c r="W123" s="123">
        <f t="shared" si="25"/>
        <v>0</v>
      </c>
      <c r="X123" s="123">
        <f t="shared" si="25"/>
        <v>0</v>
      </c>
      <c r="Y123" s="123">
        <f t="shared" si="25"/>
        <v>0</v>
      </c>
      <c r="Z123" s="123">
        <f t="shared" si="25"/>
        <v>0</v>
      </c>
      <c r="AA123" s="123">
        <f t="shared" si="25"/>
        <v>0</v>
      </c>
      <c r="AB123" s="123">
        <f t="shared" si="25"/>
        <v>0</v>
      </c>
      <c r="AC123" s="123">
        <f t="shared" si="25"/>
        <v>0</v>
      </c>
      <c r="AD123" s="123">
        <f t="shared" si="25"/>
        <v>0</v>
      </c>
      <c r="AE123" s="123">
        <f t="shared" si="25"/>
        <v>0</v>
      </c>
      <c r="AF123" s="123">
        <f t="shared" si="25"/>
        <v>0</v>
      </c>
      <c r="AG123" s="123">
        <f t="shared" si="25"/>
        <v>0</v>
      </c>
      <c r="AH123" s="123">
        <f t="shared" si="25"/>
        <v>0</v>
      </c>
      <c r="AI123" s="123">
        <f t="shared" si="25"/>
        <v>0</v>
      </c>
      <c r="AJ123" s="123">
        <f t="shared" si="25"/>
        <v>0</v>
      </c>
      <c r="AK123" s="123">
        <f t="shared" si="25"/>
        <v>0</v>
      </c>
      <c r="AL123" s="123">
        <f t="shared" si="25"/>
        <v>0</v>
      </c>
      <c r="AM123" s="123">
        <f t="shared" si="25"/>
        <v>0</v>
      </c>
      <c r="AN123" s="123">
        <f t="shared" si="25"/>
        <v>0</v>
      </c>
      <c r="AO123" s="123">
        <f t="shared" si="25"/>
        <v>0</v>
      </c>
      <c r="AP123" s="123">
        <f t="shared" si="25"/>
        <v>0</v>
      </c>
      <c r="AQ123" s="123">
        <f t="shared" si="25"/>
        <v>0</v>
      </c>
      <c r="AR123" s="124">
        <f t="shared" si="25"/>
        <v>0</v>
      </c>
    </row>
    <row r="124" spans="1:45" s="37" customFormat="1" x14ac:dyDescent="0.2">
      <c r="A124" s="33"/>
      <c r="B124" s="3" t="s">
        <v>121</v>
      </c>
      <c r="C124" s="141"/>
      <c r="D124" s="142">
        <f>-D92</f>
        <v>1250000</v>
      </c>
      <c r="E124" s="143">
        <f>D124-($C$5*E97+E109+E113)</f>
        <v>1157528</v>
      </c>
      <c r="F124" s="143">
        <f t="shared" ref="F124:Y124" si="26">E124-($C$5*F97+F109+F113)</f>
        <v>1064089.9225721888</v>
      </c>
      <c r="G124" s="143">
        <f t="shared" si="26"/>
        <v>969634.99900659313</v>
      </c>
      <c r="H124" s="143">
        <f t="shared" si="26"/>
        <v>874110.42934839043</v>
      </c>
      <c r="I124" s="143">
        <f t="shared" si="26"/>
        <v>777461.30748923949</v>
      </c>
      <c r="J124" s="143">
        <f t="shared" si="26"/>
        <v>679630.54357958061</v>
      </c>
      <c r="K124" s="143">
        <f t="shared" si="26"/>
        <v>580558.7836672815</v>
      </c>
      <c r="L124" s="143">
        <f t="shared" si="26"/>
        <v>480184.32646468008</v>
      </c>
      <c r="M124" s="143">
        <f t="shared" si="26"/>
        <v>378443.0371426323</v>
      </c>
      <c r="N124" s="143">
        <f t="shared" si="26"/>
        <v>275268.2580466143</v>
      </c>
      <c r="O124" s="143">
        <f t="shared" si="26"/>
        <v>170590.71622623887</v>
      </c>
      <c r="P124" s="143">
        <f t="shared" si="26"/>
        <v>64338.427665730735</v>
      </c>
      <c r="Q124" s="143">
        <f t="shared" si="26"/>
        <v>-43563.401901043922</v>
      </c>
      <c r="R124" s="143">
        <f t="shared" si="26"/>
        <v>-153192.47971148696</v>
      </c>
      <c r="S124" s="143">
        <f t="shared" si="26"/>
        <v>-264629.53235584212</v>
      </c>
      <c r="T124" s="143">
        <f t="shared" si="26"/>
        <v>-377958.41594853729</v>
      </c>
      <c r="U124" s="143">
        <f t="shared" si="26"/>
        <v>-490227.35279512289</v>
      </c>
      <c r="V124" s="143">
        <f t="shared" si="26"/>
        <v>-601420.44369440735</v>
      </c>
      <c r="W124" s="143">
        <f t="shared" si="26"/>
        <v>-711521.55095718103</v>
      </c>
      <c r="X124" s="143">
        <f t="shared" si="26"/>
        <v>-820514.29482889629</v>
      </c>
      <c r="Y124" s="143">
        <f t="shared" si="26"/>
        <v>-820514.29482889629</v>
      </c>
      <c r="Z124" s="141"/>
      <c r="AA124" s="141"/>
      <c r="AB124" s="141"/>
      <c r="AC124" s="141"/>
      <c r="AD124" s="141"/>
      <c r="AE124" s="141"/>
      <c r="AF124" s="141"/>
      <c r="AG124" s="141"/>
      <c r="AH124" s="141"/>
      <c r="AI124" s="141"/>
      <c r="AJ124" s="141"/>
      <c r="AK124" s="141"/>
      <c r="AL124" s="141"/>
      <c r="AM124" s="141"/>
      <c r="AN124" s="141"/>
      <c r="AO124" s="141"/>
      <c r="AP124" s="141"/>
      <c r="AQ124" s="141"/>
      <c r="AR124" s="144"/>
    </row>
    <row r="125" spans="1:45" s="37" customFormat="1" x14ac:dyDescent="0.2">
      <c r="A125" s="33"/>
      <c r="B125" s="4" t="s">
        <v>308</v>
      </c>
      <c r="C125" s="308"/>
      <c r="D125" s="309"/>
      <c r="E125" s="310">
        <f>IF(E91&gt;$C$76,"",(E110+E97*$C$5)/-E115)</f>
        <v>1.4681474017902556</v>
      </c>
      <c r="F125" s="310">
        <f>IF(F91&gt;$C$76,"",(F110+F97*$C$5)/-F115)</f>
        <v>1.4583829408322588</v>
      </c>
      <c r="G125" s="310">
        <f t="shared" ref="G125:AR125" si="27">IF(G91&gt;$C$76,"",(G110+G97*$C$5)/-G115)</f>
        <v>1.4484720129598918</v>
      </c>
      <c r="H125" s="310">
        <f t="shared" si="27"/>
        <v>1.4384124211694398</v>
      </c>
      <c r="I125" s="310">
        <f t="shared" si="27"/>
        <v>1.4282019355021309</v>
      </c>
      <c r="J125" s="310">
        <f t="shared" si="27"/>
        <v>1.4178382925498121</v>
      </c>
      <c r="K125" s="310">
        <f t="shared" si="27"/>
        <v>1.4073191949532087</v>
      </c>
      <c r="L125" s="310">
        <f t="shared" si="27"/>
        <v>1.3966423108926562</v>
      </c>
      <c r="M125" s="310">
        <f t="shared" si="27"/>
        <v>1.3858052735711954</v>
      </c>
      <c r="N125" s="310">
        <f t="shared" si="27"/>
        <v>1.3748056806899127</v>
      </c>
      <c r="O125" s="310">
        <f t="shared" si="27"/>
        <v>1.3636410939154104</v>
      </c>
      <c r="P125" s="310">
        <f t="shared" si="27"/>
        <v>1.3523090383392911</v>
      </c>
      <c r="Q125" s="310">
        <f t="shared" si="27"/>
        <v>1.3408070019295302</v>
      </c>
      <c r="R125" s="310">
        <f t="shared" si="27"/>
        <v>1.3291324349736224</v>
      </c>
      <c r="S125" s="310">
        <f t="shared" si="27"/>
        <v>1.3172827495133765</v>
      </c>
      <c r="T125" s="310" t="str">
        <f t="shared" si="27"/>
        <v/>
      </c>
      <c r="U125" s="310" t="str">
        <f t="shared" si="27"/>
        <v/>
      </c>
      <c r="V125" s="310" t="str">
        <f t="shared" si="27"/>
        <v/>
      </c>
      <c r="W125" s="310" t="str">
        <f t="shared" si="27"/>
        <v/>
      </c>
      <c r="X125" s="310" t="str">
        <f t="shared" si="27"/>
        <v/>
      </c>
      <c r="Y125" s="310" t="str">
        <f t="shared" si="27"/>
        <v/>
      </c>
      <c r="Z125" s="310" t="str">
        <f t="shared" si="27"/>
        <v/>
      </c>
      <c r="AA125" s="310" t="str">
        <f t="shared" si="27"/>
        <v/>
      </c>
      <c r="AB125" s="310" t="str">
        <f t="shared" si="27"/>
        <v/>
      </c>
      <c r="AC125" s="310" t="str">
        <f t="shared" si="27"/>
        <v/>
      </c>
      <c r="AD125" s="310" t="str">
        <f t="shared" si="27"/>
        <v/>
      </c>
      <c r="AE125" s="310" t="str">
        <f t="shared" si="27"/>
        <v/>
      </c>
      <c r="AF125" s="310" t="str">
        <f t="shared" si="27"/>
        <v/>
      </c>
      <c r="AG125" s="310" t="str">
        <f t="shared" si="27"/>
        <v/>
      </c>
      <c r="AH125" s="310" t="str">
        <f t="shared" si="27"/>
        <v/>
      </c>
      <c r="AI125" s="310" t="str">
        <f t="shared" si="27"/>
        <v/>
      </c>
      <c r="AJ125" s="310" t="str">
        <f t="shared" si="27"/>
        <v/>
      </c>
      <c r="AK125" s="310" t="str">
        <f t="shared" si="27"/>
        <v/>
      </c>
      <c r="AL125" s="310" t="str">
        <f t="shared" si="27"/>
        <v/>
      </c>
      <c r="AM125" s="310" t="str">
        <f t="shared" si="27"/>
        <v/>
      </c>
      <c r="AN125" s="310" t="str">
        <f t="shared" si="27"/>
        <v/>
      </c>
      <c r="AO125" s="310" t="str">
        <f t="shared" si="27"/>
        <v/>
      </c>
      <c r="AP125" s="310" t="str">
        <f t="shared" si="27"/>
        <v/>
      </c>
      <c r="AQ125" s="310" t="str">
        <f t="shared" si="27"/>
        <v/>
      </c>
      <c r="AR125" s="310" t="str">
        <f t="shared" si="27"/>
        <v/>
      </c>
    </row>
    <row r="126" spans="1:45" s="37" customFormat="1" ht="13.5" thickBot="1" x14ac:dyDescent="0.25">
      <c r="A126" s="125"/>
      <c r="B126" s="125"/>
      <c r="C126" s="125"/>
      <c r="D126" s="33"/>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spans="1:45" ht="15" thickTop="1" x14ac:dyDescent="0.2">
      <c r="A127" s="33"/>
      <c r="B127" s="398" t="s">
        <v>94</v>
      </c>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row>
    <row r="128" spans="1:45" s="37" customFormat="1" x14ac:dyDescent="0.2">
      <c r="B128" s="3" t="s">
        <v>95</v>
      </c>
      <c r="C128" s="95" t="s">
        <v>96</v>
      </c>
      <c r="D128" s="146">
        <f>NPV($C$70,E120:AR120)</f>
        <v>-932309.89118220122</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row>
    <row r="129" spans="2:45" s="37" customFormat="1" x14ac:dyDescent="0.2">
      <c r="B129" s="94" t="s">
        <v>356</v>
      </c>
      <c r="C129" s="361" t="str">
        <f>$C$9</f>
        <v>kWh</v>
      </c>
      <c r="D129" s="146">
        <f>(1-$C$73)*NPV($C$70,E123:AR123)</f>
        <v>14013977.894188056</v>
      </c>
      <c r="F129" s="14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row>
    <row r="130" spans="2:45" s="37" customFormat="1" x14ac:dyDescent="0.2">
      <c r="B130" s="94" t="s">
        <v>97</v>
      </c>
      <c r="C130" s="95" t="s">
        <v>64</v>
      </c>
      <c r="D130" s="146">
        <f>$C$36*1000000</f>
        <v>1250000</v>
      </c>
      <c r="F130" s="148"/>
      <c r="G130" s="127"/>
      <c r="H130" s="127"/>
      <c r="I130" s="127"/>
      <c r="J130" s="127"/>
      <c r="K130" s="127"/>
      <c r="L130" s="127"/>
      <c r="M130" s="127"/>
      <c r="N130" s="127"/>
      <c r="O130" s="127"/>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row>
    <row r="131" spans="2:45" s="37" customFormat="1" x14ac:dyDescent="0.2">
      <c r="B131" s="94" t="s">
        <v>98</v>
      </c>
      <c r="C131" s="95"/>
      <c r="D131" s="149">
        <f>AVERAGE(E125:AR125)</f>
        <v>1.3951466522387996</v>
      </c>
      <c r="F131" s="148"/>
      <c r="G131" s="127"/>
      <c r="H131" s="127"/>
      <c r="I131" s="127"/>
      <c r="J131" s="127"/>
      <c r="K131" s="127"/>
      <c r="L131" s="127"/>
      <c r="M131" s="127"/>
      <c r="N131" s="127"/>
      <c r="O131" s="127"/>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row>
    <row r="132" spans="2:45" s="37" customFormat="1" x14ac:dyDescent="0.2">
      <c r="B132" s="94" t="s">
        <v>99</v>
      </c>
      <c r="C132" s="95"/>
      <c r="D132" s="150" t="str">
        <f>CONCATENATE(TEXT((1-$C$73)*$C$69*$C$72+$C$71*$C$70,"0.0%")," / ",TEXT(((1+(1-$C$73)*$C$69*$C$72+$C$71*$C$70)/(1+$C$68))-1,"0.0%"))</f>
        <v>4.4% / 2.9%</v>
      </c>
      <c r="E132" s="151"/>
      <c r="F132" s="147"/>
      <c r="G132" s="129"/>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row>
    <row r="133" spans="2:45" s="37" customFormat="1" x14ac:dyDescent="0.2">
      <c r="B133" s="94" t="s">
        <v>100</v>
      </c>
      <c r="C133" s="95"/>
      <c r="D133" s="152" t="str">
        <f>IF(SUM(E86)&gt;0,IRR(D121:AR121),"n.v.t.")</f>
        <v>n.v.t.</v>
      </c>
      <c r="E133" s="151"/>
      <c r="F133" s="148"/>
      <c r="G133" s="129"/>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row>
    <row r="134" spans="2:45" s="37" customFormat="1" x14ac:dyDescent="0.2">
      <c r="B134" s="94" t="s">
        <v>101</v>
      </c>
      <c r="C134" s="95"/>
      <c r="D134" s="152" t="str">
        <f>IF(SUM(E86)&gt;0,IRR(D122:AR122),"n.v.t.")</f>
        <v>n.v.t.</v>
      </c>
      <c r="F134" s="127"/>
      <c r="G134" s="129"/>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row>
    <row r="135" spans="2:45" s="37" customFormat="1" x14ac:dyDescent="0.2">
      <c r="B135" s="153" t="s">
        <v>102</v>
      </c>
      <c r="C135" s="95" t="s">
        <v>64</v>
      </c>
      <c r="D135" s="146">
        <f>D130*$C$72-C65</f>
        <v>1000000</v>
      </c>
      <c r="F135" s="154"/>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row>
    <row r="136" spans="2:45" s="37" customFormat="1" x14ac:dyDescent="0.2">
      <c r="B136" s="155" t="s">
        <v>103</v>
      </c>
      <c r="C136" s="95" t="s">
        <v>64</v>
      </c>
      <c r="D136" s="146">
        <f>$C$71*D130-C66</f>
        <v>250000</v>
      </c>
      <c r="F136" s="154"/>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row>
    <row r="137" spans="2:45" x14ac:dyDescent="0.2">
      <c r="B137" s="155" t="s">
        <v>104</v>
      </c>
      <c r="C137" s="156" t="s">
        <v>303</v>
      </c>
      <c r="D137" s="157">
        <f>IF(AND(E94&gt;0,E95&gt;0),E95/E94,0)</f>
        <v>0</v>
      </c>
      <c r="F137" s="154"/>
    </row>
    <row r="138" spans="2:45" x14ac:dyDescent="0.2">
      <c r="B138" s="155" t="s">
        <v>105</v>
      </c>
      <c r="C138" s="158" t="s">
        <v>53</v>
      </c>
      <c r="D138" s="159">
        <f>IF(D137=0,MAX(C26:C27),E97/SUM(C23,C25))</f>
        <v>2180</v>
      </c>
      <c r="F138" s="154"/>
    </row>
    <row r="139" spans="2:45" x14ac:dyDescent="0.2">
      <c r="B139" s="155" t="s">
        <v>122</v>
      </c>
      <c r="C139" s="158" t="s">
        <v>123</v>
      </c>
      <c r="D139" s="159" t="str">
        <f>CONCATENATE( "tussen ", INDEX(D91:X91, MATCH(0,D124:X124, -1)), " en ",  1 + INDEX(D91:X91, MATCH(0,D124:X124, -1)), " jaren")</f>
        <v>tussen 12 en 13 jaren</v>
      </c>
      <c r="E139" s="67"/>
      <c r="F139" s="160">
        <f>1/15</f>
        <v>6.6666666666666666E-2</v>
      </c>
      <c r="G139" s="67"/>
      <c r="H139" s="67"/>
      <c r="I139" s="67"/>
      <c r="J139" s="67"/>
      <c r="K139" s="67"/>
      <c r="L139" s="67"/>
      <c r="M139" s="67"/>
      <c r="N139" s="67"/>
      <c r="O139" s="67"/>
      <c r="P139" s="67"/>
      <c r="Q139" s="67"/>
      <c r="R139" s="67"/>
      <c r="S139" s="67"/>
      <c r="T139" s="129"/>
    </row>
    <row r="140" spans="2:45" ht="15" x14ac:dyDescent="0.25">
      <c r="B140"/>
      <c r="C140"/>
      <c r="D140" s="161"/>
      <c r="E140" s="67"/>
      <c r="F140" s="160"/>
      <c r="G140" s="67"/>
      <c r="H140" s="67"/>
      <c r="I140" s="67"/>
      <c r="J140" s="67"/>
      <c r="K140" s="67"/>
      <c r="L140" s="67"/>
      <c r="M140" s="67"/>
      <c r="N140" s="67"/>
      <c r="O140" s="67"/>
      <c r="P140" s="67"/>
      <c r="Q140" s="67"/>
      <c r="R140" s="67"/>
      <c r="S140" s="67"/>
    </row>
    <row r="141" spans="2:45" ht="15" x14ac:dyDescent="0.25">
      <c r="B141"/>
      <c r="C141"/>
      <c r="D141"/>
      <c r="E141" s="67"/>
      <c r="F141" s="160"/>
      <c r="G141" s="67"/>
      <c r="H141" s="67"/>
      <c r="I141" s="67"/>
      <c r="J141" s="67"/>
      <c r="K141" s="67"/>
      <c r="L141" s="67"/>
      <c r="M141" s="67"/>
      <c r="N141" s="67"/>
      <c r="O141" s="67"/>
      <c r="P141" s="67"/>
      <c r="Q141" s="67"/>
      <c r="R141" s="67"/>
      <c r="S141" s="67"/>
    </row>
    <row r="142" spans="2:45" ht="15" x14ac:dyDescent="0.25">
      <c r="B142"/>
      <c r="C142"/>
      <c r="D142"/>
    </row>
    <row r="143" spans="2:45" x14ac:dyDescent="0.2">
      <c r="C143" s="162"/>
    </row>
    <row r="144" spans="2:45" customFormat="1" ht="15" x14ac:dyDescent="0.25">
      <c r="C144" s="163"/>
    </row>
    <row r="145" spans="3:20" customFormat="1" ht="15" x14ac:dyDescent="0.25">
      <c r="C145" s="164"/>
      <c r="D145" s="165"/>
      <c r="E145" s="67"/>
      <c r="F145" s="67"/>
      <c r="G145" s="67"/>
      <c r="H145" s="67"/>
      <c r="I145" s="67"/>
      <c r="J145" s="67"/>
      <c r="K145" s="67"/>
      <c r="L145" s="67"/>
      <c r="M145" s="67"/>
      <c r="N145" s="67"/>
      <c r="O145" s="67"/>
      <c r="P145" s="67"/>
      <c r="Q145" s="67"/>
      <c r="R145" s="67"/>
      <c r="S145" s="67"/>
      <c r="T145" s="166"/>
    </row>
    <row r="146" spans="3:20" customFormat="1" ht="15" x14ac:dyDescent="0.25">
      <c r="C146" s="164"/>
      <c r="D146" s="165"/>
      <c r="E146" s="167"/>
      <c r="F146" s="167"/>
      <c r="G146" s="167"/>
      <c r="H146" s="167"/>
      <c r="I146" s="167"/>
      <c r="J146" s="167"/>
      <c r="K146" s="167"/>
      <c r="L146" s="167"/>
      <c r="M146" s="167"/>
      <c r="N146" s="167"/>
      <c r="O146" s="167"/>
      <c r="P146" s="167"/>
      <c r="Q146" s="167"/>
      <c r="R146" s="167"/>
      <c r="S146" s="167"/>
      <c r="T146" s="166"/>
    </row>
    <row r="147" spans="3:20" customFormat="1" ht="15" x14ac:dyDescent="0.25">
      <c r="C147" s="163"/>
    </row>
    <row r="148" spans="3:20" customFormat="1" ht="15" x14ac:dyDescent="0.25">
      <c r="C148" s="163"/>
    </row>
    <row r="149" spans="3:20" customFormat="1" ht="15" x14ac:dyDescent="0.25">
      <c r="C149" s="163"/>
    </row>
    <row r="150" spans="3:20" customFormat="1" ht="15" x14ac:dyDescent="0.25">
      <c r="C150" s="163"/>
    </row>
    <row r="151" spans="3:20" customFormat="1" ht="15" x14ac:dyDescent="0.25"/>
    <row r="152" spans="3:20" customFormat="1" ht="15" x14ac:dyDescent="0.25"/>
    <row r="153" spans="3:20" customFormat="1" ht="15" x14ac:dyDescent="0.25"/>
    <row r="154" spans="3:20" customFormat="1" ht="15" x14ac:dyDescent="0.25"/>
    <row r="155" spans="3:20" customFormat="1" ht="15" x14ac:dyDescent="0.25"/>
    <row r="156" spans="3:20" customFormat="1" ht="15" x14ac:dyDescent="0.25"/>
    <row r="157" spans="3:20" customFormat="1" ht="15" x14ac:dyDescent="0.25"/>
    <row r="158" spans="3:20" customFormat="1" ht="15" x14ac:dyDescent="0.25"/>
    <row r="159" spans="3:20" customFormat="1" ht="15" x14ac:dyDescent="0.25"/>
    <row r="160" spans="3:20" customFormat="1" ht="15" x14ac:dyDescent="0.25"/>
    <row r="161" customFormat="1" ht="15" x14ac:dyDescent="0.25"/>
    <row r="162" customFormat="1" ht="15" x14ac:dyDescent="0.25"/>
    <row r="163" customFormat="1" ht="15" x14ac:dyDescent="0.25"/>
    <row r="164" customFormat="1" ht="15" x14ac:dyDescent="0.25"/>
  </sheetData>
  <mergeCells count="58">
    <mergeCell ref="E81:M81"/>
    <mergeCell ref="E82:M82"/>
    <mergeCell ref="B90:AR90"/>
    <mergeCell ref="B127:AR127"/>
    <mergeCell ref="E74:M74"/>
    <mergeCell ref="E75:M75"/>
    <mergeCell ref="E76:M76"/>
    <mergeCell ref="E77:M77"/>
    <mergeCell ref="E78:M78"/>
    <mergeCell ref="E80:M80"/>
    <mergeCell ref="E68:M68"/>
    <mergeCell ref="E69:M69"/>
    <mergeCell ref="E70:M70"/>
    <mergeCell ref="E71:M71"/>
    <mergeCell ref="E72:M72"/>
    <mergeCell ref="E73:M73"/>
    <mergeCell ref="E51:M51"/>
    <mergeCell ref="E59:M59"/>
    <mergeCell ref="E64:M64"/>
    <mergeCell ref="E65:M65"/>
    <mergeCell ref="E66:M66"/>
    <mergeCell ref="E67:M67"/>
    <mergeCell ref="E39:M39"/>
    <mergeCell ref="E40:M40"/>
    <mergeCell ref="E41:M41"/>
    <mergeCell ref="E42:M42"/>
    <mergeCell ref="E43:M43"/>
    <mergeCell ref="E44:M44"/>
    <mergeCell ref="E33:M33"/>
    <mergeCell ref="E34:M34"/>
    <mergeCell ref="E35:M35"/>
    <mergeCell ref="E36:M36"/>
    <mergeCell ref="E37:M37"/>
    <mergeCell ref="E38:M38"/>
    <mergeCell ref="E27:M27"/>
    <mergeCell ref="E28:M28"/>
    <mergeCell ref="E29:M29"/>
    <mergeCell ref="E30:M30"/>
    <mergeCell ref="E31:M31"/>
    <mergeCell ref="E32:M32"/>
    <mergeCell ref="E21:M21"/>
    <mergeCell ref="E22:M22"/>
    <mergeCell ref="E23:M23"/>
    <mergeCell ref="E24:M24"/>
    <mergeCell ref="E25:M25"/>
    <mergeCell ref="E26:M26"/>
    <mergeCell ref="E13:M13"/>
    <mergeCell ref="E14:M14"/>
    <mergeCell ref="E15:M15"/>
    <mergeCell ref="E16:M16"/>
    <mergeCell ref="E18:M18"/>
    <mergeCell ref="E19:M19"/>
    <mergeCell ref="E4:M4"/>
    <mergeCell ref="E5:M5"/>
    <mergeCell ref="E6:M6"/>
    <mergeCell ref="E7:M7"/>
    <mergeCell ref="E10:M10"/>
    <mergeCell ref="E12:M12"/>
  </mergeCells>
  <conditionalFormatting sqref="G1:G3 G17 G127:G138 G11 G79 G142:G143 G150:G164 G166:G1048576 G88:G93">
    <cfRule type="containsText" dxfId="29" priority="5" operator="containsText" text="Pas op">
      <formula>NOT(ISERROR(SEARCH("Pas op",G1)))</formula>
    </cfRule>
  </conditionalFormatting>
  <conditionalFormatting sqref="G165">
    <cfRule type="containsText" dxfId="28" priority="4" operator="containsText" text="Pas op">
      <formula>NOT(ISERROR(SEARCH("Pas op",G165)))</formula>
    </cfRule>
  </conditionalFormatting>
  <conditionalFormatting sqref="G144 G147:G149">
    <cfRule type="containsText" dxfId="27" priority="3" operator="containsText" text="Pas op">
      <formula>NOT(ISERROR(SEARCH("Pas op",G144)))</formula>
    </cfRule>
  </conditionalFormatting>
  <conditionalFormatting sqref="G84">
    <cfRule type="containsText" dxfId="26" priority="2" operator="containsText" text="Pas op">
      <formula>NOT(ISERROR(SEARCH("Pas op",G84)))</formula>
    </cfRule>
  </conditionalFormatting>
  <conditionalFormatting sqref="G83">
    <cfRule type="containsText" dxfId="25" priority="1" operator="containsText" text="Pas op">
      <formula>NOT(ISERROR(SEARCH("Pas op",G83)))</formula>
    </cfRule>
  </conditionalFormatting>
  <dataValidations count="1">
    <dataValidation type="list" allowBlank="1" showInputMessage="1" showErrorMessage="1" sqref="C37340 IY37340 SU37340 ACQ37340 AMM37340 AWI37340 BGE37340 BQA37340 BZW37340 CJS37340 CTO37340 DDK37340 DNG37340 DXC37340 EGY37340 EQU37340 FAQ37340 FKM37340 FUI37340 GEE37340 GOA37340 GXW37340 HHS37340 HRO37340 IBK37340 ILG37340 IVC37340 JEY37340 JOU37340 JYQ37340 KIM37340 KSI37340 LCE37340 LMA37340 LVW37340 MFS37340 MPO37340 MZK37340 NJG37340 NTC37340 OCY37340 OMU37340 OWQ37340 PGM37340 PQI37340 QAE37340 QKA37340 QTW37340 RDS37340 RNO37340 RXK37340 SHG37340 SRC37340 TAY37340 TKU37340 TUQ37340 UEM37340 UOI37340 UYE37340 VIA37340 VRW37340 WBS37340 WLO37340 WVK37340 C102876 IY102876 SU102876 ACQ102876 AMM102876 AWI102876 BGE102876 BQA102876 BZW102876 CJS102876 CTO102876 DDK102876 DNG102876 DXC102876 EGY102876 EQU102876 FAQ102876 FKM102876 FUI102876 GEE102876 GOA102876 GXW102876 HHS102876 HRO102876 IBK102876 ILG102876 IVC102876 JEY102876 JOU102876 JYQ102876 KIM102876 KSI102876 LCE102876 LMA102876 LVW102876 MFS102876 MPO102876 MZK102876 NJG102876 NTC102876 OCY102876 OMU102876 OWQ102876 PGM102876 PQI102876 QAE102876 QKA102876 QTW102876 RDS102876 RNO102876 RXK102876 SHG102876 SRC102876 TAY102876 TKU102876 TUQ102876 UEM102876 UOI102876 UYE102876 VIA102876 VRW102876 WBS102876 WLO102876 WVK102876 C168412 IY168412 SU168412 ACQ168412 AMM168412 AWI168412 BGE168412 BQA168412 BZW168412 CJS168412 CTO168412 DDK168412 DNG168412 DXC168412 EGY168412 EQU168412 FAQ168412 FKM168412 FUI168412 GEE168412 GOA168412 GXW168412 HHS168412 HRO168412 IBK168412 ILG168412 IVC168412 JEY168412 JOU168412 JYQ168412 KIM168412 KSI168412 LCE168412 LMA168412 LVW168412 MFS168412 MPO168412 MZK168412 NJG168412 NTC168412 OCY168412 OMU168412 OWQ168412 PGM168412 PQI168412 QAE168412 QKA168412 QTW168412 RDS168412 RNO168412 RXK168412 SHG168412 SRC168412 TAY168412 TKU168412 TUQ168412 UEM168412 UOI168412 UYE168412 VIA168412 VRW168412 WBS168412 WLO168412 WVK168412 C233948 IY233948 SU233948 ACQ233948 AMM233948 AWI233948 BGE233948 BQA233948 BZW233948 CJS233948 CTO233948 DDK233948 DNG233948 DXC233948 EGY233948 EQU233948 FAQ233948 FKM233948 FUI233948 GEE233948 GOA233948 GXW233948 HHS233948 HRO233948 IBK233948 ILG233948 IVC233948 JEY233948 JOU233948 JYQ233948 KIM233948 KSI233948 LCE233948 LMA233948 LVW233948 MFS233948 MPO233948 MZK233948 NJG233948 NTC233948 OCY233948 OMU233948 OWQ233948 PGM233948 PQI233948 QAE233948 QKA233948 QTW233948 RDS233948 RNO233948 RXK233948 SHG233948 SRC233948 TAY233948 TKU233948 TUQ233948 UEM233948 UOI233948 UYE233948 VIA233948 VRW233948 WBS233948 WLO233948 WVK233948 C299484 IY299484 SU299484 ACQ299484 AMM299484 AWI299484 BGE299484 BQA299484 BZW299484 CJS299484 CTO299484 DDK299484 DNG299484 DXC299484 EGY299484 EQU299484 FAQ299484 FKM299484 FUI299484 GEE299484 GOA299484 GXW299484 HHS299484 HRO299484 IBK299484 ILG299484 IVC299484 JEY299484 JOU299484 JYQ299484 KIM299484 KSI299484 LCE299484 LMA299484 LVW299484 MFS299484 MPO299484 MZK299484 NJG299484 NTC299484 OCY299484 OMU299484 OWQ299484 PGM299484 PQI299484 QAE299484 QKA299484 QTW299484 RDS299484 RNO299484 RXK299484 SHG299484 SRC299484 TAY299484 TKU299484 TUQ299484 UEM299484 UOI299484 UYE299484 VIA299484 VRW299484 WBS299484 WLO299484 WVK299484 C365020 IY365020 SU365020 ACQ365020 AMM365020 AWI365020 BGE365020 BQA365020 BZW365020 CJS365020 CTO365020 DDK365020 DNG365020 DXC365020 EGY365020 EQU365020 FAQ365020 FKM365020 FUI365020 GEE365020 GOA365020 GXW365020 HHS365020 HRO365020 IBK365020 ILG365020 IVC365020 JEY365020 JOU365020 JYQ365020 KIM365020 KSI365020 LCE365020 LMA365020 LVW365020 MFS365020 MPO365020 MZK365020 NJG365020 NTC365020 OCY365020 OMU365020 OWQ365020 PGM365020 PQI365020 QAE365020 QKA365020 QTW365020 RDS365020 RNO365020 RXK365020 SHG365020 SRC365020 TAY365020 TKU365020 TUQ365020 UEM365020 UOI365020 UYE365020 VIA365020 VRW365020 WBS365020 WLO365020 WVK365020 C430556 IY430556 SU430556 ACQ430556 AMM430556 AWI430556 BGE430556 BQA430556 BZW430556 CJS430556 CTO430556 DDK430556 DNG430556 DXC430556 EGY430556 EQU430556 FAQ430556 FKM430556 FUI430556 GEE430556 GOA430556 GXW430556 HHS430556 HRO430556 IBK430556 ILG430556 IVC430556 JEY430556 JOU430556 JYQ430556 KIM430556 KSI430556 LCE430556 LMA430556 LVW430556 MFS430556 MPO430556 MZK430556 NJG430556 NTC430556 OCY430556 OMU430556 OWQ430556 PGM430556 PQI430556 QAE430556 QKA430556 QTW430556 RDS430556 RNO430556 RXK430556 SHG430556 SRC430556 TAY430556 TKU430556 TUQ430556 UEM430556 UOI430556 UYE430556 VIA430556 VRW430556 WBS430556 WLO430556 WVK430556 C496092 IY496092 SU496092 ACQ496092 AMM496092 AWI496092 BGE496092 BQA496092 BZW496092 CJS496092 CTO496092 DDK496092 DNG496092 DXC496092 EGY496092 EQU496092 FAQ496092 FKM496092 FUI496092 GEE496092 GOA496092 GXW496092 HHS496092 HRO496092 IBK496092 ILG496092 IVC496092 JEY496092 JOU496092 JYQ496092 KIM496092 KSI496092 LCE496092 LMA496092 LVW496092 MFS496092 MPO496092 MZK496092 NJG496092 NTC496092 OCY496092 OMU496092 OWQ496092 PGM496092 PQI496092 QAE496092 QKA496092 QTW496092 RDS496092 RNO496092 RXK496092 SHG496092 SRC496092 TAY496092 TKU496092 TUQ496092 UEM496092 UOI496092 UYE496092 VIA496092 VRW496092 WBS496092 WLO496092 WVK496092 C561628 IY561628 SU561628 ACQ561628 AMM561628 AWI561628 BGE561628 BQA561628 BZW561628 CJS561628 CTO561628 DDK561628 DNG561628 DXC561628 EGY561628 EQU561628 FAQ561628 FKM561628 FUI561628 GEE561628 GOA561628 GXW561628 HHS561628 HRO561628 IBK561628 ILG561628 IVC561628 JEY561628 JOU561628 JYQ561628 KIM561628 KSI561628 LCE561628 LMA561628 LVW561628 MFS561628 MPO561628 MZK561628 NJG561628 NTC561628 OCY561628 OMU561628 OWQ561628 PGM561628 PQI561628 QAE561628 QKA561628 QTW561628 RDS561628 RNO561628 RXK561628 SHG561628 SRC561628 TAY561628 TKU561628 TUQ561628 UEM561628 UOI561628 UYE561628 VIA561628 VRW561628 WBS561628 WLO561628 WVK561628 C627164 IY627164 SU627164 ACQ627164 AMM627164 AWI627164 BGE627164 BQA627164 BZW627164 CJS627164 CTO627164 DDK627164 DNG627164 DXC627164 EGY627164 EQU627164 FAQ627164 FKM627164 FUI627164 GEE627164 GOA627164 GXW627164 HHS627164 HRO627164 IBK627164 ILG627164 IVC627164 JEY627164 JOU627164 JYQ627164 KIM627164 KSI627164 LCE627164 LMA627164 LVW627164 MFS627164 MPO627164 MZK627164 NJG627164 NTC627164 OCY627164 OMU627164 OWQ627164 PGM627164 PQI627164 QAE627164 QKA627164 QTW627164 RDS627164 RNO627164 RXK627164 SHG627164 SRC627164 TAY627164 TKU627164 TUQ627164 UEM627164 UOI627164 UYE627164 VIA627164 VRW627164 WBS627164 WLO627164 WVK627164 C692700 IY692700 SU692700 ACQ692700 AMM692700 AWI692700 BGE692700 BQA692700 BZW692700 CJS692700 CTO692700 DDK692700 DNG692700 DXC692700 EGY692700 EQU692700 FAQ692700 FKM692700 FUI692700 GEE692700 GOA692700 GXW692700 HHS692700 HRO692700 IBK692700 ILG692700 IVC692700 JEY692700 JOU692700 JYQ692700 KIM692700 KSI692700 LCE692700 LMA692700 LVW692700 MFS692700 MPO692700 MZK692700 NJG692700 NTC692700 OCY692700 OMU692700 OWQ692700 PGM692700 PQI692700 QAE692700 QKA692700 QTW692700 RDS692700 RNO692700 RXK692700 SHG692700 SRC692700 TAY692700 TKU692700 TUQ692700 UEM692700 UOI692700 UYE692700 VIA692700 VRW692700 WBS692700 WLO692700 WVK692700 C758236 IY758236 SU758236 ACQ758236 AMM758236 AWI758236 BGE758236 BQA758236 BZW758236 CJS758236 CTO758236 DDK758236 DNG758236 DXC758236 EGY758236 EQU758236 FAQ758236 FKM758236 FUI758236 GEE758236 GOA758236 GXW758236 HHS758236 HRO758236 IBK758236 ILG758236 IVC758236 JEY758236 JOU758236 JYQ758236 KIM758236 KSI758236 LCE758236 LMA758236 LVW758236 MFS758236 MPO758236 MZK758236 NJG758236 NTC758236 OCY758236 OMU758236 OWQ758236 PGM758236 PQI758236 QAE758236 QKA758236 QTW758236 RDS758236 RNO758236 RXK758236 SHG758236 SRC758236 TAY758236 TKU758236 TUQ758236 UEM758236 UOI758236 UYE758236 VIA758236 VRW758236 WBS758236 WLO758236 WVK758236 C823772 IY823772 SU823772 ACQ823772 AMM823772 AWI823772 BGE823772 BQA823772 BZW823772 CJS823772 CTO823772 DDK823772 DNG823772 DXC823772 EGY823772 EQU823772 FAQ823772 FKM823772 FUI823772 GEE823772 GOA823772 GXW823772 HHS823772 HRO823772 IBK823772 ILG823772 IVC823772 JEY823772 JOU823772 JYQ823772 KIM823772 KSI823772 LCE823772 LMA823772 LVW823772 MFS823772 MPO823772 MZK823772 NJG823772 NTC823772 OCY823772 OMU823772 OWQ823772 PGM823772 PQI823772 QAE823772 QKA823772 QTW823772 RDS823772 RNO823772 RXK823772 SHG823772 SRC823772 TAY823772 TKU823772 TUQ823772 UEM823772 UOI823772 UYE823772 VIA823772 VRW823772 WBS823772 WLO823772 WVK823772 C889308 IY889308 SU889308 ACQ889308 AMM889308 AWI889308 BGE889308 BQA889308 BZW889308 CJS889308 CTO889308 DDK889308 DNG889308 DXC889308 EGY889308 EQU889308 FAQ889308 FKM889308 FUI889308 GEE889308 GOA889308 GXW889308 HHS889308 HRO889308 IBK889308 ILG889308 IVC889308 JEY889308 JOU889308 JYQ889308 KIM889308 KSI889308 LCE889308 LMA889308 LVW889308 MFS889308 MPO889308 MZK889308 NJG889308 NTC889308 OCY889308 OMU889308 OWQ889308 PGM889308 PQI889308 QAE889308 QKA889308 QTW889308 RDS889308 RNO889308 RXK889308 SHG889308 SRC889308 TAY889308 TKU889308 TUQ889308 UEM889308 UOI889308 UYE889308 VIA889308 VRW889308 WBS889308 WLO889308 WVK889308 C954844 IY954844 SU954844 ACQ954844 AMM954844 AWI954844 BGE954844 BQA954844 BZW954844 CJS954844 CTO954844 DDK954844 DNG954844 DXC954844 EGY954844 EQU954844 FAQ954844 FKM954844 FUI954844 GEE954844 GOA954844 GXW954844 HHS954844 HRO954844 IBK954844 ILG954844 IVC954844 JEY954844 JOU954844 JYQ954844 KIM954844 KSI954844 LCE954844 LMA954844 LVW954844 MFS954844 MPO954844 MZK954844 NJG954844 NTC954844 OCY954844 OMU954844 OWQ954844 PGM954844 PQI954844 QAE954844 QKA954844 QTW954844 RDS954844 RNO954844 RXK954844 SHG954844 SRC954844 TAY954844 TKU954844 TUQ954844 UEM954844 UOI954844 UYE954844 VIA954844 VRW954844 WBS954844 WLO954844 WVK954844" xr:uid="{41FEA5F9-25C7-41EC-9770-4C84BE42CC09}">
      <formula1>"ja,nee"</formula1>
    </dataValidation>
  </dataValidations>
  <pageMargins left="0.7" right="0.7" top="0.75" bottom="0.75" header="0.3" footer="0.3"/>
  <pageSetup paperSize="9" scale="13"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13979C982CE41BB9A7BED8F58D331" ma:contentTypeVersion="9" ma:contentTypeDescription="Een nieuw document maken." ma:contentTypeScope="" ma:versionID="9c28adad58746f206fd69c45cd3d4750">
  <xsd:schema xmlns:xsd="http://www.w3.org/2001/XMLSchema" xmlns:xs="http://www.w3.org/2001/XMLSchema" xmlns:p="http://schemas.microsoft.com/office/2006/metadata/properties" xmlns:ns2="83b1ee3b-81ea-4e1d-9c3c-7dade408bfdb" targetNamespace="http://schemas.microsoft.com/office/2006/metadata/properties" ma:root="true" ma:fieldsID="5db312d087c379053f4e752bd4011c26" ns2:_="">
    <xsd:import namespace="83b1ee3b-81ea-4e1d-9c3c-7dade408bf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1ee3b-81ea-4e1d-9c3c-7dade408bf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A1D797-6C5B-4AFF-AE0B-28F6F6EE43C5}"/>
</file>

<file path=customXml/itemProps2.xml><?xml version="1.0" encoding="utf-8"?>
<ds:datastoreItem xmlns:ds="http://schemas.openxmlformats.org/officeDocument/2006/customXml" ds:itemID="{26F96E49-AD7E-4F0C-83A5-8E644796F328}"/>
</file>

<file path=customXml/itemProps3.xml><?xml version="1.0" encoding="utf-8"?>
<ds:datastoreItem xmlns:ds="http://schemas.openxmlformats.org/officeDocument/2006/customXml" ds:itemID="{68BCB4D4-67EE-406F-A5BE-99F2F04BB1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Colofon</vt:lpstr>
      <vt:lpstr>Overzicht</vt:lpstr>
      <vt:lpstr>Rangschikking</vt:lpstr>
      <vt:lpstr>Correctiebedragen</vt:lpstr>
      <vt:lpstr>1</vt:lpstr>
      <vt:lpstr>2</vt:lpstr>
      <vt:lpstr>3</vt:lpstr>
      <vt:lpstr>4</vt:lpstr>
      <vt:lpstr>5</vt:lpstr>
      <vt:lpstr>6</vt:lpstr>
      <vt:lpstr>7</vt:lpstr>
      <vt:lpstr>8</vt:lpstr>
      <vt:lpstr>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Pisca, iulia</dc:creator>
  <cp:lastModifiedBy>Marsidi, Marc</cp:lastModifiedBy>
  <dcterms:created xsi:type="dcterms:W3CDTF">2019-08-15T13:37:42Z</dcterms:created>
  <dcterms:modified xsi:type="dcterms:W3CDTF">2021-04-21T06:49:29Z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0x01010038A13979C982CE41BB9A7BED8F58D331</vt:lpwstr>
  </property>
</Properties>
</file>