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Y:\Communicatie\webredactie\05-Publicaties\In_Bewerking\5038 - Onrendabele top-model (OT-Model) Eindadvies SCE 2024\"/>
    </mc:Choice>
  </mc:AlternateContent>
  <xr:revisionPtr revIDLastSave="0" documentId="13_ncr:1_{287366E3-6C43-42D0-A7F5-F264A1182343}" xr6:coauthVersionLast="47" xr6:coauthVersionMax="47" xr10:uidLastSave="{00000000-0000-0000-0000-000000000000}"/>
  <bookViews>
    <workbookView xWindow="-120" yWindow="-120" windowWidth="29040" windowHeight="15840" tabRatio="833" xr2:uid="{1201415B-9CE0-4180-9814-A1E6E089401B}"/>
  </bookViews>
  <sheets>
    <sheet name="Colofon" sheetId="6" r:id="rId1"/>
    <sheet name="Overzicht" sheetId="65" r:id="rId2"/>
    <sheet name="Correctiebedragen" sheetId="149" r:id="rId3"/>
    <sheet name="ETS correctie methodes" sheetId="701" state="hidden" r:id="rId4"/>
    <sheet name="1" sheetId="2174" r:id="rId5"/>
    <sheet name="2" sheetId="2175" r:id="rId6"/>
    <sheet name="3" sheetId="2176" r:id="rId7"/>
    <sheet name="4" sheetId="2177" r:id="rId8"/>
    <sheet name="5" sheetId="2178" r:id="rId9"/>
    <sheet name="6" sheetId="2179" r:id="rId10"/>
    <sheet name="7" sheetId="2180" r:id="rId11"/>
    <sheet name="8" sheetId="2181" r:id="rId12"/>
    <sheet name="9" sheetId="2182" r:id="rId13"/>
    <sheet name="10" sheetId="2183" r:id="rId14"/>
    <sheet name="11" sheetId="2184" r:id="rId15"/>
    <sheet name="12" sheetId="2185" r:id="rId16"/>
    <sheet name="13" sheetId="2188" r:id="rId17"/>
    <sheet name="14" sheetId="2189" r:id="rId18"/>
    <sheet name="15" sheetId="2190" r:id="rId19"/>
    <sheet name="16" sheetId="2191" r:id="rId20"/>
    <sheet name="17" sheetId="2192" r:id="rId21"/>
    <sheet name="18" sheetId="2187" r:id="rId22"/>
    <sheet name="19" sheetId="2186" r:id="rId23"/>
  </sheets>
  <definedNames>
    <definedName name="Aandeel_gasketelwarmtevervanging_in_warmtenet_flexibele_warmte">'ETS correctie methodes'!$D$26</definedName>
    <definedName name="Aandeel_gasketelwarmtevervanging_in_warmtenet_niet_flexibele_warmte">'ETS correctie methodes'!$D$25</definedName>
    <definedName name="Allocatie_gratis_EUA_warmtenet">'ETS correctie methodes'!$D$24</definedName>
    <definedName name="decimalen">Colofon!$B$23</definedName>
    <definedName name="eff_gasketel">'ETS correctie methodes'!$D$21</definedName>
    <definedName name="Emfac_gas">'ETS correctie methodes'!$D$22</definedName>
    <definedName name="ETS_max_warmte">'ETS correctie methodes'!$D$23</definedName>
    <definedName name="EUA_prijs">'ETS correctie methodes'!$D$20</definedName>
    <definedName name="Gasbesparing_EOP">'ETS correctie methodes'!$D$29</definedName>
    <definedName name="Gasbesparing_HG">'ETS correctie methodes'!$D$28</definedName>
    <definedName name="Niet_CL_gevoelig_offshore_gaswinning">'ETS correctie methodes'!$D$27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3" i="2174" l="1"/>
  <c r="H4" i="149" l="1"/>
  <c r="C166" i="2186" l="1"/>
  <c r="C163" i="2191"/>
  <c r="C163" i="2190"/>
  <c r="C163" i="2189"/>
  <c r="C166" i="2187"/>
  <c r="C166" i="2192"/>
  <c r="C168" i="2186"/>
  <c r="C167" i="2186"/>
  <c r="C168" i="2187"/>
  <c r="C167" i="2187"/>
  <c r="C168" i="2192"/>
  <c r="C167" i="2192"/>
  <c r="C168" i="2191"/>
  <c r="C167" i="2191"/>
  <c r="C168" i="2190"/>
  <c r="C167" i="2190"/>
  <c r="C168" i="2189"/>
  <c r="C167" i="2189"/>
  <c r="C168" i="2188"/>
  <c r="C167" i="2188"/>
  <c r="C168" i="2185"/>
  <c r="C167" i="2185"/>
  <c r="C168" i="2184"/>
  <c r="C167" i="2184"/>
  <c r="C168" i="2183"/>
  <c r="C167" i="2183"/>
  <c r="C168" i="2182"/>
  <c r="C167" i="2182"/>
  <c r="C168" i="2180"/>
  <c r="C167" i="2180"/>
  <c r="C168" i="2181"/>
  <c r="C167" i="2181"/>
  <c r="C168" i="2179"/>
  <c r="C167" i="2179"/>
  <c r="C167" i="2178"/>
  <c r="C167" i="2177"/>
  <c r="C167" i="2176"/>
  <c r="C167" i="2175"/>
  <c r="C166" i="2181"/>
  <c r="C166" i="2180"/>
  <c r="C166" i="2182"/>
  <c r="C166" i="2183"/>
  <c r="C166" i="2184"/>
  <c r="C166" i="2185"/>
  <c r="C166" i="2188"/>
  <c r="C166" i="2191"/>
  <c r="C166" i="2190"/>
  <c r="C166" i="2189"/>
  <c r="C166" i="2179"/>
  <c r="B168" i="2186"/>
  <c r="B167" i="2186"/>
  <c r="B166" i="2186"/>
  <c r="B168" i="2187"/>
  <c r="B167" i="2187"/>
  <c r="B166" i="2187"/>
  <c r="B168" i="2192"/>
  <c r="B167" i="2192"/>
  <c r="B166" i="2192"/>
  <c r="B168" i="2191"/>
  <c r="B167" i="2191"/>
  <c r="B166" i="2191"/>
  <c r="B168" i="2190"/>
  <c r="B167" i="2190"/>
  <c r="B166" i="2190"/>
  <c r="B168" i="2189"/>
  <c r="B167" i="2189"/>
  <c r="B166" i="2189"/>
  <c r="B168" i="2188"/>
  <c r="B167" i="2188"/>
  <c r="B166" i="2188"/>
  <c r="B168" i="2185"/>
  <c r="B167" i="2185"/>
  <c r="B166" i="2185"/>
  <c r="B168" i="2184"/>
  <c r="B167" i="2184"/>
  <c r="B166" i="2184"/>
  <c r="B168" i="2183"/>
  <c r="B167" i="2183"/>
  <c r="B166" i="2183"/>
  <c r="B168" i="2182"/>
  <c r="B167" i="2182"/>
  <c r="B166" i="2182"/>
  <c r="B168" i="2180"/>
  <c r="B167" i="2180"/>
  <c r="B166" i="2180"/>
  <c r="B168" i="2181"/>
  <c r="B167" i="2181"/>
  <c r="B166" i="2181"/>
  <c r="B168" i="2179"/>
  <c r="B167" i="2179"/>
  <c r="B166" i="2179"/>
  <c r="B168" i="2178"/>
  <c r="B167" i="2178"/>
  <c r="B166" i="2178"/>
  <c r="B168" i="2177"/>
  <c r="B167" i="2177"/>
  <c r="B166" i="2177"/>
  <c r="B168" i="2176"/>
  <c r="B167" i="2176"/>
  <c r="B166" i="2176"/>
  <c r="B168" i="2175"/>
  <c r="B167" i="2175"/>
  <c r="B166" i="2175"/>
  <c r="B168" i="2174"/>
  <c r="B167" i="2174"/>
  <c r="B166" i="2174"/>
  <c r="C167" i="2174"/>
  <c r="Z20" i="65"/>
  <c r="Z16" i="65"/>
  <c r="Z19" i="65"/>
  <c r="Z25" i="65"/>
  <c r="Z27" i="65"/>
  <c r="Z24" i="65"/>
  <c r="Z23" i="65"/>
  <c r="Z22" i="65"/>
  <c r="Z15" i="65"/>
  <c r="Z13" i="65"/>
  <c r="Z14" i="65"/>
  <c r="Z21" i="65"/>
  <c r="Z18" i="65"/>
  <c r="Z17" i="65"/>
  <c r="F7" i="149" l="1"/>
  <c r="F6" i="149"/>
  <c r="D7" i="149"/>
  <c r="D6" i="149"/>
  <c r="F33" i="149"/>
  <c r="F32" i="149"/>
  <c r="F31" i="149"/>
  <c r="F30" i="149"/>
  <c r="C168" i="2177" l="1"/>
  <c r="C166" i="2177" s="1"/>
  <c r="C168" i="2176"/>
  <c r="C166" i="2176" s="1"/>
  <c r="C168" i="2178"/>
  <c r="C166" i="2178" s="1"/>
  <c r="C168" i="2175"/>
  <c r="C166" i="2175" s="1"/>
  <c r="C168" i="2174"/>
  <c r="C166" i="2174" s="1"/>
  <c r="C171" i="2186"/>
  <c r="C170" i="2186"/>
  <c r="C169" i="2186"/>
  <c r="C171" i="2187"/>
  <c r="C170" i="2187"/>
  <c r="C171" i="2192"/>
  <c r="C170" i="2192"/>
  <c r="C171" i="2191"/>
  <c r="C170" i="2191"/>
  <c r="C171" i="2190"/>
  <c r="C170" i="2190"/>
  <c r="C171" i="2189"/>
  <c r="C170" i="2189"/>
  <c r="C171" i="2188"/>
  <c r="C170" i="2188"/>
  <c r="C171" i="2185"/>
  <c r="C170" i="2185"/>
  <c r="C171" i="2184"/>
  <c r="C170" i="2184"/>
  <c r="C171" i="2183"/>
  <c r="C170" i="2183"/>
  <c r="C171" i="2182"/>
  <c r="C170" i="2182"/>
  <c r="C171" i="2181"/>
  <c r="C170" i="2181"/>
  <c r="C171" i="2180"/>
  <c r="C170" i="2180"/>
  <c r="C171" i="2179"/>
  <c r="C170" i="2179"/>
  <c r="C171" i="2178"/>
  <c r="C171" i="2177"/>
  <c r="C171" i="2176"/>
  <c r="C171" i="2175"/>
  <c r="C171" i="2174"/>
  <c r="C162" i="2186"/>
  <c r="C161" i="2186"/>
  <c r="C162" i="2187"/>
  <c r="C161" i="2187"/>
  <c r="C162" i="2192"/>
  <c r="C161" i="2192"/>
  <c r="C162" i="2191"/>
  <c r="C161" i="2191"/>
  <c r="C162" i="2190"/>
  <c r="C161" i="2190"/>
  <c r="C162" i="2189"/>
  <c r="C161" i="2189"/>
  <c r="C162" i="2188"/>
  <c r="C161" i="2188"/>
  <c r="C162" i="2185"/>
  <c r="C161" i="2185"/>
  <c r="C162" i="2184"/>
  <c r="C161" i="2184"/>
  <c r="C162" i="2183"/>
  <c r="C161" i="2183"/>
  <c r="C162" i="2182"/>
  <c r="C161" i="2182"/>
  <c r="C162" i="2181"/>
  <c r="C161" i="2181"/>
  <c r="C162" i="2180"/>
  <c r="C161" i="2180"/>
  <c r="C162" i="2179"/>
  <c r="C161" i="2179"/>
  <c r="Z8" i="65"/>
  <c r="Z7" i="65"/>
  <c r="Z9" i="65"/>
  <c r="Z11" i="65"/>
  <c r="Z10" i="65"/>
  <c r="F12" i="149" l="1"/>
  <c r="F11" i="149"/>
  <c r="H7" i="149"/>
  <c r="H6" i="149"/>
  <c r="C162" i="2174" s="1"/>
  <c r="H5" i="149"/>
  <c r="H3" i="149"/>
  <c r="C160" i="2186" s="1"/>
  <c r="F3" i="149"/>
  <c r="D3" i="149"/>
  <c r="J3" i="149"/>
  <c r="C7" i="2186" s="1"/>
  <c r="C161" i="2178" l="1"/>
  <c r="C161" i="2175"/>
  <c r="C161" i="2177"/>
  <c r="C161" i="2176"/>
  <c r="C161" i="2174"/>
  <c r="C160" i="2174" s="1"/>
  <c r="C160" i="2191"/>
  <c r="C160" i="2188"/>
  <c r="C160" i="2183"/>
  <c r="C160" i="2180"/>
  <c r="C160" i="2185"/>
  <c r="C160" i="2179"/>
  <c r="C160" i="2192"/>
  <c r="C160" i="2181"/>
  <c r="C160" i="2187"/>
  <c r="C160" i="2190"/>
  <c r="C160" i="2182"/>
  <c r="C160" i="2189"/>
  <c r="C160" i="2184"/>
  <c r="C162" i="2176"/>
  <c r="C162" i="2178"/>
  <c r="C162" i="2177"/>
  <c r="C162" i="2175"/>
  <c r="C51" i="2187"/>
  <c r="C51" i="2192"/>
  <c r="C51" i="2191"/>
  <c r="C51" i="2190"/>
  <c r="C51" i="2189"/>
  <c r="C51" i="2185"/>
  <c r="C51" i="2184"/>
  <c r="C51" i="2183"/>
  <c r="C51" i="2182"/>
  <c r="C51" i="2181"/>
  <c r="C160" i="2177" l="1"/>
  <c r="C160" i="2175"/>
  <c r="C160" i="2176"/>
  <c r="C160" i="2178"/>
  <c r="C36" i="2187"/>
  <c r="C34" i="2187"/>
  <c r="C36" i="2192"/>
  <c r="C34" i="2192"/>
  <c r="C36" i="2191"/>
  <c r="C34" i="2191"/>
  <c r="C77" i="2187"/>
  <c r="C66" i="2187"/>
  <c r="C64" i="2187"/>
  <c r="C62" i="2187"/>
  <c r="C59" i="2187"/>
  <c r="C43" i="2187"/>
  <c r="C41" i="2187"/>
  <c r="C42" i="2187" s="1"/>
  <c r="C21" i="2187"/>
  <c r="C20" i="2187"/>
  <c r="C77" i="2192"/>
  <c r="C66" i="2192"/>
  <c r="C64" i="2192"/>
  <c r="C62" i="2192"/>
  <c r="C59" i="2192"/>
  <c r="C43" i="2192"/>
  <c r="C41" i="2192"/>
  <c r="C42" i="2192" s="1"/>
  <c r="C21" i="2192"/>
  <c r="C20" i="2192"/>
  <c r="C77" i="2191"/>
  <c r="C66" i="2191"/>
  <c r="C64" i="2191"/>
  <c r="C62" i="2191"/>
  <c r="C59" i="2191"/>
  <c r="C43" i="2191"/>
  <c r="C41" i="2191"/>
  <c r="C42" i="2191" s="1"/>
  <c r="C21" i="2191"/>
  <c r="C20" i="2191"/>
  <c r="C77" i="2190"/>
  <c r="C66" i="2190"/>
  <c r="C64" i="2190"/>
  <c r="C62" i="2190"/>
  <c r="C59" i="2190"/>
  <c r="C43" i="2190"/>
  <c r="C41" i="2190"/>
  <c r="C42" i="2190" s="1"/>
  <c r="C36" i="2190"/>
  <c r="C34" i="2190"/>
  <c r="C21" i="2190"/>
  <c r="C20" i="2190"/>
  <c r="C77" i="2189"/>
  <c r="C66" i="2189"/>
  <c r="C64" i="2189"/>
  <c r="C62" i="2189"/>
  <c r="C59" i="2189"/>
  <c r="C43" i="2189"/>
  <c r="C41" i="2189"/>
  <c r="C42" i="2189" s="1"/>
  <c r="C36" i="2189"/>
  <c r="C34" i="2189"/>
  <c r="C21" i="2189"/>
  <c r="C20" i="2189"/>
  <c r="C77" i="2188"/>
  <c r="C51" i="2188"/>
  <c r="B171" i="2192"/>
  <c r="B170" i="2192"/>
  <c r="B169" i="2192"/>
  <c r="C165" i="2192"/>
  <c r="B165" i="2192"/>
  <c r="C164" i="2192"/>
  <c r="B164" i="2192"/>
  <c r="B163" i="2192"/>
  <c r="C147" i="2192"/>
  <c r="AR143" i="2192"/>
  <c r="AQ143" i="2192"/>
  <c r="AP143" i="2192"/>
  <c r="AO143" i="2192"/>
  <c r="AN143" i="2192"/>
  <c r="AM143" i="2192"/>
  <c r="AL143" i="2192"/>
  <c r="AK143" i="2192"/>
  <c r="AJ143" i="2192"/>
  <c r="AI143" i="2192"/>
  <c r="AH143" i="2192"/>
  <c r="AG143" i="2192"/>
  <c r="AF143" i="2192"/>
  <c r="AE143" i="2192"/>
  <c r="AD143" i="2192"/>
  <c r="AC143" i="2192"/>
  <c r="AB143" i="2192"/>
  <c r="AA143" i="2192"/>
  <c r="Z143" i="2192"/>
  <c r="Y143" i="2192"/>
  <c r="X143" i="2192"/>
  <c r="W143" i="2192"/>
  <c r="V143" i="2192"/>
  <c r="U143" i="2192"/>
  <c r="T143" i="2192"/>
  <c r="AR141" i="2192"/>
  <c r="AQ141" i="2192"/>
  <c r="AP141" i="2192"/>
  <c r="AO141" i="2192"/>
  <c r="AN141" i="2192"/>
  <c r="AM141" i="2192"/>
  <c r="AL141" i="2192"/>
  <c r="AK141" i="2192"/>
  <c r="AJ141" i="2192"/>
  <c r="AI141" i="2192"/>
  <c r="AH141" i="2192"/>
  <c r="AG141" i="2192"/>
  <c r="AF141" i="2192"/>
  <c r="AE141" i="2192"/>
  <c r="AD141" i="2192"/>
  <c r="AC141" i="2192"/>
  <c r="AB141" i="2192"/>
  <c r="AA141" i="2192"/>
  <c r="Z141" i="2192"/>
  <c r="Y141" i="2192"/>
  <c r="X141" i="2192"/>
  <c r="W141" i="2192"/>
  <c r="V141" i="2192"/>
  <c r="U141" i="2192"/>
  <c r="T141" i="2192"/>
  <c r="C141" i="2192"/>
  <c r="AR132" i="2192"/>
  <c r="AQ132" i="2192"/>
  <c r="AP132" i="2192"/>
  <c r="AO132" i="2192"/>
  <c r="AN132" i="2192"/>
  <c r="AM132" i="2192"/>
  <c r="AL132" i="2192"/>
  <c r="AK132" i="2192"/>
  <c r="AJ132" i="2192"/>
  <c r="AI132" i="2192"/>
  <c r="AH132" i="2192"/>
  <c r="AG132" i="2192"/>
  <c r="AF132" i="2192"/>
  <c r="AE132" i="2192"/>
  <c r="AD132" i="2192"/>
  <c r="AC132" i="2192"/>
  <c r="AB132" i="2192"/>
  <c r="AA132" i="2192"/>
  <c r="Z132" i="2192"/>
  <c r="Y132" i="2192"/>
  <c r="X132" i="2192"/>
  <c r="W132" i="2192"/>
  <c r="V132" i="2192"/>
  <c r="U132" i="2192"/>
  <c r="T132" i="2192"/>
  <c r="AR131" i="2192"/>
  <c r="AQ131" i="2192"/>
  <c r="AP131" i="2192"/>
  <c r="AO131" i="2192"/>
  <c r="AN131" i="2192"/>
  <c r="AM131" i="2192"/>
  <c r="AL131" i="2192"/>
  <c r="AK131" i="2192"/>
  <c r="AJ131" i="2192"/>
  <c r="AI131" i="2192"/>
  <c r="AH131" i="2192"/>
  <c r="AG131" i="2192"/>
  <c r="AF131" i="2192"/>
  <c r="AE131" i="2192"/>
  <c r="AD131" i="2192"/>
  <c r="AC131" i="2192"/>
  <c r="AB131" i="2192"/>
  <c r="AA131" i="2192"/>
  <c r="Z131" i="2192"/>
  <c r="Y131" i="2192"/>
  <c r="X131" i="2192"/>
  <c r="W131" i="2192"/>
  <c r="V131" i="2192"/>
  <c r="U131" i="2192"/>
  <c r="T131" i="2192"/>
  <c r="AR130" i="2192"/>
  <c r="AQ130" i="2192"/>
  <c r="AP130" i="2192"/>
  <c r="AO130" i="2192"/>
  <c r="AN130" i="2192"/>
  <c r="AM130" i="2192"/>
  <c r="AL130" i="2192"/>
  <c r="AK130" i="2192"/>
  <c r="AJ130" i="2192"/>
  <c r="AI130" i="2192"/>
  <c r="AH130" i="2192"/>
  <c r="AG130" i="2192"/>
  <c r="AF130" i="2192"/>
  <c r="AE130" i="2192"/>
  <c r="AD130" i="2192"/>
  <c r="AC130" i="2192"/>
  <c r="AB130" i="2192"/>
  <c r="AA130" i="2192"/>
  <c r="Z130" i="2192"/>
  <c r="Y130" i="2192"/>
  <c r="X130" i="2192"/>
  <c r="W130" i="2192"/>
  <c r="V130" i="2192"/>
  <c r="U130" i="2192"/>
  <c r="T130" i="2192"/>
  <c r="AR121" i="2192"/>
  <c r="AQ121" i="2192"/>
  <c r="AP121" i="2192"/>
  <c r="AO121" i="2192"/>
  <c r="AN121" i="2192"/>
  <c r="AM121" i="2192"/>
  <c r="AL121" i="2192"/>
  <c r="AK121" i="2192"/>
  <c r="AJ121" i="2192"/>
  <c r="AI121" i="2192"/>
  <c r="AH121" i="2192"/>
  <c r="AG121" i="2192"/>
  <c r="AF121" i="2192"/>
  <c r="AE121" i="2192"/>
  <c r="AD121" i="2192"/>
  <c r="AC121" i="2192"/>
  <c r="AB121" i="2192"/>
  <c r="AA121" i="2192"/>
  <c r="Z121" i="2192"/>
  <c r="Y121" i="2192"/>
  <c r="X121" i="2192"/>
  <c r="W121" i="2192"/>
  <c r="V121" i="2192"/>
  <c r="U121" i="2192"/>
  <c r="T121" i="2192"/>
  <c r="S121" i="2192"/>
  <c r="R121" i="2192"/>
  <c r="Q121" i="2192"/>
  <c r="P121" i="2192"/>
  <c r="O121" i="2192"/>
  <c r="N121" i="2192"/>
  <c r="M121" i="2192"/>
  <c r="L121" i="2192"/>
  <c r="K121" i="2192"/>
  <c r="J121" i="2192"/>
  <c r="I121" i="2192"/>
  <c r="H121" i="2192"/>
  <c r="G121" i="2192"/>
  <c r="F121" i="2192"/>
  <c r="E121" i="2192"/>
  <c r="C121" i="2192"/>
  <c r="AR120" i="2192"/>
  <c r="AQ120" i="2192"/>
  <c r="AP120" i="2192"/>
  <c r="AO120" i="2192"/>
  <c r="AN120" i="2192"/>
  <c r="AM120" i="2192"/>
  <c r="AL120" i="2192"/>
  <c r="AK120" i="2192"/>
  <c r="AJ120" i="2192"/>
  <c r="AI120" i="2192"/>
  <c r="AH120" i="2192"/>
  <c r="AG120" i="2192"/>
  <c r="AF120" i="2192"/>
  <c r="AE120" i="2192"/>
  <c r="AD120" i="2192"/>
  <c r="AC120" i="2192"/>
  <c r="AB120" i="2192"/>
  <c r="AA120" i="2192"/>
  <c r="Z120" i="2192"/>
  <c r="Y120" i="2192"/>
  <c r="X120" i="2192"/>
  <c r="W120" i="2192"/>
  <c r="V120" i="2192"/>
  <c r="U120" i="2192"/>
  <c r="T120" i="2192"/>
  <c r="S120" i="2192"/>
  <c r="R120" i="2192"/>
  <c r="Q120" i="2192"/>
  <c r="P120" i="2192"/>
  <c r="O120" i="2192"/>
  <c r="N120" i="2192"/>
  <c r="M120" i="2192"/>
  <c r="L120" i="2192"/>
  <c r="K120" i="2192"/>
  <c r="J120" i="2192"/>
  <c r="I120" i="2192"/>
  <c r="H120" i="2192"/>
  <c r="G120" i="2192"/>
  <c r="F120" i="2192"/>
  <c r="E120" i="2192"/>
  <c r="C120" i="2192"/>
  <c r="AR119" i="2192"/>
  <c r="AQ119" i="2192"/>
  <c r="AP119" i="2192"/>
  <c r="AO119" i="2192"/>
  <c r="AN119" i="2192"/>
  <c r="AM119" i="2192"/>
  <c r="AL119" i="2192"/>
  <c r="AK119" i="2192"/>
  <c r="AJ119" i="2192"/>
  <c r="AI119" i="2192"/>
  <c r="AH119" i="2192"/>
  <c r="AG119" i="2192"/>
  <c r="AF119" i="2192"/>
  <c r="AE119" i="2192"/>
  <c r="AD119" i="2192"/>
  <c r="AC119" i="2192"/>
  <c r="AB119" i="2192"/>
  <c r="AA119" i="2192"/>
  <c r="Z119" i="2192"/>
  <c r="Y119" i="2192"/>
  <c r="X119" i="2192"/>
  <c r="W119" i="2192"/>
  <c r="V119" i="2192"/>
  <c r="U119" i="2192"/>
  <c r="T119" i="2192"/>
  <c r="S119" i="2192"/>
  <c r="R119" i="2192"/>
  <c r="Q119" i="2192"/>
  <c r="P119" i="2192"/>
  <c r="O119" i="2192"/>
  <c r="N119" i="2192"/>
  <c r="M119" i="2192"/>
  <c r="L119" i="2192"/>
  <c r="K119" i="2192"/>
  <c r="J119" i="2192"/>
  <c r="I119" i="2192"/>
  <c r="H119" i="2192"/>
  <c r="G119" i="2192"/>
  <c r="F119" i="2192"/>
  <c r="E119" i="2192"/>
  <c r="AR118" i="2192"/>
  <c r="AQ118" i="2192"/>
  <c r="AP118" i="2192"/>
  <c r="AO118" i="2192"/>
  <c r="AN118" i="2192"/>
  <c r="AM118" i="2192"/>
  <c r="AL118" i="2192"/>
  <c r="AK118" i="2192"/>
  <c r="AJ118" i="2192"/>
  <c r="AI118" i="2192"/>
  <c r="AH118" i="2192"/>
  <c r="AG118" i="2192"/>
  <c r="AF118" i="2192"/>
  <c r="AE118" i="2192"/>
  <c r="AD118" i="2192"/>
  <c r="AC118" i="2192"/>
  <c r="AB118" i="2192"/>
  <c r="AA118" i="2192"/>
  <c r="Z118" i="2192"/>
  <c r="Y118" i="2192"/>
  <c r="X118" i="2192"/>
  <c r="S118" i="2192"/>
  <c r="R118" i="2192"/>
  <c r="Q118" i="2192"/>
  <c r="P118" i="2192"/>
  <c r="O118" i="2192"/>
  <c r="N118" i="2192"/>
  <c r="M118" i="2192"/>
  <c r="L118" i="2192"/>
  <c r="K118" i="2192"/>
  <c r="J118" i="2192"/>
  <c r="I118" i="2192"/>
  <c r="H118" i="2192"/>
  <c r="G118" i="2192"/>
  <c r="F118" i="2192"/>
  <c r="E118" i="2192"/>
  <c r="AR117" i="2192"/>
  <c r="AQ117" i="2192"/>
  <c r="AP117" i="2192"/>
  <c r="AO117" i="2192"/>
  <c r="AN117" i="2192"/>
  <c r="AM117" i="2192"/>
  <c r="AL117" i="2192"/>
  <c r="AK117" i="2192"/>
  <c r="AJ117" i="2192"/>
  <c r="AI117" i="2192"/>
  <c r="AH117" i="2192"/>
  <c r="AG117" i="2192"/>
  <c r="AF117" i="2192"/>
  <c r="AE117" i="2192"/>
  <c r="AD117" i="2192"/>
  <c r="AC117" i="2192"/>
  <c r="AB117" i="2192"/>
  <c r="AA117" i="2192"/>
  <c r="Z117" i="2192"/>
  <c r="Y117" i="2192"/>
  <c r="X117" i="2192"/>
  <c r="W117" i="2192"/>
  <c r="V117" i="2192"/>
  <c r="U117" i="2192"/>
  <c r="T117" i="2192"/>
  <c r="S117" i="2192"/>
  <c r="R117" i="2192"/>
  <c r="Q117" i="2192"/>
  <c r="P117" i="2192"/>
  <c r="O117" i="2192"/>
  <c r="N117" i="2192"/>
  <c r="M117" i="2192"/>
  <c r="L117" i="2192"/>
  <c r="K117" i="2192"/>
  <c r="J117" i="2192"/>
  <c r="I117" i="2192"/>
  <c r="H117" i="2192"/>
  <c r="G117" i="2192"/>
  <c r="F117" i="2192"/>
  <c r="E117" i="2192"/>
  <c r="AR116" i="2192"/>
  <c r="AQ116" i="2192"/>
  <c r="AP116" i="2192"/>
  <c r="AO116" i="2192"/>
  <c r="AO127" i="2192" s="1"/>
  <c r="AN116" i="2192"/>
  <c r="AM116" i="2192"/>
  <c r="AL116" i="2192"/>
  <c r="AL127" i="2192" s="1"/>
  <c r="AK116" i="2192"/>
  <c r="AK127" i="2192" s="1"/>
  <c r="AJ116" i="2192"/>
  <c r="AI116" i="2192"/>
  <c r="AI127" i="2192" s="1"/>
  <c r="AH116" i="2192"/>
  <c r="AG116" i="2192"/>
  <c r="AF116" i="2192"/>
  <c r="AE116" i="2192"/>
  <c r="AD116" i="2192"/>
  <c r="AC116" i="2192"/>
  <c r="AC127" i="2192" s="1"/>
  <c r="AB116" i="2192"/>
  <c r="AB127" i="2192" s="1"/>
  <c r="AA116" i="2192"/>
  <c r="Z116" i="2192"/>
  <c r="Z127" i="2192" s="1"/>
  <c r="Y116" i="2192"/>
  <c r="Y127" i="2192" s="1"/>
  <c r="C114" i="2192"/>
  <c r="AR113" i="2192"/>
  <c r="AQ113" i="2192"/>
  <c r="AP113" i="2192"/>
  <c r="AO113" i="2192"/>
  <c r="AN113" i="2192"/>
  <c r="AM113" i="2192"/>
  <c r="AL113" i="2192"/>
  <c r="AK113" i="2192"/>
  <c r="AJ113" i="2192"/>
  <c r="AI113" i="2192"/>
  <c r="AH113" i="2192"/>
  <c r="AG113" i="2192"/>
  <c r="AF113" i="2192"/>
  <c r="AE113" i="2192"/>
  <c r="AD113" i="2192"/>
  <c r="AC113" i="2192"/>
  <c r="AB113" i="2192"/>
  <c r="AA113" i="2192"/>
  <c r="Z113" i="2192"/>
  <c r="Y113" i="2192"/>
  <c r="X113" i="2192"/>
  <c r="W113" i="2192"/>
  <c r="V113" i="2192"/>
  <c r="U113" i="2192"/>
  <c r="T113" i="2192"/>
  <c r="S113" i="2192"/>
  <c r="R113" i="2192"/>
  <c r="Q113" i="2192"/>
  <c r="P113" i="2192"/>
  <c r="O113" i="2192"/>
  <c r="N113" i="2192"/>
  <c r="M113" i="2192"/>
  <c r="L113" i="2192"/>
  <c r="K113" i="2192"/>
  <c r="J113" i="2192"/>
  <c r="I113" i="2192"/>
  <c r="H113" i="2192"/>
  <c r="G113" i="2192"/>
  <c r="F113" i="2192"/>
  <c r="E113" i="2192"/>
  <c r="AR112" i="2192"/>
  <c r="AQ112" i="2192"/>
  <c r="AP112" i="2192"/>
  <c r="AO112" i="2192"/>
  <c r="AN112" i="2192"/>
  <c r="AM112" i="2192"/>
  <c r="AL112" i="2192"/>
  <c r="AK112" i="2192"/>
  <c r="AJ112" i="2192"/>
  <c r="AI112" i="2192"/>
  <c r="AH112" i="2192"/>
  <c r="AG112" i="2192"/>
  <c r="AF112" i="2192"/>
  <c r="AE112" i="2192"/>
  <c r="AD112" i="2192"/>
  <c r="AC112" i="2192"/>
  <c r="AB112" i="2192"/>
  <c r="AA112" i="2192"/>
  <c r="Z112" i="2192"/>
  <c r="Y112" i="2192"/>
  <c r="X112" i="2192"/>
  <c r="W112" i="2192"/>
  <c r="V112" i="2192"/>
  <c r="U112" i="2192"/>
  <c r="T112" i="2192"/>
  <c r="S112" i="2192"/>
  <c r="R112" i="2192"/>
  <c r="Q112" i="2192"/>
  <c r="P112" i="2192"/>
  <c r="O112" i="2192"/>
  <c r="N112" i="2192"/>
  <c r="M112" i="2192"/>
  <c r="L112" i="2192"/>
  <c r="K112" i="2192"/>
  <c r="J112" i="2192"/>
  <c r="I112" i="2192"/>
  <c r="H112" i="2192"/>
  <c r="G112" i="2192"/>
  <c r="F112" i="2192"/>
  <c r="E112" i="2192"/>
  <c r="C112" i="2192"/>
  <c r="C111" i="2192"/>
  <c r="AR104" i="2192"/>
  <c r="AQ104" i="2192"/>
  <c r="AP104" i="2192"/>
  <c r="AO104" i="2192"/>
  <c r="AN104" i="2192"/>
  <c r="AM104" i="2192"/>
  <c r="AL104" i="2192"/>
  <c r="AK104" i="2192"/>
  <c r="AJ104" i="2192"/>
  <c r="AI104" i="2192"/>
  <c r="AH104" i="2192"/>
  <c r="AG104" i="2192"/>
  <c r="AF104" i="2192"/>
  <c r="AE104" i="2192"/>
  <c r="AD104" i="2192"/>
  <c r="AC104" i="2192"/>
  <c r="AB104" i="2192"/>
  <c r="AA104" i="2192"/>
  <c r="Z104" i="2192"/>
  <c r="Y104" i="2192"/>
  <c r="X104" i="2192"/>
  <c r="W104" i="2192"/>
  <c r="V104" i="2192"/>
  <c r="U104" i="2192"/>
  <c r="T104" i="2192"/>
  <c r="S104" i="2192"/>
  <c r="R104" i="2192"/>
  <c r="Q104" i="2192"/>
  <c r="P104" i="2192"/>
  <c r="O104" i="2192"/>
  <c r="N104" i="2192"/>
  <c r="M104" i="2192"/>
  <c r="L104" i="2192"/>
  <c r="K104" i="2192"/>
  <c r="J104" i="2192"/>
  <c r="I104" i="2192"/>
  <c r="H104" i="2192"/>
  <c r="G104" i="2192"/>
  <c r="F104" i="2192"/>
  <c r="E104" i="2192"/>
  <c r="F101" i="2192"/>
  <c r="G101" i="2192" s="1"/>
  <c r="H101" i="2192" s="1"/>
  <c r="I101" i="2192" s="1"/>
  <c r="J101" i="2192" s="1"/>
  <c r="K101" i="2192" s="1"/>
  <c r="L101" i="2192" s="1"/>
  <c r="M101" i="2192" s="1"/>
  <c r="N101" i="2192" s="1"/>
  <c r="O101" i="2192" s="1"/>
  <c r="P101" i="2192" s="1"/>
  <c r="Q101" i="2192" s="1"/>
  <c r="R101" i="2192" s="1"/>
  <c r="S101" i="2192" s="1"/>
  <c r="T101" i="2192" s="1"/>
  <c r="U101" i="2192" s="1"/>
  <c r="V101" i="2192" s="1"/>
  <c r="W101" i="2192" s="1"/>
  <c r="X101" i="2192" s="1"/>
  <c r="Y101" i="2192" s="1"/>
  <c r="E101" i="2192"/>
  <c r="C87" i="2192"/>
  <c r="C48" i="2192" s="1"/>
  <c r="D148" i="2192" s="1"/>
  <c r="S130" i="2192" s="1"/>
  <c r="D70" i="2192"/>
  <c r="D69" i="2192"/>
  <c r="D68" i="2192"/>
  <c r="D65" i="2192"/>
  <c r="D63" i="2192"/>
  <c r="D61" i="2192"/>
  <c r="D55" i="2192"/>
  <c r="D54" i="2192"/>
  <c r="D53" i="2192"/>
  <c r="D52" i="2192"/>
  <c r="D50" i="2192"/>
  <c r="D49" i="2192"/>
  <c r="D47" i="2192"/>
  <c r="D46" i="2192"/>
  <c r="D37" i="2192"/>
  <c r="D35" i="2192"/>
  <c r="D30" i="2192"/>
  <c r="E17" i="2192"/>
  <c r="E16" i="2192"/>
  <c r="E13" i="2192"/>
  <c r="E12" i="2192"/>
  <c r="D8" i="2192"/>
  <c r="D7" i="2192"/>
  <c r="D5" i="2192"/>
  <c r="A1" i="2192"/>
  <c r="B171" i="2191"/>
  <c r="B170" i="2191"/>
  <c r="B169" i="2191"/>
  <c r="C165" i="2191"/>
  <c r="B165" i="2191"/>
  <c r="C164" i="2191"/>
  <c r="B164" i="2191"/>
  <c r="B163" i="2191"/>
  <c r="C147" i="2191"/>
  <c r="AR143" i="2191"/>
  <c r="AQ143" i="2191"/>
  <c r="AP143" i="2191"/>
  <c r="AO143" i="2191"/>
  <c r="AN143" i="2191"/>
  <c r="AM143" i="2191"/>
  <c r="AL143" i="2191"/>
  <c r="AK143" i="2191"/>
  <c r="AJ143" i="2191"/>
  <c r="AI143" i="2191"/>
  <c r="AH143" i="2191"/>
  <c r="AG143" i="2191"/>
  <c r="AF143" i="2191"/>
  <c r="AE143" i="2191"/>
  <c r="AD143" i="2191"/>
  <c r="AC143" i="2191"/>
  <c r="AB143" i="2191"/>
  <c r="AA143" i="2191"/>
  <c r="Z143" i="2191"/>
  <c r="Y143" i="2191"/>
  <c r="X143" i="2191"/>
  <c r="W143" i="2191"/>
  <c r="V143" i="2191"/>
  <c r="U143" i="2191"/>
  <c r="T143" i="2191"/>
  <c r="AR141" i="2191"/>
  <c r="AQ141" i="2191"/>
  <c r="AP141" i="2191"/>
  <c r="AO141" i="2191"/>
  <c r="AN141" i="2191"/>
  <c r="AM141" i="2191"/>
  <c r="AL141" i="2191"/>
  <c r="AK141" i="2191"/>
  <c r="AJ141" i="2191"/>
  <c r="AI141" i="2191"/>
  <c r="AH141" i="2191"/>
  <c r="AG141" i="2191"/>
  <c r="AF141" i="2191"/>
  <c r="AE141" i="2191"/>
  <c r="AD141" i="2191"/>
  <c r="AC141" i="2191"/>
  <c r="AB141" i="2191"/>
  <c r="AA141" i="2191"/>
  <c r="Z141" i="2191"/>
  <c r="Y141" i="2191"/>
  <c r="X141" i="2191"/>
  <c r="W141" i="2191"/>
  <c r="V141" i="2191"/>
  <c r="U141" i="2191"/>
  <c r="T141" i="2191"/>
  <c r="C141" i="2191"/>
  <c r="AR132" i="2191"/>
  <c r="AQ132" i="2191"/>
  <c r="AP132" i="2191"/>
  <c r="AO132" i="2191"/>
  <c r="AN132" i="2191"/>
  <c r="AM132" i="2191"/>
  <c r="AL132" i="2191"/>
  <c r="AK132" i="2191"/>
  <c r="AJ132" i="2191"/>
  <c r="AI132" i="2191"/>
  <c r="AH132" i="2191"/>
  <c r="AG132" i="2191"/>
  <c r="AF132" i="2191"/>
  <c r="AE132" i="2191"/>
  <c r="AD132" i="2191"/>
  <c r="AC132" i="2191"/>
  <c r="AB132" i="2191"/>
  <c r="AA132" i="2191"/>
  <c r="Z132" i="2191"/>
  <c r="Y132" i="2191"/>
  <c r="X132" i="2191"/>
  <c r="W132" i="2191"/>
  <c r="V132" i="2191"/>
  <c r="U132" i="2191"/>
  <c r="T132" i="2191"/>
  <c r="AR131" i="2191"/>
  <c r="AQ131" i="2191"/>
  <c r="AP131" i="2191"/>
  <c r="AO131" i="2191"/>
  <c r="AN131" i="2191"/>
  <c r="AM131" i="2191"/>
  <c r="AM133" i="2191" s="1"/>
  <c r="AL131" i="2191"/>
  <c r="AK131" i="2191"/>
  <c r="AJ131" i="2191"/>
  <c r="AI131" i="2191"/>
  <c r="AH131" i="2191"/>
  <c r="AG131" i="2191"/>
  <c r="AF131" i="2191"/>
  <c r="AE131" i="2191"/>
  <c r="AD131" i="2191"/>
  <c r="AC131" i="2191"/>
  <c r="AB131" i="2191"/>
  <c r="AA131" i="2191"/>
  <c r="Z131" i="2191"/>
  <c r="Y131" i="2191"/>
  <c r="X131" i="2191"/>
  <c r="W131" i="2191"/>
  <c r="V131" i="2191"/>
  <c r="U131" i="2191"/>
  <c r="T131" i="2191"/>
  <c r="AR130" i="2191"/>
  <c r="AQ130" i="2191"/>
  <c r="AP130" i="2191"/>
  <c r="AO130" i="2191"/>
  <c r="AN130" i="2191"/>
  <c r="AM130" i="2191"/>
  <c r="AL130" i="2191"/>
  <c r="AK130" i="2191"/>
  <c r="AJ130" i="2191"/>
  <c r="AI130" i="2191"/>
  <c r="AH130" i="2191"/>
  <c r="AG130" i="2191"/>
  <c r="AF130" i="2191"/>
  <c r="AE130" i="2191"/>
  <c r="AD130" i="2191"/>
  <c r="AC130" i="2191"/>
  <c r="AB130" i="2191"/>
  <c r="AA130" i="2191"/>
  <c r="Z130" i="2191"/>
  <c r="Y130" i="2191"/>
  <c r="X130" i="2191"/>
  <c r="W130" i="2191"/>
  <c r="V130" i="2191"/>
  <c r="U130" i="2191"/>
  <c r="T130" i="2191"/>
  <c r="AR121" i="2191"/>
  <c r="AQ121" i="2191"/>
  <c r="AP121" i="2191"/>
  <c r="AO121" i="2191"/>
  <c r="AN121" i="2191"/>
  <c r="AM121" i="2191"/>
  <c r="AL121" i="2191"/>
  <c r="AK121" i="2191"/>
  <c r="AJ121" i="2191"/>
  <c r="AI121" i="2191"/>
  <c r="AH121" i="2191"/>
  <c r="AG121" i="2191"/>
  <c r="AF121" i="2191"/>
  <c r="AE121" i="2191"/>
  <c r="AD121" i="2191"/>
  <c r="AC121" i="2191"/>
  <c r="AB121" i="2191"/>
  <c r="AA121" i="2191"/>
  <c r="Z121" i="2191"/>
  <c r="Y121" i="2191"/>
  <c r="X121" i="2191"/>
  <c r="W121" i="2191"/>
  <c r="V121" i="2191"/>
  <c r="U121" i="2191"/>
  <c r="T121" i="2191"/>
  <c r="S121" i="2191"/>
  <c r="R121" i="2191"/>
  <c r="Q121" i="2191"/>
  <c r="P121" i="2191"/>
  <c r="O121" i="2191"/>
  <c r="N121" i="2191"/>
  <c r="M121" i="2191"/>
  <c r="L121" i="2191"/>
  <c r="K121" i="2191"/>
  <c r="J121" i="2191"/>
  <c r="I121" i="2191"/>
  <c r="H121" i="2191"/>
  <c r="G121" i="2191"/>
  <c r="F121" i="2191"/>
  <c r="E121" i="2191"/>
  <c r="C121" i="2191"/>
  <c r="AR120" i="2191"/>
  <c r="AQ120" i="2191"/>
  <c r="AP120" i="2191"/>
  <c r="AO120" i="2191"/>
  <c r="AN120" i="2191"/>
  <c r="AM120" i="2191"/>
  <c r="AL120" i="2191"/>
  <c r="AK120" i="2191"/>
  <c r="AJ120" i="2191"/>
  <c r="AI120" i="2191"/>
  <c r="AH120" i="2191"/>
  <c r="AG120" i="2191"/>
  <c r="AF120" i="2191"/>
  <c r="AE120" i="2191"/>
  <c r="AD120" i="2191"/>
  <c r="AC120" i="2191"/>
  <c r="AB120" i="2191"/>
  <c r="AA120" i="2191"/>
  <c r="Z120" i="2191"/>
  <c r="Y120" i="2191"/>
  <c r="X120" i="2191"/>
  <c r="W120" i="2191"/>
  <c r="V120" i="2191"/>
  <c r="U120" i="2191"/>
  <c r="T120" i="2191"/>
  <c r="S120" i="2191"/>
  <c r="R120" i="2191"/>
  <c r="Q120" i="2191"/>
  <c r="P120" i="2191"/>
  <c r="O120" i="2191"/>
  <c r="N120" i="2191"/>
  <c r="M120" i="2191"/>
  <c r="L120" i="2191"/>
  <c r="K120" i="2191"/>
  <c r="J120" i="2191"/>
  <c r="I120" i="2191"/>
  <c r="H120" i="2191"/>
  <c r="G120" i="2191"/>
  <c r="F120" i="2191"/>
  <c r="E120" i="2191"/>
  <c r="C120" i="2191"/>
  <c r="AR119" i="2191"/>
  <c r="AQ119" i="2191"/>
  <c r="AP119" i="2191"/>
  <c r="AO119" i="2191"/>
  <c r="AN119" i="2191"/>
  <c r="AM119" i="2191"/>
  <c r="AL119" i="2191"/>
  <c r="AK119" i="2191"/>
  <c r="AJ119" i="2191"/>
  <c r="AI119" i="2191"/>
  <c r="AH119" i="2191"/>
  <c r="AG119" i="2191"/>
  <c r="AF119" i="2191"/>
  <c r="AE119" i="2191"/>
  <c r="AD119" i="2191"/>
  <c r="AC119" i="2191"/>
  <c r="AB119" i="2191"/>
  <c r="AA119" i="2191"/>
  <c r="Z119" i="2191"/>
  <c r="Y119" i="2191"/>
  <c r="X119" i="2191"/>
  <c r="W119" i="2191"/>
  <c r="V119" i="2191"/>
  <c r="U119" i="2191"/>
  <c r="T119" i="2191"/>
  <c r="S119" i="2191"/>
  <c r="R119" i="2191"/>
  <c r="Q119" i="2191"/>
  <c r="P119" i="2191"/>
  <c r="O119" i="2191"/>
  <c r="N119" i="2191"/>
  <c r="M119" i="2191"/>
  <c r="L119" i="2191"/>
  <c r="K119" i="2191"/>
  <c r="J119" i="2191"/>
  <c r="I119" i="2191"/>
  <c r="H119" i="2191"/>
  <c r="G119" i="2191"/>
  <c r="F119" i="2191"/>
  <c r="E119" i="2191"/>
  <c r="AR118" i="2191"/>
  <c r="AQ118" i="2191"/>
  <c r="AP118" i="2191"/>
  <c r="AO118" i="2191"/>
  <c r="AN118" i="2191"/>
  <c r="AM118" i="2191"/>
  <c r="AL118" i="2191"/>
  <c r="AK118" i="2191"/>
  <c r="AJ118" i="2191"/>
  <c r="AI118" i="2191"/>
  <c r="AH118" i="2191"/>
  <c r="AG118" i="2191"/>
  <c r="AF118" i="2191"/>
  <c r="AE118" i="2191"/>
  <c r="AD118" i="2191"/>
  <c r="AC118" i="2191"/>
  <c r="AB118" i="2191"/>
  <c r="AA118" i="2191"/>
  <c r="Z118" i="2191"/>
  <c r="Y118" i="2191"/>
  <c r="S118" i="2191"/>
  <c r="R118" i="2191"/>
  <c r="Q118" i="2191"/>
  <c r="P118" i="2191"/>
  <c r="O118" i="2191"/>
  <c r="N118" i="2191"/>
  <c r="M118" i="2191"/>
  <c r="L118" i="2191"/>
  <c r="K118" i="2191"/>
  <c r="J118" i="2191"/>
  <c r="I118" i="2191"/>
  <c r="H118" i="2191"/>
  <c r="G118" i="2191"/>
  <c r="F118" i="2191"/>
  <c r="E118" i="2191"/>
  <c r="AR117" i="2191"/>
  <c r="AQ117" i="2191"/>
  <c r="AP117" i="2191"/>
  <c r="AO117" i="2191"/>
  <c r="AN117" i="2191"/>
  <c r="AM117" i="2191"/>
  <c r="AL117" i="2191"/>
  <c r="AK117" i="2191"/>
  <c r="AJ117" i="2191"/>
  <c r="AI117" i="2191"/>
  <c r="AH117" i="2191"/>
  <c r="AG117" i="2191"/>
  <c r="AF117" i="2191"/>
  <c r="AE117" i="2191"/>
  <c r="AD117" i="2191"/>
  <c r="AC117" i="2191"/>
  <c r="AB117" i="2191"/>
  <c r="AA117" i="2191"/>
  <c r="Z117" i="2191"/>
  <c r="Y117" i="2191"/>
  <c r="X117" i="2191"/>
  <c r="W117" i="2191"/>
  <c r="V117" i="2191"/>
  <c r="U117" i="2191"/>
  <c r="T117" i="2191"/>
  <c r="S117" i="2191"/>
  <c r="R117" i="2191"/>
  <c r="Q117" i="2191"/>
  <c r="P117" i="2191"/>
  <c r="O117" i="2191"/>
  <c r="N117" i="2191"/>
  <c r="M117" i="2191"/>
  <c r="L117" i="2191"/>
  <c r="K117" i="2191"/>
  <c r="J117" i="2191"/>
  <c r="I117" i="2191"/>
  <c r="H117" i="2191"/>
  <c r="G117" i="2191"/>
  <c r="F117" i="2191"/>
  <c r="E117" i="2191"/>
  <c r="AR116" i="2191"/>
  <c r="AR127" i="2191" s="1"/>
  <c r="AQ116" i="2191"/>
  <c r="AQ127" i="2191" s="1"/>
  <c r="AP116" i="2191"/>
  <c r="AP127" i="2191" s="1"/>
  <c r="AO116" i="2191"/>
  <c r="AN116" i="2191"/>
  <c r="AM116" i="2191"/>
  <c r="AL116" i="2191"/>
  <c r="AL127" i="2191" s="1"/>
  <c r="AK116" i="2191"/>
  <c r="AK127" i="2191" s="1"/>
  <c r="AJ116" i="2191"/>
  <c r="AJ127" i="2191" s="1"/>
  <c r="AI116" i="2191"/>
  <c r="AI127" i="2191" s="1"/>
  <c r="AH116" i="2191"/>
  <c r="AH127" i="2191" s="1"/>
  <c r="AG116" i="2191"/>
  <c r="AG127" i="2191" s="1"/>
  <c r="AF116" i="2191"/>
  <c r="AF127" i="2191" s="1"/>
  <c r="AE116" i="2191"/>
  <c r="AE127" i="2191" s="1"/>
  <c r="AD116" i="2191"/>
  <c r="AD127" i="2191" s="1"/>
  <c r="AC116" i="2191"/>
  <c r="AB116" i="2191"/>
  <c r="AA116" i="2191"/>
  <c r="Z116" i="2191"/>
  <c r="Z127" i="2191" s="1"/>
  <c r="Y116" i="2191"/>
  <c r="Y127" i="2191" s="1"/>
  <c r="C114" i="2191"/>
  <c r="AR113" i="2191"/>
  <c r="AQ113" i="2191"/>
  <c r="AP113" i="2191"/>
  <c r="AO113" i="2191"/>
  <c r="AN113" i="2191"/>
  <c r="AM113" i="2191"/>
  <c r="AL113" i="2191"/>
  <c r="AK113" i="2191"/>
  <c r="AJ113" i="2191"/>
  <c r="AI113" i="2191"/>
  <c r="AH113" i="2191"/>
  <c r="AG113" i="2191"/>
  <c r="AF113" i="2191"/>
  <c r="AE113" i="2191"/>
  <c r="AD113" i="2191"/>
  <c r="AC113" i="2191"/>
  <c r="AB113" i="2191"/>
  <c r="AA113" i="2191"/>
  <c r="Z113" i="2191"/>
  <c r="Y113" i="2191"/>
  <c r="X113" i="2191"/>
  <c r="W113" i="2191"/>
  <c r="V113" i="2191"/>
  <c r="U113" i="2191"/>
  <c r="T113" i="2191"/>
  <c r="S113" i="2191"/>
  <c r="R113" i="2191"/>
  <c r="Q113" i="2191"/>
  <c r="P113" i="2191"/>
  <c r="O113" i="2191"/>
  <c r="N113" i="2191"/>
  <c r="M113" i="2191"/>
  <c r="L113" i="2191"/>
  <c r="K113" i="2191"/>
  <c r="J113" i="2191"/>
  <c r="I113" i="2191"/>
  <c r="H113" i="2191"/>
  <c r="G113" i="2191"/>
  <c r="F113" i="2191"/>
  <c r="E113" i="2191"/>
  <c r="AR112" i="2191"/>
  <c r="AQ112" i="2191"/>
  <c r="AP112" i="2191"/>
  <c r="AO112" i="2191"/>
  <c r="AN112" i="2191"/>
  <c r="AM112" i="2191"/>
  <c r="AL112" i="2191"/>
  <c r="AK112" i="2191"/>
  <c r="AJ112" i="2191"/>
  <c r="AI112" i="2191"/>
  <c r="AH112" i="2191"/>
  <c r="AG112" i="2191"/>
  <c r="AF112" i="2191"/>
  <c r="AE112" i="2191"/>
  <c r="AD112" i="2191"/>
  <c r="AC112" i="2191"/>
  <c r="AB112" i="2191"/>
  <c r="AA112" i="2191"/>
  <c r="Z112" i="2191"/>
  <c r="Y112" i="2191"/>
  <c r="X112" i="2191"/>
  <c r="W112" i="2191"/>
  <c r="V112" i="2191"/>
  <c r="U112" i="2191"/>
  <c r="T112" i="2191"/>
  <c r="S112" i="2191"/>
  <c r="R112" i="2191"/>
  <c r="Q112" i="2191"/>
  <c r="P112" i="2191"/>
  <c r="O112" i="2191"/>
  <c r="N112" i="2191"/>
  <c r="M112" i="2191"/>
  <c r="L112" i="2191"/>
  <c r="K112" i="2191"/>
  <c r="J112" i="2191"/>
  <c r="I112" i="2191"/>
  <c r="H112" i="2191"/>
  <c r="G112" i="2191"/>
  <c r="F112" i="2191"/>
  <c r="E112" i="2191"/>
  <c r="C112" i="2191"/>
  <c r="C111" i="2191"/>
  <c r="AR104" i="2191"/>
  <c r="AQ104" i="2191"/>
  <c r="AP104" i="2191"/>
  <c r="AO104" i="2191"/>
  <c r="AN104" i="2191"/>
  <c r="AM104" i="2191"/>
  <c r="AL104" i="2191"/>
  <c r="AK104" i="2191"/>
  <c r="AJ104" i="2191"/>
  <c r="AI104" i="2191"/>
  <c r="AH104" i="2191"/>
  <c r="AG104" i="2191"/>
  <c r="AF104" i="2191"/>
  <c r="AE104" i="2191"/>
  <c r="AD104" i="2191"/>
  <c r="AC104" i="2191"/>
  <c r="AB104" i="2191"/>
  <c r="AA104" i="2191"/>
  <c r="Z104" i="2191"/>
  <c r="Y104" i="2191"/>
  <c r="X104" i="2191"/>
  <c r="X118" i="2191" s="1"/>
  <c r="W104" i="2191"/>
  <c r="V104" i="2191"/>
  <c r="U104" i="2191"/>
  <c r="U118" i="2191" s="1"/>
  <c r="T104" i="2191"/>
  <c r="T118" i="2191" s="1"/>
  <c r="S104" i="2191"/>
  <c r="R104" i="2191"/>
  <c r="Q104" i="2191"/>
  <c r="P104" i="2191"/>
  <c r="O104" i="2191"/>
  <c r="N104" i="2191"/>
  <c r="M104" i="2191"/>
  <c r="L104" i="2191"/>
  <c r="K104" i="2191"/>
  <c r="J104" i="2191"/>
  <c r="I104" i="2191"/>
  <c r="H104" i="2191"/>
  <c r="G104" i="2191"/>
  <c r="F104" i="2191"/>
  <c r="E104" i="2191"/>
  <c r="E101" i="2191"/>
  <c r="F101" i="2191" s="1"/>
  <c r="G101" i="2191" s="1"/>
  <c r="H101" i="2191" s="1"/>
  <c r="I101" i="2191" s="1"/>
  <c r="J101" i="2191" s="1"/>
  <c r="K101" i="2191" s="1"/>
  <c r="L101" i="2191" s="1"/>
  <c r="M101" i="2191" s="1"/>
  <c r="N101" i="2191" s="1"/>
  <c r="O101" i="2191" s="1"/>
  <c r="P101" i="2191" s="1"/>
  <c r="Q101" i="2191" s="1"/>
  <c r="R101" i="2191" s="1"/>
  <c r="S101" i="2191" s="1"/>
  <c r="T101" i="2191" s="1"/>
  <c r="U101" i="2191" s="1"/>
  <c r="V101" i="2191" s="1"/>
  <c r="W101" i="2191" s="1"/>
  <c r="X101" i="2191" s="1"/>
  <c r="Y101" i="2191" s="1"/>
  <c r="C87" i="2191"/>
  <c r="C48" i="2191" s="1"/>
  <c r="D70" i="2191"/>
  <c r="D69" i="2191"/>
  <c r="D68" i="2191"/>
  <c r="D65" i="2191"/>
  <c r="D63" i="2191"/>
  <c r="D61" i="2191"/>
  <c r="D55" i="2191"/>
  <c r="D54" i="2191"/>
  <c r="D53" i="2191"/>
  <c r="D52" i="2191"/>
  <c r="D50" i="2191"/>
  <c r="D49" i="2191"/>
  <c r="D47" i="2191"/>
  <c r="D46" i="2191"/>
  <c r="D37" i="2191"/>
  <c r="D35" i="2191"/>
  <c r="D30" i="2191"/>
  <c r="E17" i="2191"/>
  <c r="E16" i="2191"/>
  <c r="E13" i="2191"/>
  <c r="E12" i="2191"/>
  <c r="D8" i="2191"/>
  <c r="D7" i="2191"/>
  <c r="D5" i="2191"/>
  <c r="A1" i="2191"/>
  <c r="B171" i="2190"/>
  <c r="B170" i="2190"/>
  <c r="B169" i="2190"/>
  <c r="C165" i="2190"/>
  <c r="B165" i="2190"/>
  <c r="C164" i="2190"/>
  <c r="B164" i="2190"/>
  <c r="B163" i="2190"/>
  <c r="C147" i="2190"/>
  <c r="AR143" i="2190"/>
  <c r="AQ143" i="2190"/>
  <c r="AP143" i="2190"/>
  <c r="AO143" i="2190"/>
  <c r="AN143" i="2190"/>
  <c r="AM143" i="2190"/>
  <c r="AL143" i="2190"/>
  <c r="AK143" i="2190"/>
  <c r="AJ143" i="2190"/>
  <c r="AI143" i="2190"/>
  <c r="AH143" i="2190"/>
  <c r="AG143" i="2190"/>
  <c r="AF143" i="2190"/>
  <c r="AE143" i="2190"/>
  <c r="AD143" i="2190"/>
  <c r="AC143" i="2190"/>
  <c r="AB143" i="2190"/>
  <c r="AA143" i="2190"/>
  <c r="Z143" i="2190"/>
  <c r="Y143" i="2190"/>
  <c r="X143" i="2190"/>
  <c r="W143" i="2190"/>
  <c r="V143" i="2190"/>
  <c r="U143" i="2190"/>
  <c r="T143" i="2190"/>
  <c r="AR141" i="2190"/>
  <c r="AQ141" i="2190"/>
  <c r="AP141" i="2190"/>
  <c r="AO141" i="2190"/>
  <c r="AN141" i="2190"/>
  <c r="AM141" i="2190"/>
  <c r="AL141" i="2190"/>
  <c r="AK141" i="2190"/>
  <c r="AJ141" i="2190"/>
  <c r="AI141" i="2190"/>
  <c r="AH141" i="2190"/>
  <c r="AG141" i="2190"/>
  <c r="AF141" i="2190"/>
  <c r="AE141" i="2190"/>
  <c r="AD141" i="2190"/>
  <c r="AC141" i="2190"/>
  <c r="AB141" i="2190"/>
  <c r="AA141" i="2190"/>
  <c r="Z141" i="2190"/>
  <c r="Y141" i="2190"/>
  <c r="X141" i="2190"/>
  <c r="W141" i="2190"/>
  <c r="V141" i="2190"/>
  <c r="U141" i="2190"/>
  <c r="T141" i="2190"/>
  <c r="C141" i="2190"/>
  <c r="AR132" i="2190"/>
  <c r="AQ132" i="2190"/>
  <c r="AP132" i="2190"/>
  <c r="AO132" i="2190"/>
  <c r="AN132" i="2190"/>
  <c r="AM132" i="2190"/>
  <c r="AL132" i="2190"/>
  <c r="AK132" i="2190"/>
  <c r="AJ132" i="2190"/>
  <c r="AI132" i="2190"/>
  <c r="AH132" i="2190"/>
  <c r="AG132" i="2190"/>
  <c r="AF132" i="2190"/>
  <c r="AE132" i="2190"/>
  <c r="AD132" i="2190"/>
  <c r="AC132" i="2190"/>
  <c r="AB132" i="2190"/>
  <c r="AA132" i="2190"/>
  <c r="Z132" i="2190"/>
  <c r="Y132" i="2190"/>
  <c r="X132" i="2190"/>
  <c r="W132" i="2190"/>
  <c r="V132" i="2190"/>
  <c r="U132" i="2190"/>
  <c r="T132" i="2190"/>
  <c r="AR131" i="2190"/>
  <c r="AQ131" i="2190"/>
  <c r="AP131" i="2190"/>
  <c r="AO131" i="2190"/>
  <c r="AN131" i="2190"/>
  <c r="AM131" i="2190"/>
  <c r="AL131" i="2190"/>
  <c r="AL133" i="2190" s="1"/>
  <c r="AK131" i="2190"/>
  <c r="AJ131" i="2190"/>
  <c r="AI131" i="2190"/>
  <c r="AH131" i="2190"/>
  <c r="AH133" i="2190" s="1"/>
  <c r="AG131" i="2190"/>
  <c r="AF131" i="2190"/>
  <c r="AE131" i="2190"/>
  <c r="AD131" i="2190"/>
  <c r="AC131" i="2190"/>
  <c r="AB131" i="2190"/>
  <c r="AA131" i="2190"/>
  <c r="Z131" i="2190"/>
  <c r="Y131" i="2190"/>
  <c r="X131" i="2190"/>
  <c r="W131" i="2190"/>
  <c r="V131" i="2190"/>
  <c r="V133" i="2190" s="1"/>
  <c r="U131" i="2190"/>
  <c r="T131" i="2190"/>
  <c r="AR130" i="2190"/>
  <c r="AQ130" i="2190"/>
  <c r="AP130" i="2190"/>
  <c r="AO130" i="2190"/>
  <c r="AN130" i="2190"/>
  <c r="AM130" i="2190"/>
  <c r="AL130" i="2190"/>
  <c r="AK130" i="2190"/>
  <c r="AJ130" i="2190"/>
  <c r="AI130" i="2190"/>
  <c r="AH130" i="2190"/>
  <c r="AG130" i="2190"/>
  <c r="AF130" i="2190"/>
  <c r="AE130" i="2190"/>
  <c r="AD130" i="2190"/>
  <c r="AC130" i="2190"/>
  <c r="AB130" i="2190"/>
  <c r="AA130" i="2190"/>
  <c r="Z130" i="2190"/>
  <c r="Y130" i="2190"/>
  <c r="X130" i="2190"/>
  <c r="W130" i="2190"/>
  <c r="V130" i="2190"/>
  <c r="U130" i="2190"/>
  <c r="T130" i="2190"/>
  <c r="AR121" i="2190"/>
  <c r="AQ121" i="2190"/>
  <c r="AP121" i="2190"/>
  <c r="AO121" i="2190"/>
  <c r="AN121" i="2190"/>
  <c r="AM121" i="2190"/>
  <c r="AL121" i="2190"/>
  <c r="AK121" i="2190"/>
  <c r="AJ121" i="2190"/>
  <c r="AI121" i="2190"/>
  <c r="AH121" i="2190"/>
  <c r="AG121" i="2190"/>
  <c r="AF121" i="2190"/>
  <c r="AE121" i="2190"/>
  <c r="AD121" i="2190"/>
  <c r="AC121" i="2190"/>
  <c r="AB121" i="2190"/>
  <c r="AA121" i="2190"/>
  <c r="Z121" i="2190"/>
  <c r="Y121" i="2190"/>
  <c r="X121" i="2190"/>
  <c r="W121" i="2190"/>
  <c r="V121" i="2190"/>
  <c r="U121" i="2190"/>
  <c r="T121" i="2190"/>
  <c r="S121" i="2190"/>
  <c r="R121" i="2190"/>
  <c r="Q121" i="2190"/>
  <c r="P121" i="2190"/>
  <c r="O121" i="2190"/>
  <c r="N121" i="2190"/>
  <c r="M121" i="2190"/>
  <c r="L121" i="2190"/>
  <c r="K121" i="2190"/>
  <c r="J121" i="2190"/>
  <c r="I121" i="2190"/>
  <c r="H121" i="2190"/>
  <c r="G121" i="2190"/>
  <c r="F121" i="2190"/>
  <c r="E121" i="2190"/>
  <c r="C121" i="2190"/>
  <c r="AR120" i="2190"/>
  <c r="AQ120" i="2190"/>
  <c r="AP120" i="2190"/>
  <c r="AO120" i="2190"/>
  <c r="AN120" i="2190"/>
  <c r="AM120" i="2190"/>
  <c r="AL120" i="2190"/>
  <c r="AK120" i="2190"/>
  <c r="AJ120" i="2190"/>
  <c r="AI120" i="2190"/>
  <c r="AH120" i="2190"/>
  <c r="AG120" i="2190"/>
  <c r="AF120" i="2190"/>
  <c r="AE120" i="2190"/>
  <c r="AD120" i="2190"/>
  <c r="AC120" i="2190"/>
  <c r="AB120" i="2190"/>
  <c r="AA120" i="2190"/>
  <c r="Z120" i="2190"/>
  <c r="Y120" i="2190"/>
  <c r="X120" i="2190"/>
  <c r="W120" i="2190"/>
  <c r="V120" i="2190"/>
  <c r="U120" i="2190"/>
  <c r="T120" i="2190"/>
  <c r="S120" i="2190"/>
  <c r="R120" i="2190"/>
  <c r="Q120" i="2190"/>
  <c r="P120" i="2190"/>
  <c r="O120" i="2190"/>
  <c r="N120" i="2190"/>
  <c r="M120" i="2190"/>
  <c r="L120" i="2190"/>
  <c r="K120" i="2190"/>
  <c r="J120" i="2190"/>
  <c r="I120" i="2190"/>
  <c r="H120" i="2190"/>
  <c r="G120" i="2190"/>
  <c r="F120" i="2190"/>
  <c r="E120" i="2190"/>
  <c r="C120" i="2190"/>
  <c r="AR119" i="2190"/>
  <c r="AQ119" i="2190"/>
  <c r="AP119" i="2190"/>
  <c r="AO119" i="2190"/>
  <c r="AN119" i="2190"/>
  <c r="AM119" i="2190"/>
  <c r="AL119" i="2190"/>
  <c r="AK119" i="2190"/>
  <c r="AJ119" i="2190"/>
  <c r="AI119" i="2190"/>
  <c r="AH119" i="2190"/>
  <c r="AG119" i="2190"/>
  <c r="AF119" i="2190"/>
  <c r="AE119" i="2190"/>
  <c r="AD119" i="2190"/>
  <c r="AC119" i="2190"/>
  <c r="AB119" i="2190"/>
  <c r="AA119" i="2190"/>
  <c r="Z119" i="2190"/>
  <c r="Y119" i="2190"/>
  <c r="X119" i="2190"/>
  <c r="W119" i="2190"/>
  <c r="V119" i="2190"/>
  <c r="U119" i="2190"/>
  <c r="T119" i="2190"/>
  <c r="S119" i="2190"/>
  <c r="R119" i="2190"/>
  <c r="Q119" i="2190"/>
  <c r="P119" i="2190"/>
  <c r="O119" i="2190"/>
  <c r="N119" i="2190"/>
  <c r="M119" i="2190"/>
  <c r="L119" i="2190"/>
  <c r="K119" i="2190"/>
  <c r="J119" i="2190"/>
  <c r="I119" i="2190"/>
  <c r="H119" i="2190"/>
  <c r="G119" i="2190"/>
  <c r="F119" i="2190"/>
  <c r="E119" i="2190"/>
  <c r="AR118" i="2190"/>
  <c r="AQ118" i="2190"/>
  <c r="AP118" i="2190"/>
  <c r="AO118" i="2190"/>
  <c r="AN118" i="2190"/>
  <c r="AM118" i="2190"/>
  <c r="AL118" i="2190"/>
  <c r="AK118" i="2190"/>
  <c r="AJ118" i="2190"/>
  <c r="AI118" i="2190"/>
  <c r="AH118" i="2190"/>
  <c r="AG118" i="2190"/>
  <c r="AF118" i="2190"/>
  <c r="AE118" i="2190"/>
  <c r="AD118" i="2190"/>
  <c r="AC118" i="2190"/>
  <c r="AB118" i="2190"/>
  <c r="AA118" i="2190"/>
  <c r="Z118" i="2190"/>
  <c r="Y118" i="2190"/>
  <c r="S118" i="2190"/>
  <c r="R118" i="2190"/>
  <c r="Q118" i="2190"/>
  <c r="P118" i="2190"/>
  <c r="O118" i="2190"/>
  <c r="N118" i="2190"/>
  <c r="M118" i="2190"/>
  <c r="L118" i="2190"/>
  <c r="K118" i="2190"/>
  <c r="J118" i="2190"/>
  <c r="I118" i="2190"/>
  <c r="H118" i="2190"/>
  <c r="G118" i="2190"/>
  <c r="F118" i="2190"/>
  <c r="E118" i="2190"/>
  <c r="AR117" i="2190"/>
  <c r="AQ117" i="2190"/>
  <c r="AP117" i="2190"/>
  <c r="AO117" i="2190"/>
  <c r="AN117" i="2190"/>
  <c r="AM117" i="2190"/>
  <c r="AL117" i="2190"/>
  <c r="AK117" i="2190"/>
  <c r="AJ117" i="2190"/>
  <c r="AI117" i="2190"/>
  <c r="AH117" i="2190"/>
  <c r="AG117" i="2190"/>
  <c r="AF117" i="2190"/>
  <c r="AE117" i="2190"/>
  <c r="AD117" i="2190"/>
  <c r="AC117" i="2190"/>
  <c r="AB117" i="2190"/>
  <c r="AA117" i="2190"/>
  <c r="Z117" i="2190"/>
  <c r="Y117" i="2190"/>
  <c r="X117" i="2190"/>
  <c r="W117" i="2190"/>
  <c r="V117" i="2190"/>
  <c r="U117" i="2190"/>
  <c r="T117" i="2190"/>
  <c r="S117" i="2190"/>
  <c r="R117" i="2190"/>
  <c r="Q117" i="2190"/>
  <c r="P117" i="2190"/>
  <c r="O117" i="2190"/>
  <c r="N117" i="2190"/>
  <c r="M117" i="2190"/>
  <c r="L117" i="2190"/>
  <c r="K117" i="2190"/>
  <c r="J117" i="2190"/>
  <c r="I117" i="2190"/>
  <c r="H117" i="2190"/>
  <c r="G117" i="2190"/>
  <c r="F117" i="2190"/>
  <c r="E117" i="2190"/>
  <c r="AR116" i="2190"/>
  <c r="AR127" i="2190" s="1"/>
  <c r="AQ116" i="2190"/>
  <c r="AP116" i="2190"/>
  <c r="AO116" i="2190"/>
  <c r="AO127" i="2190" s="1"/>
  <c r="AN116" i="2190"/>
  <c r="AN127" i="2190" s="1"/>
  <c r="AM116" i="2190"/>
  <c r="AL116" i="2190"/>
  <c r="AK116" i="2190"/>
  <c r="AJ116" i="2190"/>
  <c r="AI116" i="2190"/>
  <c r="AH116" i="2190"/>
  <c r="AG116" i="2190"/>
  <c r="AF116" i="2190"/>
  <c r="AF127" i="2190" s="1"/>
  <c r="AE116" i="2190"/>
  <c r="AE127" i="2190" s="1"/>
  <c r="AD116" i="2190"/>
  <c r="AC116" i="2190"/>
  <c r="AC127" i="2190" s="1"/>
  <c r="AB116" i="2190"/>
  <c r="AB127" i="2190" s="1"/>
  <c r="AA116" i="2190"/>
  <c r="Z116" i="2190"/>
  <c r="Y116" i="2190"/>
  <c r="C114" i="2190"/>
  <c r="AR113" i="2190"/>
  <c r="AQ113" i="2190"/>
  <c r="AP113" i="2190"/>
  <c r="AO113" i="2190"/>
  <c r="AN113" i="2190"/>
  <c r="AM113" i="2190"/>
  <c r="AL113" i="2190"/>
  <c r="AK113" i="2190"/>
  <c r="AJ113" i="2190"/>
  <c r="AI113" i="2190"/>
  <c r="AH113" i="2190"/>
  <c r="AG113" i="2190"/>
  <c r="AF113" i="2190"/>
  <c r="AE113" i="2190"/>
  <c r="AD113" i="2190"/>
  <c r="AC113" i="2190"/>
  <c r="AB113" i="2190"/>
  <c r="AA113" i="2190"/>
  <c r="Z113" i="2190"/>
  <c r="Y113" i="2190"/>
  <c r="X113" i="2190"/>
  <c r="W113" i="2190"/>
  <c r="V113" i="2190"/>
  <c r="U113" i="2190"/>
  <c r="T113" i="2190"/>
  <c r="S113" i="2190"/>
  <c r="R113" i="2190"/>
  <c r="Q113" i="2190"/>
  <c r="P113" i="2190"/>
  <c r="O113" i="2190"/>
  <c r="N113" i="2190"/>
  <c r="M113" i="2190"/>
  <c r="L113" i="2190"/>
  <c r="K113" i="2190"/>
  <c r="J113" i="2190"/>
  <c r="I113" i="2190"/>
  <c r="H113" i="2190"/>
  <c r="G113" i="2190"/>
  <c r="F113" i="2190"/>
  <c r="E113" i="2190"/>
  <c r="AR112" i="2190"/>
  <c r="AQ112" i="2190"/>
  <c r="AP112" i="2190"/>
  <c r="AO112" i="2190"/>
  <c r="AN112" i="2190"/>
  <c r="AM112" i="2190"/>
  <c r="AL112" i="2190"/>
  <c r="AK112" i="2190"/>
  <c r="AJ112" i="2190"/>
  <c r="AI112" i="2190"/>
  <c r="AH112" i="2190"/>
  <c r="AG112" i="2190"/>
  <c r="AF112" i="2190"/>
  <c r="AE112" i="2190"/>
  <c r="AD112" i="2190"/>
  <c r="AC112" i="2190"/>
  <c r="AB112" i="2190"/>
  <c r="AA112" i="2190"/>
  <c r="Z112" i="2190"/>
  <c r="Y112" i="2190"/>
  <c r="X112" i="2190"/>
  <c r="W112" i="2190"/>
  <c r="V112" i="2190"/>
  <c r="U112" i="2190"/>
  <c r="T112" i="2190"/>
  <c r="S112" i="2190"/>
  <c r="R112" i="2190"/>
  <c r="Q112" i="2190"/>
  <c r="P112" i="2190"/>
  <c r="O112" i="2190"/>
  <c r="N112" i="2190"/>
  <c r="M112" i="2190"/>
  <c r="L112" i="2190"/>
  <c r="K112" i="2190"/>
  <c r="J112" i="2190"/>
  <c r="I112" i="2190"/>
  <c r="H112" i="2190"/>
  <c r="G112" i="2190"/>
  <c r="F112" i="2190"/>
  <c r="E112" i="2190"/>
  <c r="C112" i="2190"/>
  <c r="C111" i="2190"/>
  <c r="AR104" i="2190"/>
  <c r="AQ104" i="2190"/>
  <c r="AP104" i="2190"/>
  <c r="AO104" i="2190"/>
  <c r="AN104" i="2190"/>
  <c r="AM104" i="2190"/>
  <c r="AL104" i="2190"/>
  <c r="AK104" i="2190"/>
  <c r="AJ104" i="2190"/>
  <c r="AI104" i="2190"/>
  <c r="AH104" i="2190"/>
  <c r="AG104" i="2190"/>
  <c r="AF104" i="2190"/>
  <c r="AE104" i="2190"/>
  <c r="AD104" i="2190"/>
  <c r="AC104" i="2190"/>
  <c r="AB104" i="2190"/>
  <c r="AA104" i="2190"/>
  <c r="Z104" i="2190"/>
  <c r="Y104" i="2190"/>
  <c r="X104" i="2190"/>
  <c r="W104" i="2190"/>
  <c r="V104" i="2190"/>
  <c r="V118" i="2190" s="1"/>
  <c r="U104" i="2190"/>
  <c r="T104" i="2190"/>
  <c r="T118" i="2190" s="1"/>
  <c r="S104" i="2190"/>
  <c r="R104" i="2190"/>
  <c r="Q104" i="2190"/>
  <c r="P104" i="2190"/>
  <c r="O104" i="2190"/>
  <c r="N104" i="2190"/>
  <c r="M104" i="2190"/>
  <c r="L104" i="2190"/>
  <c r="K104" i="2190"/>
  <c r="J104" i="2190"/>
  <c r="I104" i="2190"/>
  <c r="H104" i="2190"/>
  <c r="G104" i="2190"/>
  <c r="F104" i="2190"/>
  <c r="E104" i="2190"/>
  <c r="E101" i="2190"/>
  <c r="F101" i="2190" s="1"/>
  <c r="G101" i="2190" s="1"/>
  <c r="H101" i="2190" s="1"/>
  <c r="I101" i="2190" s="1"/>
  <c r="J101" i="2190" s="1"/>
  <c r="K101" i="2190" s="1"/>
  <c r="L101" i="2190" s="1"/>
  <c r="M101" i="2190" s="1"/>
  <c r="N101" i="2190" s="1"/>
  <c r="O101" i="2190" s="1"/>
  <c r="P101" i="2190" s="1"/>
  <c r="Q101" i="2190" s="1"/>
  <c r="R101" i="2190" s="1"/>
  <c r="S101" i="2190" s="1"/>
  <c r="T101" i="2190" s="1"/>
  <c r="U101" i="2190" s="1"/>
  <c r="V101" i="2190" s="1"/>
  <c r="W101" i="2190" s="1"/>
  <c r="X101" i="2190" s="1"/>
  <c r="Y101" i="2190" s="1"/>
  <c r="C87" i="2190"/>
  <c r="D70" i="2190"/>
  <c r="D69" i="2190"/>
  <c r="D68" i="2190"/>
  <c r="D65" i="2190"/>
  <c r="D63" i="2190"/>
  <c r="D61" i="2190"/>
  <c r="D55" i="2190"/>
  <c r="D54" i="2190"/>
  <c r="D53" i="2190"/>
  <c r="D52" i="2190"/>
  <c r="D50" i="2190"/>
  <c r="D49" i="2190"/>
  <c r="D47" i="2190"/>
  <c r="D46" i="2190"/>
  <c r="D37" i="2190"/>
  <c r="D35" i="2190"/>
  <c r="D30" i="2190"/>
  <c r="E17" i="2190"/>
  <c r="E16" i="2190"/>
  <c r="E13" i="2190"/>
  <c r="E12" i="2190"/>
  <c r="D8" i="2190"/>
  <c r="D7" i="2190"/>
  <c r="D5" i="2190"/>
  <c r="A1" i="2190"/>
  <c r="B171" i="2189"/>
  <c r="B170" i="2189"/>
  <c r="B169" i="2189"/>
  <c r="C165" i="2189"/>
  <c r="B165" i="2189"/>
  <c r="C164" i="2189"/>
  <c r="B164" i="2189"/>
  <c r="B163" i="2189"/>
  <c r="C147" i="2189"/>
  <c r="AR143" i="2189"/>
  <c r="AQ143" i="2189"/>
  <c r="AP143" i="2189"/>
  <c r="AO143" i="2189"/>
  <c r="AN143" i="2189"/>
  <c r="AM143" i="2189"/>
  <c r="AL143" i="2189"/>
  <c r="AK143" i="2189"/>
  <c r="AJ143" i="2189"/>
  <c r="AI143" i="2189"/>
  <c r="AH143" i="2189"/>
  <c r="AG143" i="2189"/>
  <c r="AF143" i="2189"/>
  <c r="AE143" i="2189"/>
  <c r="AD143" i="2189"/>
  <c r="AC143" i="2189"/>
  <c r="AB143" i="2189"/>
  <c r="AA143" i="2189"/>
  <c r="Z143" i="2189"/>
  <c r="Y143" i="2189"/>
  <c r="X143" i="2189"/>
  <c r="W143" i="2189"/>
  <c r="V143" i="2189"/>
  <c r="U143" i="2189"/>
  <c r="T143" i="2189"/>
  <c r="AR141" i="2189"/>
  <c r="AQ141" i="2189"/>
  <c r="AP141" i="2189"/>
  <c r="AO141" i="2189"/>
  <c r="AN141" i="2189"/>
  <c r="AM141" i="2189"/>
  <c r="AL141" i="2189"/>
  <c r="AK141" i="2189"/>
  <c r="AJ141" i="2189"/>
  <c r="AI141" i="2189"/>
  <c r="AH141" i="2189"/>
  <c r="AG141" i="2189"/>
  <c r="AF141" i="2189"/>
  <c r="AE141" i="2189"/>
  <c r="AD141" i="2189"/>
  <c r="AC141" i="2189"/>
  <c r="AB141" i="2189"/>
  <c r="AA141" i="2189"/>
  <c r="Z141" i="2189"/>
  <c r="Y141" i="2189"/>
  <c r="X141" i="2189"/>
  <c r="W141" i="2189"/>
  <c r="V141" i="2189"/>
  <c r="U141" i="2189"/>
  <c r="T141" i="2189"/>
  <c r="C141" i="2189"/>
  <c r="AR132" i="2189"/>
  <c r="AQ132" i="2189"/>
  <c r="AP132" i="2189"/>
  <c r="AO132" i="2189"/>
  <c r="AN132" i="2189"/>
  <c r="AM132" i="2189"/>
  <c r="AL132" i="2189"/>
  <c r="AK132" i="2189"/>
  <c r="AJ132" i="2189"/>
  <c r="AI132" i="2189"/>
  <c r="AH132" i="2189"/>
  <c r="AG132" i="2189"/>
  <c r="AF132" i="2189"/>
  <c r="AE132" i="2189"/>
  <c r="AD132" i="2189"/>
  <c r="AC132" i="2189"/>
  <c r="AB132" i="2189"/>
  <c r="AA132" i="2189"/>
  <c r="Z132" i="2189"/>
  <c r="Y132" i="2189"/>
  <c r="X132" i="2189"/>
  <c r="W132" i="2189"/>
  <c r="V132" i="2189"/>
  <c r="U132" i="2189"/>
  <c r="T132" i="2189"/>
  <c r="AR131" i="2189"/>
  <c r="AQ131" i="2189"/>
  <c r="AP131" i="2189"/>
  <c r="AO131" i="2189"/>
  <c r="AN131" i="2189"/>
  <c r="AM131" i="2189"/>
  <c r="AL131" i="2189"/>
  <c r="AK131" i="2189"/>
  <c r="AJ131" i="2189"/>
  <c r="AI131" i="2189"/>
  <c r="AH131" i="2189"/>
  <c r="AG131" i="2189"/>
  <c r="AF131" i="2189"/>
  <c r="AF133" i="2189" s="1"/>
  <c r="AE131" i="2189"/>
  <c r="AD131" i="2189"/>
  <c r="AC131" i="2189"/>
  <c r="AB131" i="2189"/>
  <c r="AA131" i="2189"/>
  <c r="AA133" i="2189" s="1"/>
  <c r="Z131" i="2189"/>
  <c r="Y131" i="2189"/>
  <c r="X131" i="2189"/>
  <c r="X133" i="2189" s="1"/>
  <c r="W131" i="2189"/>
  <c r="V131" i="2189"/>
  <c r="U131" i="2189"/>
  <c r="T131" i="2189"/>
  <c r="AR130" i="2189"/>
  <c r="AQ130" i="2189"/>
  <c r="AP130" i="2189"/>
  <c r="AO130" i="2189"/>
  <c r="AN130" i="2189"/>
  <c r="AM130" i="2189"/>
  <c r="AL130" i="2189"/>
  <c r="AK130" i="2189"/>
  <c r="AJ130" i="2189"/>
  <c r="AI130" i="2189"/>
  <c r="AH130" i="2189"/>
  <c r="AG130" i="2189"/>
  <c r="AF130" i="2189"/>
  <c r="AE130" i="2189"/>
  <c r="AD130" i="2189"/>
  <c r="AC130" i="2189"/>
  <c r="AB130" i="2189"/>
  <c r="AA130" i="2189"/>
  <c r="Z130" i="2189"/>
  <c r="Y130" i="2189"/>
  <c r="X130" i="2189"/>
  <c r="W130" i="2189"/>
  <c r="V130" i="2189"/>
  <c r="U130" i="2189"/>
  <c r="T130" i="2189"/>
  <c r="AR121" i="2189"/>
  <c r="AQ121" i="2189"/>
  <c r="AP121" i="2189"/>
  <c r="AO121" i="2189"/>
  <c r="AN121" i="2189"/>
  <c r="AM121" i="2189"/>
  <c r="AL121" i="2189"/>
  <c r="AK121" i="2189"/>
  <c r="AJ121" i="2189"/>
  <c r="AI121" i="2189"/>
  <c r="AH121" i="2189"/>
  <c r="AG121" i="2189"/>
  <c r="AF121" i="2189"/>
  <c r="AE121" i="2189"/>
  <c r="AD121" i="2189"/>
  <c r="AC121" i="2189"/>
  <c r="AB121" i="2189"/>
  <c r="AA121" i="2189"/>
  <c r="Z121" i="2189"/>
  <c r="Y121" i="2189"/>
  <c r="X121" i="2189"/>
  <c r="W121" i="2189"/>
  <c r="V121" i="2189"/>
  <c r="U121" i="2189"/>
  <c r="T121" i="2189"/>
  <c r="S121" i="2189"/>
  <c r="R121" i="2189"/>
  <c r="Q121" i="2189"/>
  <c r="P121" i="2189"/>
  <c r="O121" i="2189"/>
  <c r="N121" i="2189"/>
  <c r="M121" i="2189"/>
  <c r="L121" i="2189"/>
  <c r="K121" i="2189"/>
  <c r="J121" i="2189"/>
  <c r="I121" i="2189"/>
  <c r="H121" i="2189"/>
  <c r="G121" i="2189"/>
  <c r="F121" i="2189"/>
  <c r="E121" i="2189"/>
  <c r="C121" i="2189"/>
  <c r="AR120" i="2189"/>
  <c r="AQ120" i="2189"/>
  <c r="AP120" i="2189"/>
  <c r="AO120" i="2189"/>
  <c r="AN120" i="2189"/>
  <c r="AM120" i="2189"/>
  <c r="AL120" i="2189"/>
  <c r="AK120" i="2189"/>
  <c r="AJ120" i="2189"/>
  <c r="AI120" i="2189"/>
  <c r="AH120" i="2189"/>
  <c r="AG120" i="2189"/>
  <c r="AF120" i="2189"/>
  <c r="AE120" i="2189"/>
  <c r="AD120" i="2189"/>
  <c r="AC120" i="2189"/>
  <c r="AB120" i="2189"/>
  <c r="AA120" i="2189"/>
  <c r="Z120" i="2189"/>
  <c r="Y120" i="2189"/>
  <c r="X120" i="2189"/>
  <c r="W120" i="2189"/>
  <c r="V120" i="2189"/>
  <c r="U120" i="2189"/>
  <c r="T120" i="2189"/>
  <c r="S120" i="2189"/>
  <c r="R120" i="2189"/>
  <c r="Q120" i="2189"/>
  <c r="P120" i="2189"/>
  <c r="O120" i="2189"/>
  <c r="N120" i="2189"/>
  <c r="M120" i="2189"/>
  <c r="L120" i="2189"/>
  <c r="K120" i="2189"/>
  <c r="J120" i="2189"/>
  <c r="I120" i="2189"/>
  <c r="H120" i="2189"/>
  <c r="G120" i="2189"/>
  <c r="F120" i="2189"/>
  <c r="E120" i="2189"/>
  <c r="C120" i="2189"/>
  <c r="AR119" i="2189"/>
  <c r="AQ119" i="2189"/>
  <c r="AP119" i="2189"/>
  <c r="AO119" i="2189"/>
  <c r="AN119" i="2189"/>
  <c r="AM119" i="2189"/>
  <c r="AL119" i="2189"/>
  <c r="AK119" i="2189"/>
  <c r="AJ119" i="2189"/>
  <c r="AI119" i="2189"/>
  <c r="AH119" i="2189"/>
  <c r="AG119" i="2189"/>
  <c r="AF119" i="2189"/>
  <c r="AE119" i="2189"/>
  <c r="AD119" i="2189"/>
  <c r="AC119" i="2189"/>
  <c r="AB119" i="2189"/>
  <c r="AA119" i="2189"/>
  <c r="Z119" i="2189"/>
  <c r="Y119" i="2189"/>
  <c r="X119" i="2189"/>
  <c r="W119" i="2189"/>
  <c r="V119" i="2189"/>
  <c r="U119" i="2189"/>
  <c r="T119" i="2189"/>
  <c r="S119" i="2189"/>
  <c r="R119" i="2189"/>
  <c r="Q119" i="2189"/>
  <c r="P119" i="2189"/>
  <c r="O119" i="2189"/>
  <c r="N119" i="2189"/>
  <c r="M119" i="2189"/>
  <c r="L119" i="2189"/>
  <c r="K119" i="2189"/>
  <c r="J119" i="2189"/>
  <c r="I119" i="2189"/>
  <c r="H119" i="2189"/>
  <c r="G119" i="2189"/>
  <c r="F119" i="2189"/>
  <c r="E119" i="2189"/>
  <c r="AR118" i="2189"/>
  <c r="AQ118" i="2189"/>
  <c r="AP118" i="2189"/>
  <c r="AO118" i="2189"/>
  <c r="AN118" i="2189"/>
  <c r="AM118" i="2189"/>
  <c r="AL118" i="2189"/>
  <c r="AK118" i="2189"/>
  <c r="AJ118" i="2189"/>
  <c r="AI118" i="2189"/>
  <c r="AH118" i="2189"/>
  <c r="AG118" i="2189"/>
  <c r="AF118" i="2189"/>
  <c r="AE118" i="2189"/>
  <c r="AD118" i="2189"/>
  <c r="AC118" i="2189"/>
  <c r="AB118" i="2189"/>
  <c r="AA118" i="2189"/>
  <c r="Z118" i="2189"/>
  <c r="Y118" i="2189"/>
  <c r="S118" i="2189"/>
  <c r="R118" i="2189"/>
  <c r="Q118" i="2189"/>
  <c r="P118" i="2189"/>
  <c r="O118" i="2189"/>
  <c r="N118" i="2189"/>
  <c r="M118" i="2189"/>
  <c r="L118" i="2189"/>
  <c r="K118" i="2189"/>
  <c r="J118" i="2189"/>
  <c r="I118" i="2189"/>
  <c r="H118" i="2189"/>
  <c r="G118" i="2189"/>
  <c r="F118" i="2189"/>
  <c r="E118" i="2189"/>
  <c r="AR117" i="2189"/>
  <c r="AQ117" i="2189"/>
  <c r="AP117" i="2189"/>
  <c r="AO117" i="2189"/>
  <c r="AN117" i="2189"/>
  <c r="AM117" i="2189"/>
  <c r="AL117" i="2189"/>
  <c r="AK117" i="2189"/>
  <c r="AJ117" i="2189"/>
  <c r="AI117" i="2189"/>
  <c r="AH117" i="2189"/>
  <c r="AG117" i="2189"/>
  <c r="AF117" i="2189"/>
  <c r="AE117" i="2189"/>
  <c r="AD117" i="2189"/>
  <c r="AC117" i="2189"/>
  <c r="AB117" i="2189"/>
  <c r="AA117" i="2189"/>
  <c r="Z117" i="2189"/>
  <c r="Y117" i="2189"/>
  <c r="X117" i="2189"/>
  <c r="W117" i="2189"/>
  <c r="V117" i="2189"/>
  <c r="U117" i="2189"/>
  <c r="T117" i="2189"/>
  <c r="S117" i="2189"/>
  <c r="R117" i="2189"/>
  <c r="Q117" i="2189"/>
  <c r="P117" i="2189"/>
  <c r="O117" i="2189"/>
  <c r="N117" i="2189"/>
  <c r="M117" i="2189"/>
  <c r="L117" i="2189"/>
  <c r="K117" i="2189"/>
  <c r="J117" i="2189"/>
  <c r="I117" i="2189"/>
  <c r="H117" i="2189"/>
  <c r="G117" i="2189"/>
  <c r="F117" i="2189"/>
  <c r="E117" i="2189"/>
  <c r="AR116" i="2189"/>
  <c r="AQ116" i="2189"/>
  <c r="AP116" i="2189"/>
  <c r="AP127" i="2189" s="1"/>
  <c r="AO116" i="2189"/>
  <c r="AO127" i="2189" s="1"/>
  <c r="AN116" i="2189"/>
  <c r="AM116" i="2189"/>
  <c r="AM127" i="2189" s="1"/>
  <c r="AL116" i="2189"/>
  <c r="AL127" i="2189" s="1"/>
  <c r="AK116" i="2189"/>
  <c r="AJ116" i="2189"/>
  <c r="AJ127" i="2189" s="1"/>
  <c r="AI116" i="2189"/>
  <c r="AI127" i="2189" s="1"/>
  <c r="AH116" i="2189"/>
  <c r="AG116" i="2189"/>
  <c r="AF116" i="2189"/>
  <c r="AE116" i="2189"/>
  <c r="AD116" i="2189"/>
  <c r="AD127" i="2189" s="1"/>
  <c r="AC116" i="2189"/>
  <c r="AC127" i="2189" s="1"/>
  <c r="AB116" i="2189"/>
  <c r="AA116" i="2189"/>
  <c r="AA127" i="2189" s="1"/>
  <c r="Z116" i="2189"/>
  <c r="Z127" i="2189" s="1"/>
  <c r="Y116" i="2189"/>
  <c r="C114" i="2189"/>
  <c r="AR113" i="2189"/>
  <c r="AQ113" i="2189"/>
  <c r="AP113" i="2189"/>
  <c r="AO113" i="2189"/>
  <c r="AN113" i="2189"/>
  <c r="AM113" i="2189"/>
  <c r="AL113" i="2189"/>
  <c r="AK113" i="2189"/>
  <c r="AJ113" i="2189"/>
  <c r="AI113" i="2189"/>
  <c r="AH113" i="2189"/>
  <c r="AG113" i="2189"/>
  <c r="AF113" i="2189"/>
  <c r="AE113" i="2189"/>
  <c r="AD113" i="2189"/>
  <c r="AC113" i="2189"/>
  <c r="AB113" i="2189"/>
  <c r="AA113" i="2189"/>
  <c r="Z113" i="2189"/>
  <c r="Y113" i="2189"/>
  <c r="X113" i="2189"/>
  <c r="W113" i="2189"/>
  <c r="V113" i="2189"/>
  <c r="U113" i="2189"/>
  <c r="T113" i="2189"/>
  <c r="S113" i="2189"/>
  <c r="R113" i="2189"/>
  <c r="Q113" i="2189"/>
  <c r="P113" i="2189"/>
  <c r="O113" i="2189"/>
  <c r="N113" i="2189"/>
  <c r="M113" i="2189"/>
  <c r="L113" i="2189"/>
  <c r="K113" i="2189"/>
  <c r="J113" i="2189"/>
  <c r="I113" i="2189"/>
  <c r="H113" i="2189"/>
  <c r="G113" i="2189"/>
  <c r="F113" i="2189"/>
  <c r="E113" i="2189"/>
  <c r="AR112" i="2189"/>
  <c r="AQ112" i="2189"/>
  <c r="AP112" i="2189"/>
  <c r="AO112" i="2189"/>
  <c r="AN112" i="2189"/>
  <c r="AM112" i="2189"/>
  <c r="AL112" i="2189"/>
  <c r="AK112" i="2189"/>
  <c r="AJ112" i="2189"/>
  <c r="AI112" i="2189"/>
  <c r="AH112" i="2189"/>
  <c r="AG112" i="2189"/>
  <c r="AF112" i="2189"/>
  <c r="AE112" i="2189"/>
  <c r="AD112" i="2189"/>
  <c r="AC112" i="2189"/>
  <c r="AB112" i="2189"/>
  <c r="AA112" i="2189"/>
  <c r="Z112" i="2189"/>
  <c r="Y112" i="2189"/>
  <c r="X112" i="2189"/>
  <c r="W112" i="2189"/>
  <c r="V112" i="2189"/>
  <c r="U112" i="2189"/>
  <c r="T112" i="2189"/>
  <c r="S112" i="2189"/>
  <c r="R112" i="2189"/>
  <c r="Q112" i="2189"/>
  <c r="P112" i="2189"/>
  <c r="O112" i="2189"/>
  <c r="N112" i="2189"/>
  <c r="M112" i="2189"/>
  <c r="L112" i="2189"/>
  <c r="K112" i="2189"/>
  <c r="J112" i="2189"/>
  <c r="I112" i="2189"/>
  <c r="H112" i="2189"/>
  <c r="G112" i="2189"/>
  <c r="F112" i="2189"/>
  <c r="E112" i="2189"/>
  <c r="C112" i="2189"/>
  <c r="C111" i="2189"/>
  <c r="AR104" i="2189"/>
  <c r="AQ104" i="2189"/>
  <c r="AP104" i="2189"/>
  <c r="AO104" i="2189"/>
  <c r="AN104" i="2189"/>
  <c r="AM104" i="2189"/>
  <c r="AL104" i="2189"/>
  <c r="AK104" i="2189"/>
  <c r="AJ104" i="2189"/>
  <c r="AI104" i="2189"/>
  <c r="AH104" i="2189"/>
  <c r="AG104" i="2189"/>
  <c r="AF104" i="2189"/>
  <c r="AE104" i="2189"/>
  <c r="AD104" i="2189"/>
  <c r="AC104" i="2189"/>
  <c r="AB104" i="2189"/>
  <c r="AA104" i="2189"/>
  <c r="Z104" i="2189"/>
  <c r="Y104" i="2189"/>
  <c r="X104" i="2189"/>
  <c r="X118" i="2189" s="1"/>
  <c r="W104" i="2189"/>
  <c r="W118" i="2189" s="1"/>
  <c r="V104" i="2189"/>
  <c r="U104" i="2189"/>
  <c r="T104" i="2189"/>
  <c r="T118" i="2189" s="1"/>
  <c r="S104" i="2189"/>
  <c r="R104" i="2189"/>
  <c r="Q104" i="2189"/>
  <c r="P104" i="2189"/>
  <c r="O104" i="2189"/>
  <c r="N104" i="2189"/>
  <c r="M104" i="2189"/>
  <c r="L104" i="2189"/>
  <c r="K104" i="2189"/>
  <c r="J104" i="2189"/>
  <c r="I104" i="2189"/>
  <c r="H104" i="2189"/>
  <c r="G104" i="2189"/>
  <c r="F104" i="2189"/>
  <c r="E104" i="2189"/>
  <c r="E101" i="2189"/>
  <c r="F101" i="2189" s="1"/>
  <c r="G101" i="2189" s="1"/>
  <c r="H101" i="2189" s="1"/>
  <c r="I101" i="2189" s="1"/>
  <c r="J101" i="2189" s="1"/>
  <c r="K101" i="2189" s="1"/>
  <c r="L101" i="2189" s="1"/>
  <c r="M101" i="2189" s="1"/>
  <c r="N101" i="2189" s="1"/>
  <c r="O101" i="2189" s="1"/>
  <c r="P101" i="2189" s="1"/>
  <c r="Q101" i="2189" s="1"/>
  <c r="R101" i="2189" s="1"/>
  <c r="S101" i="2189" s="1"/>
  <c r="T101" i="2189" s="1"/>
  <c r="U101" i="2189" s="1"/>
  <c r="V101" i="2189" s="1"/>
  <c r="W101" i="2189" s="1"/>
  <c r="X101" i="2189" s="1"/>
  <c r="Y101" i="2189" s="1"/>
  <c r="C87" i="2189"/>
  <c r="D70" i="2189"/>
  <c r="D69" i="2189"/>
  <c r="D68" i="2189"/>
  <c r="D65" i="2189"/>
  <c r="D63" i="2189"/>
  <c r="D61" i="2189"/>
  <c r="D55" i="2189"/>
  <c r="D54" i="2189"/>
  <c r="D53" i="2189"/>
  <c r="D52" i="2189"/>
  <c r="D50" i="2189"/>
  <c r="D49" i="2189"/>
  <c r="D47" i="2189"/>
  <c r="D46" i="2189"/>
  <c r="D37" i="2189"/>
  <c r="D35" i="2189"/>
  <c r="D30" i="2189"/>
  <c r="E17" i="2189"/>
  <c r="E16" i="2189"/>
  <c r="E13" i="2189"/>
  <c r="E12" i="2189"/>
  <c r="D8" i="2189"/>
  <c r="D7" i="2189"/>
  <c r="D5" i="2189"/>
  <c r="A1" i="2189"/>
  <c r="B171" i="2188"/>
  <c r="B170" i="2188"/>
  <c r="B169" i="2188"/>
  <c r="C165" i="2188"/>
  <c r="B165" i="2188"/>
  <c r="C164" i="2188"/>
  <c r="B164" i="2188"/>
  <c r="B163" i="2188"/>
  <c r="C147" i="2188"/>
  <c r="AR143" i="2188"/>
  <c r="AQ143" i="2188"/>
  <c r="AP143" i="2188"/>
  <c r="AO143" i="2188"/>
  <c r="AN143" i="2188"/>
  <c r="AM143" i="2188"/>
  <c r="AL143" i="2188"/>
  <c r="AK143" i="2188"/>
  <c r="AJ143" i="2188"/>
  <c r="AI143" i="2188"/>
  <c r="AH143" i="2188"/>
  <c r="AG143" i="2188"/>
  <c r="AF143" i="2188"/>
  <c r="AE143" i="2188"/>
  <c r="AD143" i="2188"/>
  <c r="AC143" i="2188"/>
  <c r="AB143" i="2188"/>
  <c r="AA143" i="2188"/>
  <c r="Z143" i="2188"/>
  <c r="Y143" i="2188"/>
  <c r="X143" i="2188"/>
  <c r="W143" i="2188"/>
  <c r="V143" i="2188"/>
  <c r="U143" i="2188"/>
  <c r="T143" i="2188"/>
  <c r="AR141" i="2188"/>
  <c r="AQ141" i="2188"/>
  <c r="AP141" i="2188"/>
  <c r="AO141" i="2188"/>
  <c r="AN141" i="2188"/>
  <c r="AM141" i="2188"/>
  <c r="AL141" i="2188"/>
  <c r="AK141" i="2188"/>
  <c r="AJ141" i="2188"/>
  <c r="AI141" i="2188"/>
  <c r="AH141" i="2188"/>
  <c r="AG141" i="2188"/>
  <c r="AF141" i="2188"/>
  <c r="AE141" i="2188"/>
  <c r="AD141" i="2188"/>
  <c r="AC141" i="2188"/>
  <c r="AB141" i="2188"/>
  <c r="AA141" i="2188"/>
  <c r="Z141" i="2188"/>
  <c r="Y141" i="2188"/>
  <c r="X141" i="2188"/>
  <c r="W141" i="2188"/>
  <c r="V141" i="2188"/>
  <c r="U141" i="2188"/>
  <c r="T141" i="2188"/>
  <c r="C141" i="2188"/>
  <c r="AR132" i="2188"/>
  <c r="AQ132" i="2188"/>
  <c r="AP132" i="2188"/>
  <c r="AO132" i="2188"/>
  <c r="AN132" i="2188"/>
  <c r="AM132" i="2188"/>
  <c r="AL132" i="2188"/>
  <c r="AK132" i="2188"/>
  <c r="AJ132" i="2188"/>
  <c r="AI132" i="2188"/>
  <c r="AH132" i="2188"/>
  <c r="AG132" i="2188"/>
  <c r="AF132" i="2188"/>
  <c r="AE132" i="2188"/>
  <c r="AD132" i="2188"/>
  <c r="AC132" i="2188"/>
  <c r="AB132" i="2188"/>
  <c r="AA132" i="2188"/>
  <c r="Z132" i="2188"/>
  <c r="Y132" i="2188"/>
  <c r="X132" i="2188"/>
  <c r="W132" i="2188"/>
  <c r="V132" i="2188"/>
  <c r="U132" i="2188"/>
  <c r="T132" i="2188"/>
  <c r="AR131" i="2188"/>
  <c r="AQ131" i="2188"/>
  <c r="AP131" i="2188"/>
  <c r="AO131" i="2188"/>
  <c r="AN131" i="2188"/>
  <c r="AM131" i="2188"/>
  <c r="AL131" i="2188"/>
  <c r="AK131" i="2188"/>
  <c r="AJ131" i="2188"/>
  <c r="AI131" i="2188"/>
  <c r="AH131" i="2188"/>
  <c r="AG131" i="2188"/>
  <c r="AF131" i="2188"/>
  <c r="AE131" i="2188"/>
  <c r="AD131" i="2188"/>
  <c r="AC131" i="2188"/>
  <c r="AB131" i="2188"/>
  <c r="AA131" i="2188"/>
  <c r="Z131" i="2188"/>
  <c r="Z133" i="2188" s="1"/>
  <c r="Y131" i="2188"/>
  <c r="X131" i="2188"/>
  <c r="W131" i="2188"/>
  <c r="V131" i="2188"/>
  <c r="U131" i="2188"/>
  <c r="T131" i="2188"/>
  <c r="AR130" i="2188"/>
  <c r="AQ130" i="2188"/>
  <c r="AP130" i="2188"/>
  <c r="AO130" i="2188"/>
  <c r="AN130" i="2188"/>
  <c r="AM130" i="2188"/>
  <c r="AL130" i="2188"/>
  <c r="AK130" i="2188"/>
  <c r="AJ130" i="2188"/>
  <c r="AI130" i="2188"/>
  <c r="AH130" i="2188"/>
  <c r="AG130" i="2188"/>
  <c r="AF130" i="2188"/>
  <c r="AE130" i="2188"/>
  <c r="AD130" i="2188"/>
  <c r="AC130" i="2188"/>
  <c r="AB130" i="2188"/>
  <c r="AA130" i="2188"/>
  <c r="Z130" i="2188"/>
  <c r="Y130" i="2188"/>
  <c r="X130" i="2188"/>
  <c r="W130" i="2188"/>
  <c r="V130" i="2188"/>
  <c r="U130" i="2188"/>
  <c r="T130" i="2188"/>
  <c r="AR121" i="2188"/>
  <c r="AQ121" i="2188"/>
  <c r="AP121" i="2188"/>
  <c r="AO121" i="2188"/>
  <c r="AN121" i="2188"/>
  <c r="AM121" i="2188"/>
  <c r="AL121" i="2188"/>
  <c r="AK121" i="2188"/>
  <c r="AJ121" i="2188"/>
  <c r="AI121" i="2188"/>
  <c r="AH121" i="2188"/>
  <c r="AG121" i="2188"/>
  <c r="AF121" i="2188"/>
  <c r="AE121" i="2188"/>
  <c r="AD121" i="2188"/>
  <c r="AC121" i="2188"/>
  <c r="AB121" i="2188"/>
  <c r="AA121" i="2188"/>
  <c r="Z121" i="2188"/>
  <c r="Y121" i="2188"/>
  <c r="X121" i="2188"/>
  <c r="W121" i="2188"/>
  <c r="V121" i="2188"/>
  <c r="U121" i="2188"/>
  <c r="T121" i="2188"/>
  <c r="S121" i="2188"/>
  <c r="R121" i="2188"/>
  <c r="Q121" i="2188"/>
  <c r="P121" i="2188"/>
  <c r="O121" i="2188"/>
  <c r="N121" i="2188"/>
  <c r="M121" i="2188"/>
  <c r="L121" i="2188"/>
  <c r="K121" i="2188"/>
  <c r="J121" i="2188"/>
  <c r="I121" i="2188"/>
  <c r="H121" i="2188"/>
  <c r="G121" i="2188"/>
  <c r="F121" i="2188"/>
  <c r="E121" i="2188"/>
  <c r="C121" i="2188"/>
  <c r="AR120" i="2188"/>
  <c r="AQ120" i="2188"/>
  <c r="AP120" i="2188"/>
  <c r="AO120" i="2188"/>
  <c r="AN120" i="2188"/>
  <c r="AM120" i="2188"/>
  <c r="AL120" i="2188"/>
  <c r="AK120" i="2188"/>
  <c r="AJ120" i="2188"/>
  <c r="AI120" i="2188"/>
  <c r="AH120" i="2188"/>
  <c r="AG120" i="2188"/>
  <c r="AF120" i="2188"/>
  <c r="AE120" i="2188"/>
  <c r="AD120" i="2188"/>
  <c r="AC120" i="2188"/>
  <c r="AB120" i="2188"/>
  <c r="AA120" i="2188"/>
  <c r="Z120" i="2188"/>
  <c r="Y120" i="2188"/>
  <c r="X120" i="2188"/>
  <c r="W120" i="2188"/>
  <c r="V120" i="2188"/>
  <c r="U120" i="2188"/>
  <c r="T120" i="2188"/>
  <c r="S120" i="2188"/>
  <c r="R120" i="2188"/>
  <c r="Q120" i="2188"/>
  <c r="P120" i="2188"/>
  <c r="O120" i="2188"/>
  <c r="N120" i="2188"/>
  <c r="M120" i="2188"/>
  <c r="L120" i="2188"/>
  <c r="K120" i="2188"/>
  <c r="J120" i="2188"/>
  <c r="I120" i="2188"/>
  <c r="H120" i="2188"/>
  <c r="G120" i="2188"/>
  <c r="F120" i="2188"/>
  <c r="E120" i="2188"/>
  <c r="C120" i="2188"/>
  <c r="AR119" i="2188"/>
  <c r="AQ119" i="2188"/>
  <c r="AP119" i="2188"/>
  <c r="AO119" i="2188"/>
  <c r="AN119" i="2188"/>
  <c r="AM119" i="2188"/>
  <c r="AL119" i="2188"/>
  <c r="AK119" i="2188"/>
  <c r="AJ119" i="2188"/>
  <c r="AI119" i="2188"/>
  <c r="AH119" i="2188"/>
  <c r="AG119" i="2188"/>
  <c r="AF119" i="2188"/>
  <c r="AE119" i="2188"/>
  <c r="AD119" i="2188"/>
  <c r="AC119" i="2188"/>
  <c r="AB119" i="2188"/>
  <c r="AA119" i="2188"/>
  <c r="Z119" i="2188"/>
  <c r="Y119" i="2188"/>
  <c r="X119" i="2188"/>
  <c r="W119" i="2188"/>
  <c r="V119" i="2188"/>
  <c r="U119" i="2188"/>
  <c r="T119" i="2188"/>
  <c r="S119" i="2188"/>
  <c r="R119" i="2188"/>
  <c r="Q119" i="2188"/>
  <c r="P119" i="2188"/>
  <c r="O119" i="2188"/>
  <c r="N119" i="2188"/>
  <c r="M119" i="2188"/>
  <c r="L119" i="2188"/>
  <c r="K119" i="2188"/>
  <c r="J119" i="2188"/>
  <c r="I119" i="2188"/>
  <c r="H119" i="2188"/>
  <c r="G119" i="2188"/>
  <c r="F119" i="2188"/>
  <c r="E119" i="2188"/>
  <c r="AR118" i="2188"/>
  <c r="AQ118" i="2188"/>
  <c r="AP118" i="2188"/>
  <c r="AO118" i="2188"/>
  <c r="AN118" i="2188"/>
  <c r="AM118" i="2188"/>
  <c r="AL118" i="2188"/>
  <c r="AK118" i="2188"/>
  <c r="AJ118" i="2188"/>
  <c r="AI118" i="2188"/>
  <c r="AH118" i="2188"/>
  <c r="AG118" i="2188"/>
  <c r="AF118" i="2188"/>
  <c r="AE118" i="2188"/>
  <c r="AD118" i="2188"/>
  <c r="AC118" i="2188"/>
  <c r="AB118" i="2188"/>
  <c r="AA118" i="2188"/>
  <c r="Z118" i="2188"/>
  <c r="Y118" i="2188"/>
  <c r="S118" i="2188"/>
  <c r="R118" i="2188"/>
  <c r="Q118" i="2188"/>
  <c r="P118" i="2188"/>
  <c r="O118" i="2188"/>
  <c r="N118" i="2188"/>
  <c r="M118" i="2188"/>
  <c r="L118" i="2188"/>
  <c r="K118" i="2188"/>
  <c r="J118" i="2188"/>
  <c r="I118" i="2188"/>
  <c r="H118" i="2188"/>
  <c r="G118" i="2188"/>
  <c r="F118" i="2188"/>
  <c r="E118" i="2188"/>
  <c r="AR117" i="2188"/>
  <c r="AQ117" i="2188"/>
  <c r="AP117" i="2188"/>
  <c r="AO117" i="2188"/>
  <c r="AN117" i="2188"/>
  <c r="AM117" i="2188"/>
  <c r="AL117" i="2188"/>
  <c r="AK117" i="2188"/>
  <c r="AJ117" i="2188"/>
  <c r="AI117" i="2188"/>
  <c r="AH117" i="2188"/>
  <c r="AG117" i="2188"/>
  <c r="AF117" i="2188"/>
  <c r="AE117" i="2188"/>
  <c r="AD117" i="2188"/>
  <c r="AC117" i="2188"/>
  <c r="AB117" i="2188"/>
  <c r="AA117" i="2188"/>
  <c r="Z117" i="2188"/>
  <c r="Y117" i="2188"/>
  <c r="X117" i="2188"/>
  <c r="W117" i="2188"/>
  <c r="V117" i="2188"/>
  <c r="U117" i="2188"/>
  <c r="T117" i="2188"/>
  <c r="S117" i="2188"/>
  <c r="R117" i="2188"/>
  <c r="Q117" i="2188"/>
  <c r="P117" i="2188"/>
  <c r="O117" i="2188"/>
  <c r="N117" i="2188"/>
  <c r="M117" i="2188"/>
  <c r="L117" i="2188"/>
  <c r="K117" i="2188"/>
  <c r="J117" i="2188"/>
  <c r="I117" i="2188"/>
  <c r="H117" i="2188"/>
  <c r="G117" i="2188"/>
  <c r="F117" i="2188"/>
  <c r="E117" i="2188"/>
  <c r="AR116" i="2188"/>
  <c r="AQ116" i="2188"/>
  <c r="AP116" i="2188"/>
  <c r="AO116" i="2188"/>
  <c r="AN116" i="2188"/>
  <c r="AM116" i="2188"/>
  <c r="AM127" i="2188" s="1"/>
  <c r="AL116" i="2188"/>
  <c r="AL127" i="2188" s="1"/>
  <c r="AK116" i="2188"/>
  <c r="AK127" i="2188" s="1"/>
  <c r="AJ116" i="2188"/>
  <c r="AJ127" i="2188" s="1"/>
  <c r="AI116" i="2188"/>
  <c r="AH116" i="2188"/>
  <c r="AH127" i="2188" s="1"/>
  <c r="AG116" i="2188"/>
  <c r="AF116" i="2188"/>
  <c r="AE116" i="2188"/>
  <c r="AD116" i="2188"/>
  <c r="AC116" i="2188"/>
  <c r="AB116" i="2188"/>
  <c r="AA116" i="2188"/>
  <c r="AA127" i="2188" s="1"/>
  <c r="Z116" i="2188"/>
  <c r="Z127" i="2188" s="1"/>
  <c r="Y116" i="2188"/>
  <c r="Y127" i="2188" s="1"/>
  <c r="C114" i="2188"/>
  <c r="AR113" i="2188"/>
  <c r="AQ113" i="2188"/>
  <c r="AP113" i="2188"/>
  <c r="AO113" i="2188"/>
  <c r="AN113" i="2188"/>
  <c r="AM113" i="2188"/>
  <c r="AL113" i="2188"/>
  <c r="AK113" i="2188"/>
  <c r="AJ113" i="2188"/>
  <c r="AI113" i="2188"/>
  <c r="AH113" i="2188"/>
  <c r="AG113" i="2188"/>
  <c r="AF113" i="2188"/>
  <c r="AE113" i="2188"/>
  <c r="AD113" i="2188"/>
  <c r="AC113" i="2188"/>
  <c r="AB113" i="2188"/>
  <c r="AA113" i="2188"/>
  <c r="Z113" i="2188"/>
  <c r="Y113" i="2188"/>
  <c r="X113" i="2188"/>
  <c r="W113" i="2188"/>
  <c r="V113" i="2188"/>
  <c r="U113" i="2188"/>
  <c r="T113" i="2188"/>
  <c r="S113" i="2188"/>
  <c r="R113" i="2188"/>
  <c r="Q113" i="2188"/>
  <c r="P113" i="2188"/>
  <c r="O113" i="2188"/>
  <c r="N113" i="2188"/>
  <c r="M113" i="2188"/>
  <c r="L113" i="2188"/>
  <c r="K113" i="2188"/>
  <c r="J113" i="2188"/>
  <c r="I113" i="2188"/>
  <c r="H113" i="2188"/>
  <c r="G113" i="2188"/>
  <c r="F113" i="2188"/>
  <c r="E113" i="2188"/>
  <c r="AR112" i="2188"/>
  <c r="AQ112" i="2188"/>
  <c r="AP112" i="2188"/>
  <c r="AO112" i="2188"/>
  <c r="AN112" i="2188"/>
  <c r="AM112" i="2188"/>
  <c r="AL112" i="2188"/>
  <c r="AK112" i="2188"/>
  <c r="AJ112" i="2188"/>
  <c r="AI112" i="2188"/>
  <c r="AH112" i="2188"/>
  <c r="AG112" i="2188"/>
  <c r="AF112" i="2188"/>
  <c r="AE112" i="2188"/>
  <c r="AD112" i="2188"/>
  <c r="AC112" i="2188"/>
  <c r="AB112" i="2188"/>
  <c r="AA112" i="2188"/>
  <c r="Z112" i="2188"/>
  <c r="Y112" i="2188"/>
  <c r="X112" i="2188"/>
  <c r="W112" i="2188"/>
  <c r="V112" i="2188"/>
  <c r="U112" i="2188"/>
  <c r="T112" i="2188"/>
  <c r="S112" i="2188"/>
  <c r="R112" i="2188"/>
  <c r="Q112" i="2188"/>
  <c r="P112" i="2188"/>
  <c r="O112" i="2188"/>
  <c r="N112" i="2188"/>
  <c r="M112" i="2188"/>
  <c r="L112" i="2188"/>
  <c r="K112" i="2188"/>
  <c r="J112" i="2188"/>
  <c r="I112" i="2188"/>
  <c r="H112" i="2188"/>
  <c r="G112" i="2188"/>
  <c r="F112" i="2188"/>
  <c r="E112" i="2188"/>
  <c r="C112" i="2188"/>
  <c r="C111" i="2188"/>
  <c r="AR104" i="2188"/>
  <c r="AQ104" i="2188"/>
  <c r="AP104" i="2188"/>
  <c r="AO104" i="2188"/>
  <c r="AN104" i="2188"/>
  <c r="AM104" i="2188"/>
  <c r="AL104" i="2188"/>
  <c r="AK104" i="2188"/>
  <c r="AJ104" i="2188"/>
  <c r="AI104" i="2188"/>
  <c r="AH104" i="2188"/>
  <c r="AG104" i="2188"/>
  <c r="AF104" i="2188"/>
  <c r="AE104" i="2188"/>
  <c r="AD104" i="2188"/>
  <c r="AC104" i="2188"/>
  <c r="AB104" i="2188"/>
  <c r="AA104" i="2188"/>
  <c r="Z104" i="2188"/>
  <c r="Y104" i="2188"/>
  <c r="X104" i="2188"/>
  <c r="X118" i="2188" s="1"/>
  <c r="W104" i="2188"/>
  <c r="W118" i="2188" s="1"/>
  <c r="V104" i="2188"/>
  <c r="V118" i="2188" s="1"/>
  <c r="U104" i="2188"/>
  <c r="U118" i="2188" s="1"/>
  <c r="T104" i="2188"/>
  <c r="S104" i="2188"/>
  <c r="R104" i="2188"/>
  <c r="Q104" i="2188"/>
  <c r="P104" i="2188"/>
  <c r="O104" i="2188"/>
  <c r="N104" i="2188"/>
  <c r="M104" i="2188"/>
  <c r="L104" i="2188"/>
  <c r="K104" i="2188"/>
  <c r="J104" i="2188"/>
  <c r="I104" i="2188"/>
  <c r="H104" i="2188"/>
  <c r="G104" i="2188"/>
  <c r="F104" i="2188"/>
  <c r="E104" i="2188"/>
  <c r="E101" i="2188"/>
  <c r="F101" i="2188" s="1"/>
  <c r="G101" i="2188" s="1"/>
  <c r="H101" i="2188" s="1"/>
  <c r="I101" i="2188" s="1"/>
  <c r="J101" i="2188" s="1"/>
  <c r="K101" i="2188" s="1"/>
  <c r="L101" i="2188" s="1"/>
  <c r="M101" i="2188" s="1"/>
  <c r="N101" i="2188" s="1"/>
  <c r="O101" i="2188" s="1"/>
  <c r="P101" i="2188" s="1"/>
  <c r="Q101" i="2188" s="1"/>
  <c r="R101" i="2188" s="1"/>
  <c r="S101" i="2188" s="1"/>
  <c r="T101" i="2188" s="1"/>
  <c r="U101" i="2188" s="1"/>
  <c r="V101" i="2188" s="1"/>
  <c r="W101" i="2188" s="1"/>
  <c r="X101" i="2188" s="1"/>
  <c r="Y101" i="2188" s="1"/>
  <c r="C87" i="2188"/>
  <c r="D70" i="2188"/>
  <c r="D69" i="2188"/>
  <c r="D68" i="2188"/>
  <c r="C66" i="2188"/>
  <c r="D65" i="2188"/>
  <c r="C64" i="2188"/>
  <c r="D63" i="2188"/>
  <c r="C62" i="2188"/>
  <c r="D61" i="2188"/>
  <c r="C59" i="2188"/>
  <c r="D55" i="2188"/>
  <c r="D54" i="2188"/>
  <c r="D53" i="2188"/>
  <c r="D52" i="2188"/>
  <c r="D50" i="2188"/>
  <c r="D49" i="2188"/>
  <c r="D47" i="2188"/>
  <c r="D46" i="2188"/>
  <c r="C43" i="2188"/>
  <c r="C41" i="2188"/>
  <c r="D37" i="2188"/>
  <c r="C36" i="2188"/>
  <c r="D35" i="2188"/>
  <c r="C34" i="2188"/>
  <c r="D30" i="2188"/>
  <c r="C21" i="2188"/>
  <c r="C20" i="2188"/>
  <c r="E17" i="2188"/>
  <c r="E16" i="2188"/>
  <c r="E13" i="2188"/>
  <c r="E12" i="2188"/>
  <c r="D8" i="2188"/>
  <c r="D7" i="2188"/>
  <c r="D5" i="2188"/>
  <c r="A1" i="2188"/>
  <c r="B171" i="2187"/>
  <c r="B170" i="2187"/>
  <c r="B169" i="2187"/>
  <c r="C165" i="2187"/>
  <c r="B165" i="2187"/>
  <c r="C164" i="2187"/>
  <c r="B164" i="2187"/>
  <c r="B163" i="2187"/>
  <c r="C147" i="2187"/>
  <c r="AR143" i="2187"/>
  <c r="AQ143" i="2187"/>
  <c r="AP143" i="2187"/>
  <c r="AO143" i="2187"/>
  <c r="AN143" i="2187"/>
  <c r="AM143" i="2187"/>
  <c r="AL143" i="2187"/>
  <c r="AK143" i="2187"/>
  <c r="AJ143" i="2187"/>
  <c r="AI143" i="2187"/>
  <c r="AH143" i="2187"/>
  <c r="AG143" i="2187"/>
  <c r="AF143" i="2187"/>
  <c r="AE143" i="2187"/>
  <c r="AD143" i="2187"/>
  <c r="AC143" i="2187"/>
  <c r="AB143" i="2187"/>
  <c r="AA143" i="2187"/>
  <c r="Z143" i="2187"/>
  <c r="Y143" i="2187"/>
  <c r="X143" i="2187"/>
  <c r="W143" i="2187"/>
  <c r="V143" i="2187"/>
  <c r="U143" i="2187"/>
  <c r="T143" i="2187"/>
  <c r="AR141" i="2187"/>
  <c r="AQ141" i="2187"/>
  <c r="AP141" i="2187"/>
  <c r="AO141" i="2187"/>
  <c r="AN141" i="2187"/>
  <c r="AM141" i="2187"/>
  <c r="AL141" i="2187"/>
  <c r="AK141" i="2187"/>
  <c r="AJ141" i="2187"/>
  <c r="AI141" i="2187"/>
  <c r="AH141" i="2187"/>
  <c r="AG141" i="2187"/>
  <c r="AF141" i="2187"/>
  <c r="AE141" i="2187"/>
  <c r="AD141" i="2187"/>
  <c r="AC141" i="2187"/>
  <c r="AB141" i="2187"/>
  <c r="AA141" i="2187"/>
  <c r="Z141" i="2187"/>
  <c r="Y141" i="2187"/>
  <c r="X141" i="2187"/>
  <c r="W141" i="2187"/>
  <c r="V141" i="2187"/>
  <c r="U141" i="2187"/>
  <c r="T141" i="2187"/>
  <c r="C141" i="2187"/>
  <c r="AR132" i="2187"/>
  <c r="AQ132" i="2187"/>
  <c r="AP132" i="2187"/>
  <c r="AO132" i="2187"/>
  <c r="AN132" i="2187"/>
  <c r="AM132" i="2187"/>
  <c r="AL132" i="2187"/>
  <c r="AK132" i="2187"/>
  <c r="AJ132" i="2187"/>
  <c r="AI132" i="2187"/>
  <c r="AH132" i="2187"/>
  <c r="AG132" i="2187"/>
  <c r="AF132" i="2187"/>
  <c r="AE132" i="2187"/>
  <c r="AD132" i="2187"/>
  <c r="AC132" i="2187"/>
  <c r="AB132" i="2187"/>
  <c r="AA132" i="2187"/>
  <c r="Z132" i="2187"/>
  <c r="Y132" i="2187"/>
  <c r="X132" i="2187"/>
  <c r="W132" i="2187"/>
  <c r="V132" i="2187"/>
  <c r="U132" i="2187"/>
  <c r="T132" i="2187"/>
  <c r="AR131" i="2187"/>
  <c r="AQ131" i="2187"/>
  <c r="AP131" i="2187"/>
  <c r="AO131" i="2187"/>
  <c r="AN131" i="2187"/>
  <c r="AM131" i="2187"/>
  <c r="AL131" i="2187"/>
  <c r="AK131" i="2187"/>
  <c r="AJ131" i="2187"/>
  <c r="AI131" i="2187"/>
  <c r="AH131" i="2187"/>
  <c r="AG131" i="2187"/>
  <c r="AF131" i="2187"/>
  <c r="AE131" i="2187"/>
  <c r="AE133" i="2187" s="1"/>
  <c r="AD131" i="2187"/>
  <c r="AC131" i="2187"/>
  <c r="AB131" i="2187"/>
  <c r="AB133" i="2187" s="1"/>
  <c r="AA131" i="2187"/>
  <c r="Z131" i="2187"/>
  <c r="Y131" i="2187"/>
  <c r="X131" i="2187"/>
  <c r="W131" i="2187"/>
  <c r="W133" i="2187" s="1"/>
  <c r="V131" i="2187"/>
  <c r="U131" i="2187"/>
  <c r="T131" i="2187"/>
  <c r="T133" i="2187" s="1"/>
  <c r="AR130" i="2187"/>
  <c r="AQ130" i="2187"/>
  <c r="AP130" i="2187"/>
  <c r="AO130" i="2187"/>
  <c r="AN130" i="2187"/>
  <c r="AM130" i="2187"/>
  <c r="AL130" i="2187"/>
  <c r="AK130" i="2187"/>
  <c r="AJ130" i="2187"/>
  <c r="AI130" i="2187"/>
  <c r="AH130" i="2187"/>
  <c r="AG130" i="2187"/>
  <c r="AF130" i="2187"/>
  <c r="AE130" i="2187"/>
  <c r="AD130" i="2187"/>
  <c r="AC130" i="2187"/>
  <c r="AB130" i="2187"/>
  <c r="AA130" i="2187"/>
  <c r="Z130" i="2187"/>
  <c r="Y130" i="2187"/>
  <c r="X130" i="2187"/>
  <c r="W130" i="2187"/>
  <c r="V130" i="2187"/>
  <c r="U130" i="2187"/>
  <c r="T130" i="2187"/>
  <c r="AR121" i="2187"/>
  <c r="AQ121" i="2187"/>
  <c r="AP121" i="2187"/>
  <c r="AO121" i="2187"/>
  <c r="AN121" i="2187"/>
  <c r="AM121" i="2187"/>
  <c r="AL121" i="2187"/>
  <c r="AK121" i="2187"/>
  <c r="AJ121" i="2187"/>
  <c r="AI121" i="2187"/>
  <c r="AH121" i="2187"/>
  <c r="AG121" i="2187"/>
  <c r="AF121" i="2187"/>
  <c r="AE121" i="2187"/>
  <c r="AD121" i="2187"/>
  <c r="AC121" i="2187"/>
  <c r="AB121" i="2187"/>
  <c r="AA121" i="2187"/>
  <c r="Z121" i="2187"/>
  <c r="Y121" i="2187"/>
  <c r="X121" i="2187"/>
  <c r="W121" i="2187"/>
  <c r="V121" i="2187"/>
  <c r="U121" i="2187"/>
  <c r="T121" i="2187"/>
  <c r="S121" i="2187"/>
  <c r="R121" i="2187"/>
  <c r="Q121" i="2187"/>
  <c r="P121" i="2187"/>
  <c r="O121" i="2187"/>
  <c r="N121" i="2187"/>
  <c r="M121" i="2187"/>
  <c r="L121" i="2187"/>
  <c r="K121" i="2187"/>
  <c r="J121" i="2187"/>
  <c r="I121" i="2187"/>
  <c r="H121" i="2187"/>
  <c r="G121" i="2187"/>
  <c r="F121" i="2187"/>
  <c r="E121" i="2187"/>
  <c r="C121" i="2187"/>
  <c r="AR120" i="2187"/>
  <c r="AQ120" i="2187"/>
  <c r="AP120" i="2187"/>
  <c r="AO120" i="2187"/>
  <c r="AN120" i="2187"/>
  <c r="AM120" i="2187"/>
  <c r="AL120" i="2187"/>
  <c r="AK120" i="2187"/>
  <c r="AJ120" i="2187"/>
  <c r="AI120" i="2187"/>
  <c r="AH120" i="2187"/>
  <c r="AG120" i="2187"/>
  <c r="AF120" i="2187"/>
  <c r="AE120" i="2187"/>
  <c r="AD120" i="2187"/>
  <c r="AC120" i="2187"/>
  <c r="AB120" i="2187"/>
  <c r="AA120" i="2187"/>
  <c r="Z120" i="2187"/>
  <c r="Y120" i="2187"/>
  <c r="X120" i="2187"/>
  <c r="W120" i="2187"/>
  <c r="V120" i="2187"/>
  <c r="U120" i="2187"/>
  <c r="T120" i="2187"/>
  <c r="S120" i="2187"/>
  <c r="R120" i="2187"/>
  <c r="Q120" i="2187"/>
  <c r="P120" i="2187"/>
  <c r="O120" i="2187"/>
  <c r="N120" i="2187"/>
  <c r="M120" i="2187"/>
  <c r="L120" i="2187"/>
  <c r="K120" i="2187"/>
  <c r="J120" i="2187"/>
  <c r="I120" i="2187"/>
  <c r="H120" i="2187"/>
  <c r="G120" i="2187"/>
  <c r="F120" i="2187"/>
  <c r="E120" i="2187"/>
  <c r="C120" i="2187"/>
  <c r="AR119" i="2187"/>
  <c r="AQ119" i="2187"/>
  <c r="AP119" i="2187"/>
  <c r="AO119" i="2187"/>
  <c r="AN119" i="2187"/>
  <c r="AM119" i="2187"/>
  <c r="AL119" i="2187"/>
  <c r="AK119" i="2187"/>
  <c r="AJ119" i="2187"/>
  <c r="AI119" i="2187"/>
  <c r="AH119" i="2187"/>
  <c r="AG119" i="2187"/>
  <c r="AF119" i="2187"/>
  <c r="AE119" i="2187"/>
  <c r="AD119" i="2187"/>
  <c r="AC119" i="2187"/>
  <c r="AB119" i="2187"/>
  <c r="AA119" i="2187"/>
  <c r="Z119" i="2187"/>
  <c r="Y119" i="2187"/>
  <c r="X119" i="2187"/>
  <c r="W119" i="2187"/>
  <c r="V119" i="2187"/>
  <c r="U119" i="2187"/>
  <c r="T119" i="2187"/>
  <c r="S119" i="2187"/>
  <c r="R119" i="2187"/>
  <c r="Q119" i="2187"/>
  <c r="P119" i="2187"/>
  <c r="O119" i="2187"/>
  <c r="N119" i="2187"/>
  <c r="M119" i="2187"/>
  <c r="L119" i="2187"/>
  <c r="K119" i="2187"/>
  <c r="J119" i="2187"/>
  <c r="I119" i="2187"/>
  <c r="H119" i="2187"/>
  <c r="G119" i="2187"/>
  <c r="F119" i="2187"/>
  <c r="E119" i="2187"/>
  <c r="AR118" i="2187"/>
  <c r="AQ118" i="2187"/>
  <c r="AP118" i="2187"/>
  <c r="AO118" i="2187"/>
  <c r="AN118" i="2187"/>
  <c r="AM118" i="2187"/>
  <c r="AL118" i="2187"/>
  <c r="AK118" i="2187"/>
  <c r="AJ118" i="2187"/>
  <c r="AI118" i="2187"/>
  <c r="AH118" i="2187"/>
  <c r="AG118" i="2187"/>
  <c r="AF118" i="2187"/>
  <c r="AE118" i="2187"/>
  <c r="AD118" i="2187"/>
  <c r="AC118" i="2187"/>
  <c r="AB118" i="2187"/>
  <c r="AA118" i="2187"/>
  <c r="Z118" i="2187"/>
  <c r="Y118" i="2187"/>
  <c r="S118" i="2187"/>
  <c r="R118" i="2187"/>
  <c r="Q118" i="2187"/>
  <c r="P118" i="2187"/>
  <c r="O118" i="2187"/>
  <c r="N118" i="2187"/>
  <c r="M118" i="2187"/>
  <c r="L118" i="2187"/>
  <c r="K118" i="2187"/>
  <c r="J118" i="2187"/>
  <c r="I118" i="2187"/>
  <c r="H118" i="2187"/>
  <c r="G118" i="2187"/>
  <c r="F118" i="2187"/>
  <c r="E118" i="2187"/>
  <c r="AR117" i="2187"/>
  <c r="AQ117" i="2187"/>
  <c r="AP117" i="2187"/>
  <c r="AO117" i="2187"/>
  <c r="AN117" i="2187"/>
  <c r="AM117" i="2187"/>
  <c r="AL117" i="2187"/>
  <c r="AK117" i="2187"/>
  <c r="AJ117" i="2187"/>
  <c r="AI117" i="2187"/>
  <c r="AH117" i="2187"/>
  <c r="AG117" i="2187"/>
  <c r="AF117" i="2187"/>
  <c r="AE117" i="2187"/>
  <c r="AD117" i="2187"/>
  <c r="AC117" i="2187"/>
  <c r="AB117" i="2187"/>
  <c r="AA117" i="2187"/>
  <c r="Z117" i="2187"/>
  <c r="Y117" i="2187"/>
  <c r="X117" i="2187"/>
  <c r="W117" i="2187"/>
  <c r="V117" i="2187"/>
  <c r="U117" i="2187"/>
  <c r="T117" i="2187"/>
  <c r="S117" i="2187"/>
  <c r="R117" i="2187"/>
  <c r="Q117" i="2187"/>
  <c r="P117" i="2187"/>
  <c r="O117" i="2187"/>
  <c r="N117" i="2187"/>
  <c r="M117" i="2187"/>
  <c r="L117" i="2187"/>
  <c r="K117" i="2187"/>
  <c r="J117" i="2187"/>
  <c r="I117" i="2187"/>
  <c r="H117" i="2187"/>
  <c r="G117" i="2187"/>
  <c r="F117" i="2187"/>
  <c r="E117" i="2187"/>
  <c r="AR116" i="2187"/>
  <c r="AQ116" i="2187"/>
  <c r="AP116" i="2187"/>
  <c r="AO116" i="2187"/>
  <c r="AN116" i="2187"/>
  <c r="AN127" i="2187" s="1"/>
  <c r="AM116" i="2187"/>
  <c r="AL116" i="2187"/>
  <c r="AL127" i="2187" s="1"/>
  <c r="AK116" i="2187"/>
  <c r="AJ116" i="2187"/>
  <c r="AI116" i="2187"/>
  <c r="AH116" i="2187"/>
  <c r="AH127" i="2187" s="1"/>
  <c r="AG116" i="2187"/>
  <c r="AF116" i="2187"/>
  <c r="AF127" i="2187" s="1"/>
  <c r="AE116" i="2187"/>
  <c r="AD116" i="2187"/>
  <c r="AC116" i="2187"/>
  <c r="AB116" i="2187"/>
  <c r="AB127" i="2187" s="1"/>
  <c r="AA116" i="2187"/>
  <c r="Z116" i="2187"/>
  <c r="Z127" i="2187" s="1"/>
  <c r="Y116" i="2187"/>
  <c r="C114" i="2187"/>
  <c r="AR113" i="2187"/>
  <c r="AQ113" i="2187"/>
  <c r="AP113" i="2187"/>
  <c r="AO113" i="2187"/>
  <c r="AN113" i="2187"/>
  <c r="AM113" i="2187"/>
  <c r="AL113" i="2187"/>
  <c r="AK113" i="2187"/>
  <c r="AJ113" i="2187"/>
  <c r="AI113" i="2187"/>
  <c r="AH113" i="2187"/>
  <c r="AG113" i="2187"/>
  <c r="AF113" i="2187"/>
  <c r="AE113" i="2187"/>
  <c r="AD113" i="2187"/>
  <c r="AC113" i="2187"/>
  <c r="AB113" i="2187"/>
  <c r="AA113" i="2187"/>
  <c r="Z113" i="2187"/>
  <c r="Y113" i="2187"/>
  <c r="X113" i="2187"/>
  <c r="W113" i="2187"/>
  <c r="V113" i="2187"/>
  <c r="U113" i="2187"/>
  <c r="T113" i="2187"/>
  <c r="S113" i="2187"/>
  <c r="R113" i="2187"/>
  <c r="Q113" i="2187"/>
  <c r="P113" i="2187"/>
  <c r="O113" i="2187"/>
  <c r="N113" i="2187"/>
  <c r="M113" i="2187"/>
  <c r="L113" i="2187"/>
  <c r="K113" i="2187"/>
  <c r="J113" i="2187"/>
  <c r="I113" i="2187"/>
  <c r="H113" i="2187"/>
  <c r="G113" i="2187"/>
  <c r="F113" i="2187"/>
  <c r="E113" i="2187"/>
  <c r="AR112" i="2187"/>
  <c r="AQ112" i="2187"/>
  <c r="AP112" i="2187"/>
  <c r="AO112" i="2187"/>
  <c r="AN112" i="2187"/>
  <c r="AM112" i="2187"/>
  <c r="AL112" i="2187"/>
  <c r="AK112" i="2187"/>
  <c r="AJ112" i="2187"/>
  <c r="AI112" i="2187"/>
  <c r="AH112" i="2187"/>
  <c r="AG112" i="2187"/>
  <c r="AF112" i="2187"/>
  <c r="AE112" i="2187"/>
  <c r="AD112" i="2187"/>
  <c r="AC112" i="2187"/>
  <c r="AB112" i="2187"/>
  <c r="AA112" i="2187"/>
  <c r="Z112" i="2187"/>
  <c r="Y112" i="2187"/>
  <c r="X112" i="2187"/>
  <c r="W112" i="2187"/>
  <c r="V112" i="2187"/>
  <c r="U112" i="2187"/>
  <c r="T112" i="2187"/>
  <c r="S112" i="2187"/>
  <c r="R112" i="2187"/>
  <c r="Q112" i="2187"/>
  <c r="P112" i="2187"/>
  <c r="O112" i="2187"/>
  <c r="N112" i="2187"/>
  <c r="M112" i="2187"/>
  <c r="L112" i="2187"/>
  <c r="K112" i="2187"/>
  <c r="J112" i="2187"/>
  <c r="I112" i="2187"/>
  <c r="H112" i="2187"/>
  <c r="G112" i="2187"/>
  <c r="F112" i="2187"/>
  <c r="E112" i="2187"/>
  <c r="C112" i="2187"/>
  <c r="C111" i="2187"/>
  <c r="AR104" i="2187"/>
  <c r="AQ104" i="2187"/>
  <c r="AP104" i="2187"/>
  <c r="AO104" i="2187"/>
  <c r="AN104" i="2187"/>
  <c r="AM104" i="2187"/>
  <c r="AL104" i="2187"/>
  <c r="AK104" i="2187"/>
  <c r="AJ104" i="2187"/>
  <c r="AI104" i="2187"/>
  <c r="AH104" i="2187"/>
  <c r="AG104" i="2187"/>
  <c r="AF104" i="2187"/>
  <c r="AE104" i="2187"/>
  <c r="AD104" i="2187"/>
  <c r="AC104" i="2187"/>
  <c r="AB104" i="2187"/>
  <c r="AA104" i="2187"/>
  <c r="Z104" i="2187"/>
  <c r="Y104" i="2187"/>
  <c r="X104" i="2187"/>
  <c r="X118" i="2187" s="1"/>
  <c r="W104" i="2187"/>
  <c r="W118" i="2187" s="1"/>
  <c r="V104" i="2187"/>
  <c r="U104" i="2187"/>
  <c r="T104" i="2187"/>
  <c r="T118" i="2187" s="1"/>
  <c r="S104" i="2187"/>
  <c r="R104" i="2187"/>
  <c r="Q104" i="2187"/>
  <c r="P104" i="2187"/>
  <c r="O104" i="2187"/>
  <c r="N104" i="2187"/>
  <c r="M104" i="2187"/>
  <c r="L104" i="2187"/>
  <c r="K104" i="2187"/>
  <c r="J104" i="2187"/>
  <c r="I104" i="2187"/>
  <c r="H104" i="2187"/>
  <c r="G104" i="2187"/>
  <c r="F104" i="2187"/>
  <c r="E104" i="2187"/>
  <c r="F101" i="2187"/>
  <c r="G101" i="2187" s="1"/>
  <c r="H101" i="2187" s="1"/>
  <c r="I101" i="2187" s="1"/>
  <c r="J101" i="2187" s="1"/>
  <c r="K101" i="2187" s="1"/>
  <c r="L101" i="2187" s="1"/>
  <c r="M101" i="2187" s="1"/>
  <c r="N101" i="2187" s="1"/>
  <c r="O101" i="2187" s="1"/>
  <c r="P101" i="2187" s="1"/>
  <c r="Q101" i="2187" s="1"/>
  <c r="R101" i="2187" s="1"/>
  <c r="S101" i="2187" s="1"/>
  <c r="T101" i="2187" s="1"/>
  <c r="U101" i="2187" s="1"/>
  <c r="V101" i="2187" s="1"/>
  <c r="W101" i="2187" s="1"/>
  <c r="X101" i="2187" s="1"/>
  <c r="Y101" i="2187" s="1"/>
  <c r="E101" i="2187"/>
  <c r="C87" i="2187"/>
  <c r="D70" i="2187"/>
  <c r="D69" i="2187"/>
  <c r="D68" i="2187"/>
  <c r="D65" i="2187"/>
  <c r="D63" i="2187"/>
  <c r="D61" i="2187"/>
  <c r="D55" i="2187"/>
  <c r="D54" i="2187"/>
  <c r="D53" i="2187"/>
  <c r="D52" i="2187"/>
  <c r="D50" i="2187"/>
  <c r="D49" i="2187"/>
  <c r="D47" i="2187"/>
  <c r="D46" i="2187"/>
  <c r="D37" i="2187"/>
  <c r="D35" i="2187"/>
  <c r="D30" i="2187"/>
  <c r="E17" i="2187"/>
  <c r="E16" i="2187"/>
  <c r="E13" i="2187"/>
  <c r="E12" i="2187"/>
  <c r="D8" i="2187"/>
  <c r="D7" i="2187"/>
  <c r="D5" i="2187"/>
  <c r="A1" i="2187"/>
  <c r="B23" i="6"/>
  <c r="B171" i="2186"/>
  <c r="B170" i="2186"/>
  <c r="B169" i="2186"/>
  <c r="C165" i="2186"/>
  <c r="B165" i="2186"/>
  <c r="C164" i="2186"/>
  <c r="B164" i="2186"/>
  <c r="B163" i="2186"/>
  <c r="C147" i="2186"/>
  <c r="AR143" i="2186"/>
  <c r="AQ143" i="2186"/>
  <c r="AP143" i="2186"/>
  <c r="AO143" i="2186"/>
  <c r="AN143" i="2186"/>
  <c r="AM143" i="2186"/>
  <c r="AL143" i="2186"/>
  <c r="AK143" i="2186"/>
  <c r="AJ143" i="2186"/>
  <c r="AI143" i="2186"/>
  <c r="AH143" i="2186"/>
  <c r="AG143" i="2186"/>
  <c r="AF143" i="2186"/>
  <c r="AE143" i="2186"/>
  <c r="AD143" i="2186"/>
  <c r="AC143" i="2186"/>
  <c r="AB143" i="2186"/>
  <c r="AA143" i="2186"/>
  <c r="Z143" i="2186"/>
  <c r="Y143" i="2186"/>
  <c r="X143" i="2186"/>
  <c r="W143" i="2186"/>
  <c r="V143" i="2186"/>
  <c r="U143" i="2186"/>
  <c r="T143" i="2186"/>
  <c r="AR141" i="2186"/>
  <c r="AQ141" i="2186"/>
  <c r="AP141" i="2186"/>
  <c r="AO141" i="2186"/>
  <c r="AN141" i="2186"/>
  <c r="AM141" i="2186"/>
  <c r="AL141" i="2186"/>
  <c r="AK141" i="2186"/>
  <c r="AJ141" i="2186"/>
  <c r="AI141" i="2186"/>
  <c r="AH141" i="2186"/>
  <c r="AG141" i="2186"/>
  <c r="AF141" i="2186"/>
  <c r="AE141" i="2186"/>
  <c r="AD141" i="2186"/>
  <c r="AC141" i="2186"/>
  <c r="AB141" i="2186"/>
  <c r="AA141" i="2186"/>
  <c r="Z141" i="2186"/>
  <c r="Y141" i="2186"/>
  <c r="X141" i="2186"/>
  <c r="W141" i="2186"/>
  <c r="V141" i="2186"/>
  <c r="U141" i="2186"/>
  <c r="T141" i="2186"/>
  <c r="C141" i="2186"/>
  <c r="AR132" i="2186"/>
  <c r="AQ132" i="2186"/>
  <c r="AP132" i="2186"/>
  <c r="AO132" i="2186"/>
  <c r="AN132" i="2186"/>
  <c r="AM132" i="2186"/>
  <c r="AL132" i="2186"/>
  <c r="AK132" i="2186"/>
  <c r="AJ132" i="2186"/>
  <c r="AI132" i="2186"/>
  <c r="AH132" i="2186"/>
  <c r="AG132" i="2186"/>
  <c r="AF132" i="2186"/>
  <c r="AE132" i="2186"/>
  <c r="AD132" i="2186"/>
  <c r="AC132" i="2186"/>
  <c r="AB132" i="2186"/>
  <c r="AA132" i="2186"/>
  <c r="Z132" i="2186"/>
  <c r="Y132" i="2186"/>
  <c r="X132" i="2186"/>
  <c r="W132" i="2186"/>
  <c r="V132" i="2186"/>
  <c r="U132" i="2186"/>
  <c r="T132" i="2186"/>
  <c r="AR131" i="2186"/>
  <c r="AR133" i="2186" s="1"/>
  <c r="AQ131" i="2186"/>
  <c r="AQ133" i="2186" s="1"/>
  <c r="AP131" i="2186"/>
  <c r="AO131" i="2186"/>
  <c r="AO133" i="2186" s="1"/>
  <c r="AN131" i="2186"/>
  <c r="AN133" i="2186" s="1"/>
  <c r="AM131" i="2186"/>
  <c r="AM133" i="2186" s="1"/>
  <c r="AL131" i="2186"/>
  <c r="AL133" i="2186" s="1"/>
  <c r="AK131" i="2186"/>
  <c r="AK133" i="2186" s="1"/>
  <c r="AJ131" i="2186"/>
  <c r="AJ133" i="2186" s="1"/>
  <c r="AI131" i="2186"/>
  <c r="AI133" i="2186" s="1"/>
  <c r="AH131" i="2186"/>
  <c r="AH133" i="2186" s="1"/>
  <c r="AG131" i="2186"/>
  <c r="AG133" i="2186" s="1"/>
  <c r="AF131" i="2186"/>
  <c r="AF133" i="2186" s="1"/>
  <c r="AE131" i="2186"/>
  <c r="AE133" i="2186" s="1"/>
  <c r="AD131" i="2186"/>
  <c r="AD133" i="2186" s="1"/>
  <c r="AC131" i="2186"/>
  <c r="AC133" i="2186" s="1"/>
  <c r="AB131" i="2186"/>
  <c r="AB133" i="2186" s="1"/>
  <c r="AA131" i="2186"/>
  <c r="AA133" i="2186" s="1"/>
  <c r="Z131" i="2186"/>
  <c r="Y131" i="2186"/>
  <c r="Y133" i="2186" s="1"/>
  <c r="X131" i="2186"/>
  <c r="X133" i="2186" s="1"/>
  <c r="W131" i="2186"/>
  <c r="W133" i="2186" s="1"/>
  <c r="V131" i="2186"/>
  <c r="V133" i="2186" s="1"/>
  <c r="U131" i="2186"/>
  <c r="U133" i="2186" s="1"/>
  <c r="T131" i="2186"/>
  <c r="T133" i="2186" s="1"/>
  <c r="AR130" i="2186"/>
  <c r="AQ130" i="2186"/>
  <c r="AP130" i="2186"/>
  <c r="AO130" i="2186"/>
  <c r="AN130" i="2186"/>
  <c r="AM130" i="2186"/>
  <c r="AL130" i="2186"/>
  <c r="AK130" i="2186"/>
  <c r="AJ130" i="2186"/>
  <c r="AI130" i="2186"/>
  <c r="AH130" i="2186"/>
  <c r="AG130" i="2186"/>
  <c r="AF130" i="2186"/>
  <c r="AE130" i="2186"/>
  <c r="AD130" i="2186"/>
  <c r="AC130" i="2186"/>
  <c r="AB130" i="2186"/>
  <c r="AA130" i="2186"/>
  <c r="Z130" i="2186"/>
  <c r="Y130" i="2186"/>
  <c r="X130" i="2186"/>
  <c r="W130" i="2186"/>
  <c r="V130" i="2186"/>
  <c r="U130" i="2186"/>
  <c r="T130" i="2186"/>
  <c r="AR121" i="2186"/>
  <c r="AQ121" i="2186"/>
  <c r="AP121" i="2186"/>
  <c r="AO121" i="2186"/>
  <c r="AN121" i="2186"/>
  <c r="AM121" i="2186"/>
  <c r="AL121" i="2186"/>
  <c r="AK121" i="2186"/>
  <c r="AJ121" i="2186"/>
  <c r="AI121" i="2186"/>
  <c r="AH121" i="2186"/>
  <c r="AG121" i="2186"/>
  <c r="AF121" i="2186"/>
  <c r="AE121" i="2186"/>
  <c r="AD121" i="2186"/>
  <c r="AC121" i="2186"/>
  <c r="AB121" i="2186"/>
  <c r="AA121" i="2186"/>
  <c r="Z121" i="2186"/>
  <c r="Y121" i="2186"/>
  <c r="X121" i="2186"/>
  <c r="W121" i="2186"/>
  <c r="V121" i="2186"/>
  <c r="U121" i="2186"/>
  <c r="T121" i="2186"/>
  <c r="S121" i="2186"/>
  <c r="R121" i="2186"/>
  <c r="Q121" i="2186"/>
  <c r="P121" i="2186"/>
  <c r="O121" i="2186"/>
  <c r="N121" i="2186"/>
  <c r="M121" i="2186"/>
  <c r="L121" i="2186"/>
  <c r="K121" i="2186"/>
  <c r="J121" i="2186"/>
  <c r="I121" i="2186"/>
  <c r="H121" i="2186"/>
  <c r="G121" i="2186"/>
  <c r="F121" i="2186"/>
  <c r="E121" i="2186"/>
  <c r="C121" i="2186"/>
  <c r="AR120" i="2186"/>
  <c r="AQ120" i="2186"/>
  <c r="AP120" i="2186"/>
  <c r="AO120" i="2186"/>
  <c r="AN120" i="2186"/>
  <c r="AM120" i="2186"/>
  <c r="AL120" i="2186"/>
  <c r="AK120" i="2186"/>
  <c r="AJ120" i="2186"/>
  <c r="AI120" i="2186"/>
  <c r="AH120" i="2186"/>
  <c r="AG120" i="2186"/>
  <c r="AF120" i="2186"/>
  <c r="AE120" i="2186"/>
  <c r="AD120" i="2186"/>
  <c r="AC120" i="2186"/>
  <c r="AB120" i="2186"/>
  <c r="AA120" i="2186"/>
  <c r="Z120" i="2186"/>
  <c r="Y120" i="2186"/>
  <c r="X120" i="2186"/>
  <c r="W120" i="2186"/>
  <c r="V120" i="2186"/>
  <c r="U120" i="2186"/>
  <c r="T120" i="2186"/>
  <c r="S120" i="2186"/>
  <c r="R120" i="2186"/>
  <c r="Q120" i="2186"/>
  <c r="P120" i="2186"/>
  <c r="O120" i="2186"/>
  <c r="N120" i="2186"/>
  <c r="M120" i="2186"/>
  <c r="L120" i="2186"/>
  <c r="K120" i="2186"/>
  <c r="J120" i="2186"/>
  <c r="I120" i="2186"/>
  <c r="H120" i="2186"/>
  <c r="G120" i="2186"/>
  <c r="F120" i="2186"/>
  <c r="E120" i="2186"/>
  <c r="C120" i="2186"/>
  <c r="AR119" i="2186"/>
  <c r="AQ119" i="2186"/>
  <c r="AP119" i="2186"/>
  <c r="AO119" i="2186"/>
  <c r="AN119" i="2186"/>
  <c r="AM119" i="2186"/>
  <c r="AL119" i="2186"/>
  <c r="AK119" i="2186"/>
  <c r="AJ119" i="2186"/>
  <c r="AI119" i="2186"/>
  <c r="AH119" i="2186"/>
  <c r="AG119" i="2186"/>
  <c r="AF119" i="2186"/>
  <c r="AE119" i="2186"/>
  <c r="AD119" i="2186"/>
  <c r="AC119" i="2186"/>
  <c r="AB119" i="2186"/>
  <c r="AA119" i="2186"/>
  <c r="Z119" i="2186"/>
  <c r="Y119" i="2186"/>
  <c r="X119" i="2186"/>
  <c r="W119" i="2186"/>
  <c r="V119" i="2186"/>
  <c r="U119" i="2186"/>
  <c r="T119" i="2186"/>
  <c r="S119" i="2186"/>
  <c r="R119" i="2186"/>
  <c r="Q119" i="2186"/>
  <c r="P119" i="2186"/>
  <c r="O119" i="2186"/>
  <c r="N119" i="2186"/>
  <c r="M119" i="2186"/>
  <c r="L119" i="2186"/>
  <c r="K119" i="2186"/>
  <c r="J119" i="2186"/>
  <c r="I119" i="2186"/>
  <c r="H119" i="2186"/>
  <c r="G119" i="2186"/>
  <c r="F119" i="2186"/>
  <c r="E119" i="2186"/>
  <c r="AR118" i="2186"/>
  <c r="AQ118" i="2186"/>
  <c r="AP118" i="2186"/>
  <c r="AO118" i="2186"/>
  <c r="AN118" i="2186"/>
  <c r="AM118" i="2186"/>
  <c r="AL118" i="2186"/>
  <c r="AK118" i="2186"/>
  <c r="AJ118" i="2186"/>
  <c r="AI118" i="2186"/>
  <c r="AH118" i="2186"/>
  <c r="AG118" i="2186"/>
  <c r="AF118" i="2186"/>
  <c r="AE118" i="2186"/>
  <c r="AD118" i="2186"/>
  <c r="AC118" i="2186"/>
  <c r="AB118" i="2186"/>
  <c r="AA118" i="2186"/>
  <c r="Z118" i="2186"/>
  <c r="Y118" i="2186"/>
  <c r="X118" i="2186"/>
  <c r="W118" i="2186"/>
  <c r="V118" i="2186"/>
  <c r="U118" i="2186"/>
  <c r="T118" i="2186"/>
  <c r="S118" i="2186"/>
  <c r="R118" i="2186"/>
  <c r="Q118" i="2186"/>
  <c r="P118" i="2186"/>
  <c r="O118" i="2186"/>
  <c r="N118" i="2186"/>
  <c r="M118" i="2186"/>
  <c r="L118" i="2186"/>
  <c r="K118" i="2186"/>
  <c r="J118" i="2186"/>
  <c r="I118" i="2186"/>
  <c r="H118" i="2186"/>
  <c r="G118" i="2186"/>
  <c r="F118" i="2186"/>
  <c r="E118" i="2186"/>
  <c r="AR117" i="2186"/>
  <c r="AQ117" i="2186"/>
  <c r="AP117" i="2186"/>
  <c r="AO117" i="2186"/>
  <c r="AN117" i="2186"/>
  <c r="AM117" i="2186"/>
  <c r="AL117" i="2186"/>
  <c r="AK117" i="2186"/>
  <c r="AJ117" i="2186"/>
  <c r="AI117" i="2186"/>
  <c r="AH117" i="2186"/>
  <c r="AG117" i="2186"/>
  <c r="AF117" i="2186"/>
  <c r="AE117" i="2186"/>
  <c r="AD117" i="2186"/>
  <c r="AC117" i="2186"/>
  <c r="AB117" i="2186"/>
  <c r="AA117" i="2186"/>
  <c r="Z117" i="2186"/>
  <c r="Y117" i="2186"/>
  <c r="X117" i="2186"/>
  <c r="W117" i="2186"/>
  <c r="V117" i="2186"/>
  <c r="U117" i="2186"/>
  <c r="T117" i="2186"/>
  <c r="S117" i="2186"/>
  <c r="R117" i="2186"/>
  <c r="Q117" i="2186"/>
  <c r="P117" i="2186"/>
  <c r="O117" i="2186"/>
  <c r="N117" i="2186"/>
  <c r="M117" i="2186"/>
  <c r="L117" i="2186"/>
  <c r="K117" i="2186"/>
  <c r="J117" i="2186"/>
  <c r="I117" i="2186"/>
  <c r="H117" i="2186"/>
  <c r="G117" i="2186"/>
  <c r="F117" i="2186"/>
  <c r="E117" i="2186"/>
  <c r="AR116" i="2186"/>
  <c r="AR127" i="2186" s="1"/>
  <c r="AQ116" i="2186"/>
  <c r="AQ127" i="2186" s="1"/>
  <c r="AP116" i="2186"/>
  <c r="AP127" i="2186" s="1"/>
  <c r="AO116" i="2186"/>
  <c r="AO127" i="2186" s="1"/>
  <c r="AN116" i="2186"/>
  <c r="AN127" i="2186" s="1"/>
  <c r="AM116" i="2186"/>
  <c r="AM127" i="2186" s="1"/>
  <c r="AL116" i="2186"/>
  <c r="AL127" i="2186" s="1"/>
  <c r="AK116" i="2186"/>
  <c r="AK127" i="2186" s="1"/>
  <c r="AJ116" i="2186"/>
  <c r="AJ127" i="2186" s="1"/>
  <c r="AI116" i="2186"/>
  <c r="AI127" i="2186" s="1"/>
  <c r="AH116" i="2186"/>
  <c r="AH127" i="2186" s="1"/>
  <c r="AG116" i="2186"/>
  <c r="AG127" i="2186" s="1"/>
  <c r="AF116" i="2186"/>
  <c r="AF127" i="2186" s="1"/>
  <c r="AE116" i="2186"/>
  <c r="AE127" i="2186" s="1"/>
  <c r="AD116" i="2186"/>
  <c r="AD127" i="2186" s="1"/>
  <c r="AC116" i="2186"/>
  <c r="AC127" i="2186" s="1"/>
  <c r="AB116" i="2186"/>
  <c r="AB127" i="2186" s="1"/>
  <c r="AA116" i="2186"/>
  <c r="AA127" i="2186" s="1"/>
  <c r="Z116" i="2186"/>
  <c r="Z127" i="2186" s="1"/>
  <c r="Y116" i="2186"/>
  <c r="Y127" i="2186" s="1"/>
  <c r="X116" i="2186"/>
  <c r="X127" i="2186" s="1"/>
  <c r="W116" i="2186"/>
  <c r="W127" i="2186" s="1"/>
  <c r="V116" i="2186"/>
  <c r="V127" i="2186" s="1"/>
  <c r="U116" i="2186"/>
  <c r="U127" i="2186" s="1"/>
  <c r="T116" i="2186"/>
  <c r="T127" i="2186" s="1"/>
  <c r="C114" i="2186"/>
  <c r="AR113" i="2186"/>
  <c r="AQ113" i="2186"/>
  <c r="AP113" i="2186"/>
  <c r="AO113" i="2186"/>
  <c r="AN113" i="2186"/>
  <c r="AM113" i="2186"/>
  <c r="AL113" i="2186"/>
  <c r="AK113" i="2186"/>
  <c r="AJ113" i="2186"/>
  <c r="AI113" i="2186"/>
  <c r="AH113" i="2186"/>
  <c r="AG113" i="2186"/>
  <c r="AF113" i="2186"/>
  <c r="AE113" i="2186"/>
  <c r="AD113" i="2186"/>
  <c r="AC113" i="2186"/>
  <c r="AB113" i="2186"/>
  <c r="AA113" i="2186"/>
  <c r="Z113" i="2186"/>
  <c r="Y113" i="2186"/>
  <c r="X113" i="2186"/>
  <c r="W113" i="2186"/>
  <c r="V113" i="2186"/>
  <c r="U113" i="2186"/>
  <c r="T113" i="2186"/>
  <c r="S113" i="2186"/>
  <c r="R113" i="2186"/>
  <c r="Q113" i="2186"/>
  <c r="P113" i="2186"/>
  <c r="O113" i="2186"/>
  <c r="N113" i="2186"/>
  <c r="M113" i="2186"/>
  <c r="L113" i="2186"/>
  <c r="K113" i="2186"/>
  <c r="J113" i="2186"/>
  <c r="I113" i="2186"/>
  <c r="H113" i="2186"/>
  <c r="G113" i="2186"/>
  <c r="F113" i="2186"/>
  <c r="E113" i="2186"/>
  <c r="AR112" i="2186"/>
  <c r="AQ112" i="2186"/>
  <c r="AP112" i="2186"/>
  <c r="AO112" i="2186"/>
  <c r="AN112" i="2186"/>
  <c r="AM112" i="2186"/>
  <c r="AL112" i="2186"/>
  <c r="AK112" i="2186"/>
  <c r="AJ112" i="2186"/>
  <c r="AI112" i="2186"/>
  <c r="AH112" i="2186"/>
  <c r="AG112" i="2186"/>
  <c r="AF112" i="2186"/>
  <c r="AE112" i="2186"/>
  <c r="AD112" i="2186"/>
  <c r="AC112" i="2186"/>
  <c r="AB112" i="2186"/>
  <c r="AA112" i="2186"/>
  <c r="Z112" i="2186"/>
  <c r="Y112" i="2186"/>
  <c r="X112" i="2186"/>
  <c r="W112" i="2186"/>
  <c r="V112" i="2186"/>
  <c r="U112" i="2186"/>
  <c r="T112" i="2186"/>
  <c r="S112" i="2186"/>
  <c r="R112" i="2186"/>
  <c r="Q112" i="2186"/>
  <c r="P112" i="2186"/>
  <c r="O112" i="2186"/>
  <c r="N112" i="2186"/>
  <c r="M112" i="2186"/>
  <c r="L112" i="2186"/>
  <c r="K112" i="2186"/>
  <c r="J112" i="2186"/>
  <c r="I112" i="2186"/>
  <c r="H112" i="2186"/>
  <c r="G112" i="2186"/>
  <c r="F112" i="2186"/>
  <c r="E112" i="2186"/>
  <c r="C112" i="2186"/>
  <c r="C111" i="2186"/>
  <c r="AR104" i="2186"/>
  <c r="AQ104" i="2186"/>
  <c r="AP104" i="2186"/>
  <c r="AO104" i="2186"/>
  <c r="AN104" i="2186"/>
  <c r="AM104" i="2186"/>
  <c r="AL104" i="2186"/>
  <c r="AK104" i="2186"/>
  <c r="AJ104" i="2186"/>
  <c r="AI104" i="2186"/>
  <c r="AH104" i="2186"/>
  <c r="AG104" i="2186"/>
  <c r="AF104" i="2186"/>
  <c r="AE104" i="2186"/>
  <c r="AD104" i="2186"/>
  <c r="AC104" i="2186"/>
  <c r="AB104" i="2186"/>
  <c r="AA104" i="2186"/>
  <c r="Z104" i="2186"/>
  <c r="Y104" i="2186"/>
  <c r="X104" i="2186"/>
  <c r="W104" i="2186"/>
  <c r="V104" i="2186"/>
  <c r="U104" i="2186"/>
  <c r="T104" i="2186"/>
  <c r="S104" i="2186"/>
  <c r="R104" i="2186"/>
  <c r="Q104" i="2186"/>
  <c r="P104" i="2186"/>
  <c r="O104" i="2186"/>
  <c r="N104" i="2186"/>
  <c r="M104" i="2186"/>
  <c r="L104" i="2186"/>
  <c r="K104" i="2186"/>
  <c r="J104" i="2186"/>
  <c r="I104" i="2186"/>
  <c r="H104" i="2186"/>
  <c r="G104" i="2186"/>
  <c r="F104" i="2186"/>
  <c r="E104" i="2186"/>
  <c r="E101" i="2186"/>
  <c r="F101" i="2186" s="1"/>
  <c r="G101" i="2186" s="1"/>
  <c r="H101" i="2186" s="1"/>
  <c r="I101" i="2186" s="1"/>
  <c r="J101" i="2186" s="1"/>
  <c r="K101" i="2186" s="1"/>
  <c r="L101" i="2186" s="1"/>
  <c r="M101" i="2186" s="1"/>
  <c r="N101" i="2186" s="1"/>
  <c r="O101" i="2186" s="1"/>
  <c r="P101" i="2186" s="1"/>
  <c r="Q101" i="2186" s="1"/>
  <c r="R101" i="2186" s="1"/>
  <c r="S101" i="2186" s="1"/>
  <c r="T101" i="2186" s="1"/>
  <c r="U101" i="2186" s="1"/>
  <c r="V101" i="2186" s="1"/>
  <c r="W101" i="2186" s="1"/>
  <c r="X101" i="2186" s="1"/>
  <c r="Y101" i="2186" s="1"/>
  <c r="C87" i="2186"/>
  <c r="D150" i="2186" s="1"/>
  <c r="D70" i="2186"/>
  <c r="D69" i="2186"/>
  <c r="D68" i="2186"/>
  <c r="C66" i="2186"/>
  <c r="D65" i="2186"/>
  <c r="C64" i="2186"/>
  <c r="D63" i="2186"/>
  <c r="C62" i="2186"/>
  <c r="D61" i="2186"/>
  <c r="C59" i="2186"/>
  <c r="D55" i="2186"/>
  <c r="D54" i="2186"/>
  <c r="D53" i="2186"/>
  <c r="D52" i="2186"/>
  <c r="C51" i="2186"/>
  <c r="D50" i="2186"/>
  <c r="D49" i="2186"/>
  <c r="C48" i="2186"/>
  <c r="D148" i="2186" s="1"/>
  <c r="D47" i="2186"/>
  <c r="D46" i="2186"/>
  <c r="C43" i="2186"/>
  <c r="C41" i="2186"/>
  <c r="D37" i="2186"/>
  <c r="C36" i="2186"/>
  <c r="D35" i="2186"/>
  <c r="C34" i="2186"/>
  <c r="D30" i="2186"/>
  <c r="C21" i="2186"/>
  <c r="C20" i="2186"/>
  <c r="E17" i="2186"/>
  <c r="E16" i="2186"/>
  <c r="E13" i="2186"/>
  <c r="E12" i="2186"/>
  <c r="D8" i="2186"/>
  <c r="D7" i="2186"/>
  <c r="D5" i="2186"/>
  <c r="A1" i="2186"/>
  <c r="B171" i="2185"/>
  <c r="B170" i="2185"/>
  <c r="B169" i="2185"/>
  <c r="C165" i="2185"/>
  <c r="B165" i="2185"/>
  <c r="B164" i="2185"/>
  <c r="B163" i="2185"/>
  <c r="C147" i="2185"/>
  <c r="AR143" i="2185"/>
  <c r="AQ143" i="2185"/>
  <c r="AP143" i="2185"/>
  <c r="AO143" i="2185"/>
  <c r="AN143" i="2185"/>
  <c r="AM143" i="2185"/>
  <c r="AL143" i="2185"/>
  <c r="AK143" i="2185"/>
  <c r="AJ143" i="2185"/>
  <c r="AI143" i="2185"/>
  <c r="AH143" i="2185"/>
  <c r="AG143" i="2185"/>
  <c r="AF143" i="2185"/>
  <c r="AE143" i="2185"/>
  <c r="AD143" i="2185"/>
  <c r="AC143" i="2185"/>
  <c r="AB143" i="2185"/>
  <c r="AA143" i="2185"/>
  <c r="Z143" i="2185"/>
  <c r="Y143" i="2185"/>
  <c r="X143" i="2185"/>
  <c r="W143" i="2185"/>
  <c r="V143" i="2185"/>
  <c r="U143" i="2185"/>
  <c r="T143" i="2185"/>
  <c r="AR141" i="2185"/>
  <c r="AQ141" i="2185"/>
  <c r="AP141" i="2185"/>
  <c r="AO141" i="2185"/>
  <c r="AN141" i="2185"/>
  <c r="AM141" i="2185"/>
  <c r="AL141" i="2185"/>
  <c r="AK141" i="2185"/>
  <c r="AJ141" i="2185"/>
  <c r="AI141" i="2185"/>
  <c r="AH141" i="2185"/>
  <c r="AG141" i="2185"/>
  <c r="AF141" i="2185"/>
  <c r="AE141" i="2185"/>
  <c r="AD141" i="2185"/>
  <c r="AC141" i="2185"/>
  <c r="AB141" i="2185"/>
  <c r="AA141" i="2185"/>
  <c r="Z141" i="2185"/>
  <c r="Y141" i="2185"/>
  <c r="X141" i="2185"/>
  <c r="W141" i="2185"/>
  <c r="V141" i="2185"/>
  <c r="U141" i="2185"/>
  <c r="T141" i="2185"/>
  <c r="C141" i="2185"/>
  <c r="AR132" i="2185"/>
  <c r="AQ132" i="2185"/>
  <c r="AP132" i="2185"/>
  <c r="AO132" i="2185"/>
  <c r="AN132" i="2185"/>
  <c r="AM132" i="2185"/>
  <c r="AL132" i="2185"/>
  <c r="AK132" i="2185"/>
  <c r="AJ132" i="2185"/>
  <c r="AI132" i="2185"/>
  <c r="AH132" i="2185"/>
  <c r="AG132" i="2185"/>
  <c r="AF132" i="2185"/>
  <c r="AE132" i="2185"/>
  <c r="AD132" i="2185"/>
  <c r="AC132" i="2185"/>
  <c r="AB132" i="2185"/>
  <c r="AA132" i="2185"/>
  <c r="Z132" i="2185"/>
  <c r="Y132" i="2185"/>
  <c r="X132" i="2185"/>
  <c r="W132" i="2185"/>
  <c r="V132" i="2185"/>
  <c r="U132" i="2185"/>
  <c r="T132" i="2185"/>
  <c r="AR131" i="2185"/>
  <c r="AR133" i="2185" s="1"/>
  <c r="AQ131" i="2185"/>
  <c r="AP131" i="2185"/>
  <c r="AO131" i="2185"/>
  <c r="AN131" i="2185"/>
  <c r="AN133" i="2185" s="1"/>
  <c r="AM131" i="2185"/>
  <c r="AL131" i="2185"/>
  <c r="AK131" i="2185"/>
  <c r="AJ131" i="2185"/>
  <c r="AI131" i="2185"/>
  <c r="AI133" i="2185" s="1"/>
  <c r="AH131" i="2185"/>
  <c r="AH133" i="2185" s="1"/>
  <c r="AG131" i="2185"/>
  <c r="AF131" i="2185"/>
  <c r="AF133" i="2185" s="1"/>
  <c r="AE131" i="2185"/>
  <c r="AE133" i="2185" s="1"/>
  <c r="AD131" i="2185"/>
  <c r="AC131" i="2185"/>
  <c r="AB131" i="2185"/>
  <c r="AB133" i="2185" s="1"/>
  <c r="AA131" i="2185"/>
  <c r="Z131" i="2185"/>
  <c r="Y131" i="2185"/>
  <c r="X131" i="2185"/>
  <c r="W131" i="2185"/>
  <c r="W133" i="2185" s="1"/>
  <c r="V131" i="2185"/>
  <c r="V133" i="2185" s="1"/>
  <c r="U131" i="2185"/>
  <c r="T131" i="2185"/>
  <c r="T133" i="2185" s="1"/>
  <c r="AR130" i="2185"/>
  <c r="AQ130" i="2185"/>
  <c r="AP130" i="2185"/>
  <c r="AO130" i="2185"/>
  <c r="AN130" i="2185"/>
  <c r="AM130" i="2185"/>
  <c r="AL130" i="2185"/>
  <c r="AK130" i="2185"/>
  <c r="AJ130" i="2185"/>
  <c r="AI130" i="2185"/>
  <c r="AH130" i="2185"/>
  <c r="AG130" i="2185"/>
  <c r="AF130" i="2185"/>
  <c r="AE130" i="2185"/>
  <c r="AD130" i="2185"/>
  <c r="AC130" i="2185"/>
  <c r="AB130" i="2185"/>
  <c r="AA130" i="2185"/>
  <c r="Z130" i="2185"/>
  <c r="Y130" i="2185"/>
  <c r="X130" i="2185"/>
  <c r="W130" i="2185"/>
  <c r="V130" i="2185"/>
  <c r="U130" i="2185"/>
  <c r="T130" i="2185"/>
  <c r="AR121" i="2185"/>
  <c r="AQ121" i="2185"/>
  <c r="AP121" i="2185"/>
  <c r="AO121" i="2185"/>
  <c r="AN121" i="2185"/>
  <c r="AM121" i="2185"/>
  <c r="AL121" i="2185"/>
  <c r="AK121" i="2185"/>
  <c r="AJ121" i="2185"/>
  <c r="AI121" i="2185"/>
  <c r="AH121" i="2185"/>
  <c r="AG121" i="2185"/>
  <c r="AF121" i="2185"/>
  <c r="AE121" i="2185"/>
  <c r="AD121" i="2185"/>
  <c r="AC121" i="2185"/>
  <c r="AB121" i="2185"/>
  <c r="AA121" i="2185"/>
  <c r="Z121" i="2185"/>
  <c r="Y121" i="2185"/>
  <c r="X121" i="2185"/>
  <c r="W121" i="2185"/>
  <c r="V121" i="2185"/>
  <c r="U121" i="2185"/>
  <c r="T121" i="2185"/>
  <c r="S121" i="2185"/>
  <c r="R121" i="2185"/>
  <c r="Q121" i="2185"/>
  <c r="P121" i="2185"/>
  <c r="O121" i="2185"/>
  <c r="N121" i="2185"/>
  <c r="M121" i="2185"/>
  <c r="L121" i="2185"/>
  <c r="K121" i="2185"/>
  <c r="J121" i="2185"/>
  <c r="I121" i="2185"/>
  <c r="H121" i="2185"/>
  <c r="G121" i="2185"/>
  <c r="F121" i="2185"/>
  <c r="E121" i="2185"/>
  <c r="C121" i="2185"/>
  <c r="AR120" i="2185"/>
  <c r="AQ120" i="2185"/>
  <c r="AP120" i="2185"/>
  <c r="AO120" i="2185"/>
  <c r="AN120" i="2185"/>
  <c r="AM120" i="2185"/>
  <c r="AL120" i="2185"/>
  <c r="AK120" i="2185"/>
  <c r="AJ120" i="2185"/>
  <c r="AI120" i="2185"/>
  <c r="AH120" i="2185"/>
  <c r="AG120" i="2185"/>
  <c r="AF120" i="2185"/>
  <c r="AE120" i="2185"/>
  <c r="AD120" i="2185"/>
  <c r="AC120" i="2185"/>
  <c r="AB120" i="2185"/>
  <c r="AA120" i="2185"/>
  <c r="Z120" i="2185"/>
  <c r="Y120" i="2185"/>
  <c r="X120" i="2185"/>
  <c r="W120" i="2185"/>
  <c r="V120" i="2185"/>
  <c r="U120" i="2185"/>
  <c r="T120" i="2185"/>
  <c r="S120" i="2185"/>
  <c r="R120" i="2185"/>
  <c r="Q120" i="2185"/>
  <c r="P120" i="2185"/>
  <c r="O120" i="2185"/>
  <c r="N120" i="2185"/>
  <c r="M120" i="2185"/>
  <c r="L120" i="2185"/>
  <c r="K120" i="2185"/>
  <c r="J120" i="2185"/>
  <c r="I120" i="2185"/>
  <c r="H120" i="2185"/>
  <c r="G120" i="2185"/>
  <c r="F120" i="2185"/>
  <c r="E120" i="2185"/>
  <c r="C120" i="2185"/>
  <c r="AR119" i="2185"/>
  <c r="AQ119" i="2185"/>
  <c r="AP119" i="2185"/>
  <c r="AO119" i="2185"/>
  <c r="AN119" i="2185"/>
  <c r="AM119" i="2185"/>
  <c r="AL119" i="2185"/>
  <c r="AK119" i="2185"/>
  <c r="AJ119" i="2185"/>
  <c r="AI119" i="2185"/>
  <c r="AH119" i="2185"/>
  <c r="AG119" i="2185"/>
  <c r="AF119" i="2185"/>
  <c r="AE119" i="2185"/>
  <c r="AD119" i="2185"/>
  <c r="AC119" i="2185"/>
  <c r="AB119" i="2185"/>
  <c r="AA119" i="2185"/>
  <c r="Z119" i="2185"/>
  <c r="Y119" i="2185"/>
  <c r="X119" i="2185"/>
  <c r="W119" i="2185"/>
  <c r="V119" i="2185"/>
  <c r="U119" i="2185"/>
  <c r="T119" i="2185"/>
  <c r="S119" i="2185"/>
  <c r="R119" i="2185"/>
  <c r="Q119" i="2185"/>
  <c r="P119" i="2185"/>
  <c r="O119" i="2185"/>
  <c r="N119" i="2185"/>
  <c r="M119" i="2185"/>
  <c r="L119" i="2185"/>
  <c r="K119" i="2185"/>
  <c r="J119" i="2185"/>
  <c r="I119" i="2185"/>
  <c r="H119" i="2185"/>
  <c r="G119" i="2185"/>
  <c r="F119" i="2185"/>
  <c r="E119" i="2185"/>
  <c r="AR118" i="2185"/>
  <c r="AQ118" i="2185"/>
  <c r="AP118" i="2185"/>
  <c r="AO118" i="2185"/>
  <c r="AN118" i="2185"/>
  <c r="AM118" i="2185"/>
  <c r="AL118" i="2185"/>
  <c r="AK118" i="2185"/>
  <c r="AJ118" i="2185"/>
  <c r="AI118" i="2185"/>
  <c r="AH118" i="2185"/>
  <c r="AG118" i="2185"/>
  <c r="AF118" i="2185"/>
  <c r="AE118" i="2185"/>
  <c r="AD118" i="2185"/>
  <c r="AC118" i="2185"/>
  <c r="AB118" i="2185"/>
  <c r="AA118" i="2185"/>
  <c r="Z118" i="2185"/>
  <c r="Y118" i="2185"/>
  <c r="S118" i="2185"/>
  <c r="R118" i="2185"/>
  <c r="Q118" i="2185"/>
  <c r="P118" i="2185"/>
  <c r="O118" i="2185"/>
  <c r="N118" i="2185"/>
  <c r="M118" i="2185"/>
  <c r="L118" i="2185"/>
  <c r="K118" i="2185"/>
  <c r="J118" i="2185"/>
  <c r="I118" i="2185"/>
  <c r="H118" i="2185"/>
  <c r="G118" i="2185"/>
  <c r="F118" i="2185"/>
  <c r="E118" i="2185"/>
  <c r="AR117" i="2185"/>
  <c r="AQ117" i="2185"/>
  <c r="AP117" i="2185"/>
  <c r="AO117" i="2185"/>
  <c r="AN117" i="2185"/>
  <c r="AM117" i="2185"/>
  <c r="AL117" i="2185"/>
  <c r="AK117" i="2185"/>
  <c r="AJ117" i="2185"/>
  <c r="AI117" i="2185"/>
  <c r="AH117" i="2185"/>
  <c r="AG117" i="2185"/>
  <c r="AF117" i="2185"/>
  <c r="AE117" i="2185"/>
  <c r="AD117" i="2185"/>
  <c r="AC117" i="2185"/>
  <c r="AB117" i="2185"/>
  <c r="AA117" i="2185"/>
  <c r="Z117" i="2185"/>
  <c r="Y117" i="2185"/>
  <c r="X117" i="2185"/>
  <c r="W117" i="2185"/>
  <c r="V117" i="2185"/>
  <c r="U117" i="2185"/>
  <c r="T117" i="2185"/>
  <c r="S117" i="2185"/>
  <c r="R117" i="2185"/>
  <c r="Q117" i="2185"/>
  <c r="P117" i="2185"/>
  <c r="O117" i="2185"/>
  <c r="N117" i="2185"/>
  <c r="M117" i="2185"/>
  <c r="L117" i="2185"/>
  <c r="K117" i="2185"/>
  <c r="J117" i="2185"/>
  <c r="I117" i="2185"/>
  <c r="H117" i="2185"/>
  <c r="G117" i="2185"/>
  <c r="F117" i="2185"/>
  <c r="E117" i="2185"/>
  <c r="AR116" i="2185"/>
  <c r="AR127" i="2185" s="1"/>
  <c r="AQ116" i="2185"/>
  <c r="AP116" i="2185"/>
  <c r="AP127" i="2185" s="1"/>
  <c r="AO116" i="2185"/>
  <c r="AO127" i="2185" s="1"/>
  <c r="AN116" i="2185"/>
  <c r="AM116" i="2185"/>
  <c r="AM127" i="2185" s="1"/>
  <c r="AL116" i="2185"/>
  <c r="AL127" i="2185" s="1"/>
  <c r="AK116" i="2185"/>
  <c r="AJ116" i="2185"/>
  <c r="AJ127" i="2185" s="1"/>
  <c r="AI116" i="2185"/>
  <c r="AI127" i="2185" s="1"/>
  <c r="AH116" i="2185"/>
  <c r="AG116" i="2185"/>
  <c r="AG127" i="2185" s="1"/>
  <c r="AF116" i="2185"/>
  <c r="AF127" i="2185" s="1"/>
  <c r="AE116" i="2185"/>
  <c r="AD116" i="2185"/>
  <c r="AD127" i="2185" s="1"/>
  <c r="AC116" i="2185"/>
  <c r="AC127" i="2185" s="1"/>
  <c r="AB116" i="2185"/>
  <c r="AA116" i="2185"/>
  <c r="AA127" i="2185" s="1"/>
  <c r="Z116" i="2185"/>
  <c r="Z127" i="2185" s="1"/>
  <c r="Y116" i="2185"/>
  <c r="C114" i="2185"/>
  <c r="AR113" i="2185"/>
  <c r="AQ113" i="2185"/>
  <c r="AP113" i="2185"/>
  <c r="AO113" i="2185"/>
  <c r="AN113" i="2185"/>
  <c r="AM113" i="2185"/>
  <c r="AL113" i="2185"/>
  <c r="AK113" i="2185"/>
  <c r="AJ113" i="2185"/>
  <c r="AI113" i="2185"/>
  <c r="AH113" i="2185"/>
  <c r="AG113" i="2185"/>
  <c r="AF113" i="2185"/>
  <c r="AE113" i="2185"/>
  <c r="AD113" i="2185"/>
  <c r="AC113" i="2185"/>
  <c r="AB113" i="2185"/>
  <c r="AA113" i="2185"/>
  <c r="Z113" i="2185"/>
  <c r="Y113" i="2185"/>
  <c r="X113" i="2185"/>
  <c r="W113" i="2185"/>
  <c r="V113" i="2185"/>
  <c r="U113" i="2185"/>
  <c r="T113" i="2185"/>
  <c r="S113" i="2185"/>
  <c r="R113" i="2185"/>
  <c r="Q113" i="2185"/>
  <c r="P113" i="2185"/>
  <c r="O113" i="2185"/>
  <c r="N113" i="2185"/>
  <c r="M113" i="2185"/>
  <c r="L113" i="2185"/>
  <c r="K113" i="2185"/>
  <c r="J113" i="2185"/>
  <c r="I113" i="2185"/>
  <c r="H113" i="2185"/>
  <c r="G113" i="2185"/>
  <c r="F113" i="2185"/>
  <c r="E113" i="2185"/>
  <c r="AR112" i="2185"/>
  <c r="AQ112" i="2185"/>
  <c r="AP112" i="2185"/>
  <c r="AO112" i="2185"/>
  <c r="AN112" i="2185"/>
  <c r="AM112" i="2185"/>
  <c r="AL112" i="2185"/>
  <c r="AK112" i="2185"/>
  <c r="AJ112" i="2185"/>
  <c r="AI112" i="2185"/>
  <c r="AH112" i="2185"/>
  <c r="AG112" i="2185"/>
  <c r="AF112" i="2185"/>
  <c r="AE112" i="2185"/>
  <c r="AD112" i="2185"/>
  <c r="AC112" i="2185"/>
  <c r="AB112" i="2185"/>
  <c r="AA112" i="2185"/>
  <c r="Z112" i="2185"/>
  <c r="Y112" i="2185"/>
  <c r="X112" i="2185"/>
  <c r="W112" i="2185"/>
  <c r="V112" i="2185"/>
  <c r="U112" i="2185"/>
  <c r="T112" i="2185"/>
  <c r="S112" i="2185"/>
  <c r="R112" i="2185"/>
  <c r="Q112" i="2185"/>
  <c r="P112" i="2185"/>
  <c r="O112" i="2185"/>
  <c r="N112" i="2185"/>
  <c r="M112" i="2185"/>
  <c r="L112" i="2185"/>
  <c r="K112" i="2185"/>
  <c r="J112" i="2185"/>
  <c r="I112" i="2185"/>
  <c r="H112" i="2185"/>
  <c r="G112" i="2185"/>
  <c r="F112" i="2185"/>
  <c r="E112" i="2185"/>
  <c r="C112" i="2185"/>
  <c r="C111" i="2185"/>
  <c r="AR104" i="2185"/>
  <c r="AQ104" i="2185"/>
  <c r="AP104" i="2185"/>
  <c r="AO104" i="2185"/>
  <c r="AN104" i="2185"/>
  <c r="AM104" i="2185"/>
  <c r="AL104" i="2185"/>
  <c r="AK104" i="2185"/>
  <c r="AJ104" i="2185"/>
  <c r="AI104" i="2185"/>
  <c r="AH104" i="2185"/>
  <c r="AG104" i="2185"/>
  <c r="AF104" i="2185"/>
  <c r="AE104" i="2185"/>
  <c r="AD104" i="2185"/>
  <c r="AC104" i="2185"/>
  <c r="AB104" i="2185"/>
  <c r="AA104" i="2185"/>
  <c r="Z104" i="2185"/>
  <c r="Y104" i="2185"/>
  <c r="X104" i="2185"/>
  <c r="X118" i="2185" s="1"/>
  <c r="W104" i="2185"/>
  <c r="V104" i="2185"/>
  <c r="V118" i="2185" s="1"/>
  <c r="U104" i="2185"/>
  <c r="T104" i="2185"/>
  <c r="S104" i="2185"/>
  <c r="R104" i="2185"/>
  <c r="Q104" i="2185"/>
  <c r="P104" i="2185"/>
  <c r="O104" i="2185"/>
  <c r="N104" i="2185"/>
  <c r="M104" i="2185"/>
  <c r="L104" i="2185"/>
  <c r="K104" i="2185"/>
  <c r="J104" i="2185"/>
  <c r="I104" i="2185"/>
  <c r="H104" i="2185"/>
  <c r="G104" i="2185"/>
  <c r="F104" i="2185"/>
  <c r="E104" i="2185"/>
  <c r="E101" i="2185"/>
  <c r="F101" i="2185" s="1"/>
  <c r="G101" i="2185" s="1"/>
  <c r="H101" i="2185" s="1"/>
  <c r="I101" i="2185" s="1"/>
  <c r="J101" i="2185" s="1"/>
  <c r="K101" i="2185" s="1"/>
  <c r="L101" i="2185" s="1"/>
  <c r="M101" i="2185" s="1"/>
  <c r="N101" i="2185" s="1"/>
  <c r="O101" i="2185" s="1"/>
  <c r="P101" i="2185" s="1"/>
  <c r="Q101" i="2185" s="1"/>
  <c r="R101" i="2185" s="1"/>
  <c r="S101" i="2185" s="1"/>
  <c r="T101" i="2185" s="1"/>
  <c r="U101" i="2185" s="1"/>
  <c r="V101" i="2185" s="1"/>
  <c r="W101" i="2185" s="1"/>
  <c r="X101" i="2185" s="1"/>
  <c r="Y101" i="2185" s="1"/>
  <c r="C87" i="2185"/>
  <c r="D70" i="2185"/>
  <c r="D69" i="2185"/>
  <c r="D68" i="2185"/>
  <c r="C66" i="2185"/>
  <c r="D65" i="2185"/>
  <c r="C64" i="2185"/>
  <c r="D63" i="2185"/>
  <c r="C62" i="2185"/>
  <c r="D61" i="2185"/>
  <c r="C59" i="2185"/>
  <c r="D55" i="2185"/>
  <c r="D54" i="2185"/>
  <c r="D53" i="2185"/>
  <c r="D52" i="2185"/>
  <c r="D50" i="2185"/>
  <c r="D49" i="2185"/>
  <c r="D47" i="2185"/>
  <c r="D46" i="2185"/>
  <c r="C43" i="2185"/>
  <c r="C41" i="2185"/>
  <c r="D37" i="2185"/>
  <c r="C36" i="2185"/>
  <c r="D35" i="2185"/>
  <c r="C34" i="2185"/>
  <c r="D30" i="2185"/>
  <c r="C21" i="2185"/>
  <c r="C20" i="2185"/>
  <c r="E17" i="2185"/>
  <c r="E16" i="2185"/>
  <c r="E13" i="2185"/>
  <c r="E12" i="2185"/>
  <c r="D8" i="2185"/>
  <c r="D7" i="2185"/>
  <c r="D5" i="2185"/>
  <c r="A1" i="2185"/>
  <c r="B171" i="2184"/>
  <c r="B170" i="2184"/>
  <c r="B169" i="2184"/>
  <c r="C165" i="2184"/>
  <c r="B165" i="2184"/>
  <c r="C164" i="2184"/>
  <c r="B164" i="2184"/>
  <c r="B163" i="2184"/>
  <c r="C147" i="2184"/>
  <c r="AR143" i="2184"/>
  <c r="AQ143" i="2184"/>
  <c r="AP143" i="2184"/>
  <c r="AO143" i="2184"/>
  <c r="AN143" i="2184"/>
  <c r="AM143" i="2184"/>
  <c r="AL143" i="2184"/>
  <c r="AK143" i="2184"/>
  <c r="AJ143" i="2184"/>
  <c r="AI143" i="2184"/>
  <c r="AH143" i="2184"/>
  <c r="AG143" i="2184"/>
  <c r="AF143" i="2184"/>
  <c r="AE143" i="2184"/>
  <c r="AD143" i="2184"/>
  <c r="AC143" i="2184"/>
  <c r="AB143" i="2184"/>
  <c r="AA143" i="2184"/>
  <c r="Z143" i="2184"/>
  <c r="Y143" i="2184"/>
  <c r="X143" i="2184"/>
  <c r="W143" i="2184"/>
  <c r="V143" i="2184"/>
  <c r="U143" i="2184"/>
  <c r="T143" i="2184"/>
  <c r="AR141" i="2184"/>
  <c r="AQ141" i="2184"/>
  <c r="AP141" i="2184"/>
  <c r="AO141" i="2184"/>
  <c r="AN141" i="2184"/>
  <c r="AM141" i="2184"/>
  <c r="AL141" i="2184"/>
  <c r="AK141" i="2184"/>
  <c r="AJ141" i="2184"/>
  <c r="AI141" i="2184"/>
  <c r="AH141" i="2184"/>
  <c r="AG141" i="2184"/>
  <c r="AF141" i="2184"/>
  <c r="AE141" i="2184"/>
  <c r="AD141" i="2184"/>
  <c r="AC141" i="2184"/>
  <c r="AB141" i="2184"/>
  <c r="AA141" i="2184"/>
  <c r="Z141" i="2184"/>
  <c r="Y141" i="2184"/>
  <c r="X141" i="2184"/>
  <c r="W141" i="2184"/>
  <c r="V141" i="2184"/>
  <c r="U141" i="2184"/>
  <c r="T141" i="2184"/>
  <c r="C141" i="2184"/>
  <c r="AR132" i="2184"/>
  <c r="AQ132" i="2184"/>
  <c r="AP132" i="2184"/>
  <c r="AO132" i="2184"/>
  <c r="AN132" i="2184"/>
  <c r="AM132" i="2184"/>
  <c r="AL132" i="2184"/>
  <c r="AK132" i="2184"/>
  <c r="AJ132" i="2184"/>
  <c r="AI132" i="2184"/>
  <c r="AH132" i="2184"/>
  <c r="AG132" i="2184"/>
  <c r="AF132" i="2184"/>
  <c r="AE132" i="2184"/>
  <c r="AD132" i="2184"/>
  <c r="AC132" i="2184"/>
  <c r="AB132" i="2184"/>
  <c r="AA132" i="2184"/>
  <c r="Z132" i="2184"/>
  <c r="Y132" i="2184"/>
  <c r="X132" i="2184"/>
  <c r="W132" i="2184"/>
  <c r="V132" i="2184"/>
  <c r="U132" i="2184"/>
  <c r="T132" i="2184"/>
  <c r="AR131" i="2184"/>
  <c r="AR133" i="2184" s="1"/>
  <c r="AQ131" i="2184"/>
  <c r="AP131" i="2184"/>
  <c r="AP133" i="2184" s="1"/>
  <c r="AO131" i="2184"/>
  <c r="AN131" i="2184"/>
  <c r="AM131" i="2184"/>
  <c r="AL131" i="2184"/>
  <c r="AK131" i="2184"/>
  <c r="AJ131" i="2184"/>
  <c r="AJ133" i="2184" s="1"/>
  <c r="AI131" i="2184"/>
  <c r="AI133" i="2184" s="1"/>
  <c r="AH131" i="2184"/>
  <c r="AG131" i="2184"/>
  <c r="AF131" i="2184"/>
  <c r="AF133" i="2184" s="1"/>
  <c r="AE131" i="2184"/>
  <c r="AD131" i="2184"/>
  <c r="AC131" i="2184"/>
  <c r="AB131" i="2184"/>
  <c r="AB133" i="2184" s="1"/>
  <c r="AA131" i="2184"/>
  <c r="Z131" i="2184"/>
  <c r="Y131" i="2184"/>
  <c r="X131" i="2184"/>
  <c r="X133" i="2184" s="1"/>
  <c r="W131" i="2184"/>
  <c r="V131" i="2184"/>
  <c r="U131" i="2184"/>
  <c r="T131" i="2184"/>
  <c r="T133" i="2184" s="1"/>
  <c r="AR130" i="2184"/>
  <c r="AQ130" i="2184"/>
  <c r="AP130" i="2184"/>
  <c r="AO130" i="2184"/>
  <c r="AN130" i="2184"/>
  <c r="AM130" i="2184"/>
  <c r="AL130" i="2184"/>
  <c r="AK130" i="2184"/>
  <c r="AJ130" i="2184"/>
  <c r="AI130" i="2184"/>
  <c r="AH130" i="2184"/>
  <c r="AG130" i="2184"/>
  <c r="AF130" i="2184"/>
  <c r="AE130" i="2184"/>
  <c r="AD130" i="2184"/>
  <c r="AC130" i="2184"/>
  <c r="AB130" i="2184"/>
  <c r="AA130" i="2184"/>
  <c r="Z130" i="2184"/>
  <c r="Y130" i="2184"/>
  <c r="X130" i="2184"/>
  <c r="W130" i="2184"/>
  <c r="V130" i="2184"/>
  <c r="U130" i="2184"/>
  <c r="T130" i="2184"/>
  <c r="AR121" i="2184"/>
  <c r="AQ121" i="2184"/>
  <c r="AP121" i="2184"/>
  <c r="AO121" i="2184"/>
  <c r="AN121" i="2184"/>
  <c r="AM121" i="2184"/>
  <c r="AL121" i="2184"/>
  <c r="AK121" i="2184"/>
  <c r="AJ121" i="2184"/>
  <c r="AI121" i="2184"/>
  <c r="AH121" i="2184"/>
  <c r="AG121" i="2184"/>
  <c r="AF121" i="2184"/>
  <c r="AE121" i="2184"/>
  <c r="AD121" i="2184"/>
  <c r="AC121" i="2184"/>
  <c r="AB121" i="2184"/>
  <c r="AA121" i="2184"/>
  <c r="Z121" i="2184"/>
  <c r="Y121" i="2184"/>
  <c r="X121" i="2184"/>
  <c r="W121" i="2184"/>
  <c r="V121" i="2184"/>
  <c r="U121" i="2184"/>
  <c r="T121" i="2184"/>
  <c r="S121" i="2184"/>
  <c r="R121" i="2184"/>
  <c r="Q121" i="2184"/>
  <c r="P121" i="2184"/>
  <c r="O121" i="2184"/>
  <c r="N121" i="2184"/>
  <c r="M121" i="2184"/>
  <c r="L121" i="2184"/>
  <c r="K121" i="2184"/>
  <c r="J121" i="2184"/>
  <c r="I121" i="2184"/>
  <c r="H121" i="2184"/>
  <c r="G121" i="2184"/>
  <c r="F121" i="2184"/>
  <c r="E121" i="2184"/>
  <c r="C121" i="2184"/>
  <c r="AR120" i="2184"/>
  <c r="AQ120" i="2184"/>
  <c r="AP120" i="2184"/>
  <c r="AO120" i="2184"/>
  <c r="AN120" i="2184"/>
  <c r="AM120" i="2184"/>
  <c r="AL120" i="2184"/>
  <c r="AK120" i="2184"/>
  <c r="AJ120" i="2184"/>
  <c r="AI120" i="2184"/>
  <c r="AH120" i="2184"/>
  <c r="AG120" i="2184"/>
  <c r="AF120" i="2184"/>
  <c r="AE120" i="2184"/>
  <c r="AD120" i="2184"/>
  <c r="AC120" i="2184"/>
  <c r="AB120" i="2184"/>
  <c r="AA120" i="2184"/>
  <c r="Z120" i="2184"/>
  <c r="Y120" i="2184"/>
  <c r="X120" i="2184"/>
  <c r="W120" i="2184"/>
  <c r="V120" i="2184"/>
  <c r="U120" i="2184"/>
  <c r="T120" i="2184"/>
  <c r="S120" i="2184"/>
  <c r="R120" i="2184"/>
  <c r="Q120" i="2184"/>
  <c r="P120" i="2184"/>
  <c r="O120" i="2184"/>
  <c r="N120" i="2184"/>
  <c r="M120" i="2184"/>
  <c r="L120" i="2184"/>
  <c r="K120" i="2184"/>
  <c r="J120" i="2184"/>
  <c r="I120" i="2184"/>
  <c r="H120" i="2184"/>
  <c r="G120" i="2184"/>
  <c r="F120" i="2184"/>
  <c r="E120" i="2184"/>
  <c r="C120" i="2184"/>
  <c r="AR119" i="2184"/>
  <c r="AQ119" i="2184"/>
  <c r="AP119" i="2184"/>
  <c r="AO119" i="2184"/>
  <c r="AN119" i="2184"/>
  <c r="AM119" i="2184"/>
  <c r="AL119" i="2184"/>
  <c r="AK119" i="2184"/>
  <c r="AJ119" i="2184"/>
  <c r="AI119" i="2184"/>
  <c r="AH119" i="2184"/>
  <c r="AG119" i="2184"/>
  <c r="AF119" i="2184"/>
  <c r="AE119" i="2184"/>
  <c r="AD119" i="2184"/>
  <c r="AC119" i="2184"/>
  <c r="AB119" i="2184"/>
  <c r="AA119" i="2184"/>
  <c r="Z119" i="2184"/>
  <c r="Y119" i="2184"/>
  <c r="X119" i="2184"/>
  <c r="W119" i="2184"/>
  <c r="V119" i="2184"/>
  <c r="U119" i="2184"/>
  <c r="T119" i="2184"/>
  <c r="S119" i="2184"/>
  <c r="R119" i="2184"/>
  <c r="Q119" i="2184"/>
  <c r="P119" i="2184"/>
  <c r="O119" i="2184"/>
  <c r="N119" i="2184"/>
  <c r="M119" i="2184"/>
  <c r="L119" i="2184"/>
  <c r="K119" i="2184"/>
  <c r="J119" i="2184"/>
  <c r="I119" i="2184"/>
  <c r="H119" i="2184"/>
  <c r="G119" i="2184"/>
  <c r="F119" i="2184"/>
  <c r="E119" i="2184"/>
  <c r="AR118" i="2184"/>
  <c r="AQ118" i="2184"/>
  <c r="AP118" i="2184"/>
  <c r="AO118" i="2184"/>
  <c r="AN118" i="2184"/>
  <c r="AM118" i="2184"/>
  <c r="AL118" i="2184"/>
  <c r="AK118" i="2184"/>
  <c r="AJ118" i="2184"/>
  <c r="AI118" i="2184"/>
  <c r="AH118" i="2184"/>
  <c r="AG118" i="2184"/>
  <c r="AF118" i="2184"/>
  <c r="AE118" i="2184"/>
  <c r="AD118" i="2184"/>
  <c r="AC118" i="2184"/>
  <c r="AB118" i="2184"/>
  <c r="AA118" i="2184"/>
  <c r="Z118" i="2184"/>
  <c r="Y118" i="2184"/>
  <c r="S118" i="2184"/>
  <c r="R118" i="2184"/>
  <c r="Q118" i="2184"/>
  <c r="P118" i="2184"/>
  <c r="O118" i="2184"/>
  <c r="N118" i="2184"/>
  <c r="M118" i="2184"/>
  <c r="L118" i="2184"/>
  <c r="K118" i="2184"/>
  <c r="J118" i="2184"/>
  <c r="I118" i="2184"/>
  <c r="H118" i="2184"/>
  <c r="G118" i="2184"/>
  <c r="F118" i="2184"/>
  <c r="E118" i="2184"/>
  <c r="AR117" i="2184"/>
  <c r="AQ117" i="2184"/>
  <c r="AP117" i="2184"/>
  <c r="AO117" i="2184"/>
  <c r="AN117" i="2184"/>
  <c r="AM117" i="2184"/>
  <c r="AL117" i="2184"/>
  <c r="AK117" i="2184"/>
  <c r="AJ117" i="2184"/>
  <c r="AI117" i="2184"/>
  <c r="AH117" i="2184"/>
  <c r="AG117" i="2184"/>
  <c r="AF117" i="2184"/>
  <c r="AE117" i="2184"/>
  <c r="AD117" i="2184"/>
  <c r="AC117" i="2184"/>
  <c r="AB117" i="2184"/>
  <c r="AA117" i="2184"/>
  <c r="Z117" i="2184"/>
  <c r="Y117" i="2184"/>
  <c r="X117" i="2184"/>
  <c r="W117" i="2184"/>
  <c r="V117" i="2184"/>
  <c r="U117" i="2184"/>
  <c r="T117" i="2184"/>
  <c r="S117" i="2184"/>
  <c r="R117" i="2184"/>
  <c r="Q117" i="2184"/>
  <c r="P117" i="2184"/>
  <c r="O117" i="2184"/>
  <c r="N117" i="2184"/>
  <c r="M117" i="2184"/>
  <c r="L117" i="2184"/>
  <c r="K117" i="2184"/>
  <c r="J117" i="2184"/>
  <c r="I117" i="2184"/>
  <c r="H117" i="2184"/>
  <c r="G117" i="2184"/>
  <c r="F117" i="2184"/>
  <c r="E117" i="2184"/>
  <c r="AR116" i="2184"/>
  <c r="AR127" i="2184" s="1"/>
  <c r="AQ116" i="2184"/>
  <c r="AQ127" i="2184" s="1"/>
  <c r="AP116" i="2184"/>
  <c r="AP127" i="2184" s="1"/>
  <c r="AO116" i="2184"/>
  <c r="AO127" i="2184" s="1"/>
  <c r="AN116" i="2184"/>
  <c r="AN127" i="2184" s="1"/>
  <c r="AM116" i="2184"/>
  <c r="AM127" i="2184" s="1"/>
  <c r="AL116" i="2184"/>
  <c r="AL127" i="2184" s="1"/>
  <c r="AK116" i="2184"/>
  <c r="AK127" i="2184" s="1"/>
  <c r="AJ116" i="2184"/>
  <c r="AJ127" i="2184" s="1"/>
  <c r="AI116" i="2184"/>
  <c r="AI127" i="2184" s="1"/>
  <c r="AH116" i="2184"/>
  <c r="AH127" i="2184" s="1"/>
  <c r="AG116" i="2184"/>
  <c r="AG127" i="2184" s="1"/>
  <c r="AF116" i="2184"/>
  <c r="AF127" i="2184" s="1"/>
  <c r="AE116" i="2184"/>
  <c r="AE127" i="2184" s="1"/>
  <c r="AD116" i="2184"/>
  <c r="AD127" i="2184" s="1"/>
  <c r="AC116" i="2184"/>
  <c r="AC127" i="2184" s="1"/>
  <c r="AB116" i="2184"/>
  <c r="AB127" i="2184" s="1"/>
  <c r="AA116" i="2184"/>
  <c r="AA127" i="2184" s="1"/>
  <c r="Z116" i="2184"/>
  <c r="Z127" i="2184" s="1"/>
  <c r="Y116" i="2184"/>
  <c r="Y127" i="2184" s="1"/>
  <c r="C114" i="2184"/>
  <c r="AR113" i="2184"/>
  <c r="AQ113" i="2184"/>
  <c r="AP113" i="2184"/>
  <c r="AO113" i="2184"/>
  <c r="AN113" i="2184"/>
  <c r="AM113" i="2184"/>
  <c r="AL113" i="2184"/>
  <c r="AK113" i="2184"/>
  <c r="AJ113" i="2184"/>
  <c r="AI113" i="2184"/>
  <c r="AH113" i="2184"/>
  <c r="AG113" i="2184"/>
  <c r="AF113" i="2184"/>
  <c r="AE113" i="2184"/>
  <c r="AD113" i="2184"/>
  <c r="AC113" i="2184"/>
  <c r="AB113" i="2184"/>
  <c r="AA113" i="2184"/>
  <c r="Z113" i="2184"/>
  <c r="Y113" i="2184"/>
  <c r="X113" i="2184"/>
  <c r="W113" i="2184"/>
  <c r="V113" i="2184"/>
  <c r="U113" i="2184"/>
  <c r="T113" i="2184"/>
  <c r="S113" i="2184"/>
  <c r="R113" i="2184"/>
  <c r="Q113" i="2184"/>
  <c r="P113" i="2184"/>
  <c r="O113" i="2184"/>
  <c r="N113" i="2184"/>
  <c r="M113" i="2184"/>
  <c r="L113" i="2184"/>
  <c r="K113" i="2184"/>
  <c r="J113" i="2184"/>
  <c r="I113" i="2184"/>
  <c r="H113" i="2184"/>
  <c r="G113" i="2184"/>
  <c r="F113" i="2184"/>
  <c r="E113" i="2184"/>
  <c r="AR112" i="2184"/>
  <c r="AQ112" i="2184"/>
  <c r="AP112" i="2184"/>
  <c r="AO112" i="2184"/>
  <c r="AN112" i="2184"/>
  <c r="AM112" i="2184"/>
  <c r="AL112" i="2184"/>
  <c r="AK112" i="2184"/>
  <c r="AJ112" i="2184"/>
  <c r="AI112" i="2184"/>
  <c r="AH112" i="2184"/>
  <c r="AG112" i="2184"/>
  <c r="AF112" i="2184"/>
  <c r="AE112" i="2184"/>
  <c r="AD112" i="2184"/>
  <c r="AC112" i="2184"/>
  <c r="AB112" i="2184"/>
  <c r="AA112" i="2184"/>
  <c r="Z112" i="2184"/>
  <c r="Y112" i="2184"/>
  <c r="X112" i="2184"/>
  <c r="W112" i="2184"/>
  <c r="V112" i="2184"/>
  <c r="U112" i="2184"/>
  <c r="T112" i="2184"/>
  <c r="S112" i="2184"/>
  <c r="R112" i="2184"/>
  <c r="Q112" i="2184"/>
  <c r="P112" i="2184"/>
  <c r="O112" i="2184"/>
  <c r="N112" i="2184"/>
  <c r="M112" i="2184"/>
  <c r="L112" i="2184"/>
  <c r="K112" i="2184"/>
  <c r="J112" i="2184"/>
  <c r="I112" i="2184"/>
  <c r="H112" i="2184"/>
  <c r="G112" i="2184"/>
  <c r="F112" i="2184"/>
  <c r="E112" i="2184"/>
  <c r="C112" i="2184"/>
  <c r="C111" i="2184"/>
  <c r="AR104" i="2184"/>
  <c r="AQ104" i="2184"/>
  <c r="AP104" i="2184"/>
  <c r="AO104" i="2184"/>
  <c r="AN104" i="2184"/>
  <c r="AM104" i="2184"/>
  <c r="AL104" i="2184"/>
  <c r="AK104" i="2184"/>
  <c r="AJ104" i="2184"/>
  <c r="AI104" i="2184"/>
  <c r="AH104" i="2184"/>
  <c r="AG104" i="2184"/>
  <c r="AF104" i="2184"/>
  <c r="AE104" i="2184"/>
  <c r="AD104" i="2184"/>
  <c r="AC104" i="2184"/>
  <c r="AB104" i="2184"/>
  <c r="AA104" i="2184"/>
  <c r="Z104" i="2184"/>
  <c r="Y104" i="2184"/>
  <c r="X104" i="2184"/>
  <c r="W104" i="2184"/>
  <c r="V104" i="2184"/>
  <c r="V118" i="2184" s="1"/>
  <c r="U104" i="2184"/>
  <c r="U118" i="2184" s="1"/>
  <c r="T104" i="2184"/>
  <c r="T118" i="2184" s="1"/>
  <c r="S104" i="2184"/>
  <c r="R104" i="2184"/>
  <c r="Q104" i="2184"/>
  <c r="P104" i="2184"/>
  <c r="O104" i="2184"/>
  <c r="N104" i="2184"/>
  <c r="M104" i="2184"/>
  <c r="L104" i="2184"/>
  <c r="K104" i="2184"/>
  <c r="J104" i="2184"/>
  <c r="I104" i="2184"/>
  <c r="H104" i="2184"/>
  <c r="G104" i="2184"/>
  <c r="F104" i="2184"/>
  <c r="E104" i="2184"/>
  <c r="E101" i="2184"/>
  <c r="F101" i="2184" s="1"/>
  <c r="G101" i="2184" s="1"/>
  <c r="H101" i="2184" s="1"/>
  <c r="I101" i="2184" s="1"/>
  <c r="J101" i="2184" s="1"/>
  <c r="K101" i="2184" s="1"/>
  <c r="L101" i="2184" s="1"/>
  <c r="M101" i="2184" s="1"/>
  <c r="N101" i="2184" s="1"/>
  <c r="O101" i="2184" s="1"/>
  <c r="P101" i="2184" s="1"/>
  <c r="Q101" i="2184" s="1"/>
  <c r="R101" i="2184" s="1"/>
  <c r="S101" i="2184" s="1"/>
  <c r="T101" i="2184" s="1"/>
  <c r="U101" i="2184" s="1"/>
  <c r="V101" i="2184" s="1"/>
  <c r="W101" i="2184" s="1"/>
  <c r="X101" i="2184" s="1"/>
  <c r="Y101" i="2184" s="1"/>
  <c r="C87" i="2184"/>
  <c r="D70" i="2184"/>
  <c r="D69" i="2184"/>
  <c r="D68" i="2184"/>
  <c r="C66" i="2184"/>
  <c r="D65" i="2184"/>
  <c r="C64" i="2184"/>
  <c r="D63" i="2184"/>
  <c r="C62" i="2184"/>
  <c r="D61" i="2184"/>
  <c r="C59" i="2184"/>
  <c r="D55" i="2184"/>
  <c r="D54" i="2184"/>
  <c r="D53" i="2184"/>
  <c r="D52" i="2184"/>
  <c r="D50" i="2184"/>
  <c r="D49" i="2184"/>
  <c r="D47" i="2184"/>
  <c r="D46" i="2184"/>
  <c r="C43" i="2184"/>
  <c r="C41" i="2184"/>
  <c r="D37" i="2184"/>
  <c r="C36" i="2184"/>
  <c r="D35" i="2184"/>
  <c r="C34" i="2184"/>
  <c r="D30" i="2184"/>
  <c r="C21" i="2184"/>
  <c r="C20" i="2184"/>
  <c r="E17" i="2184"/>
  <c r="E16" i="2184"/>
  <c r="E13" i="2184"/>
  <c r="E12" i="2184"/>
  <c r="D8" i="2184"/>
  <c r="D7" i="2184"/>
  <c r="D5" i="2184"/>
  <c r="A1" i="2184"/>
  <c r="B171" i="2183"/>
  <c r="B170" i="2183"/>
  <c r="B169" i="2183"/>
  <c r="C165" i="2183"/>
  <c r="B165" i="2183"/>
  <c r="C164" i="2183"/>
  <c r="B164" i="2183"/>
  <c r="B163" i="2183"/>
  <c r="C147" i="2183"/>
  <c r="AR143" i="2183"/>
  <c r="AQ143" i="2183"/>
  <c r="AP143" i="2183"/>
  <c r="AO143" i="2183"/>
  <c r="AN143" i="2183"/>
  <c r="AM143" i="2183"/>
  <c r="AL143" i="2183"/>
  <c r="AK143" i="2183"/>
  <c r="AJ143" i="2183"/>
  <c r="AI143" i="2183"/>
  <c r="AH143" i="2183"/>
  <c r="AG143" i="2183"/>
  <c r="AF143" i="2183"/>
  <c r="AE143" i="2183"/>
  <c r="AD143" i="2183"/>
  <c r="AC143" i="2183"/>
  <c r="AB143" i="2183"/>
  <c r="AA143" i="2183"/>
  <c r="Z143" i="2183"/>
  <c r="Y143" i="2183"/>
  <c r="X143" i="2183"/>
  <c r="W143" i="2183"/>
  <c r="V143" i="2183"/>
  <c r="U143" i="2183"/>
  <c r="T143" i="2183"/>
  <c r="AR141" i="2183"/>
  <c r="AQ141" i="2183"/>
  <c r="AP141" i="2183"/>
  <c r="AO141" i="2183"/>
  <c r="AN141" i="2183"/>
  <c r="AM141" i="2183"/>
  <c r="AL141" i="2183"/>
  <c r="AK141" i="2183"/>
  <c r="AJ141" i="2183"/>
  <c r="AI141" i="2183"/>
  <c r="AH141" i="2183"/>
  <c r="AG141" i="2183"/>
  <c r="AF141" i="2183"/>
  <c r="AE141" i="2183"/>
  <c r="AD141" i="2183"/>
  <c r="AC141" i="2183"/>
  <c r="AB141" i="2183"/>
  <c r="AA141" i="2183"/>
  <c r="Z141" i="2183"/>
  <c r="Y141" i="2183"/>
  <c r="X141" i="2183"/>
  <c r="W141" i="2183"/>
  <c r="V141" i="2183"/>
  <c r="U141" i="2183"/>
  <c r="T141" i="2183"/>
  <c r="C141" i="2183"/>
  <c r="AR132" i="2183"/>
  <c r="AQ132" i="2183"/>
  <c r="AP132" i="2183"/>
  <c r="AO132" i="2183"/>
  <c r="AN132" i="2183"/>
  <c r="AM132" i="2183"/>
  <c r="AL132" i="2183"/>
  <c r="AK132" i="2183"/>
  <c r="AJ132" i="2183"/>
  <c r="AI132" i="2183"/>
  <c r="AH132" i="2183"/>
  <c r="AG132" i="2183"/>
  <c r="AF132" i="2183"/>
  <c r="AE132" i="2183"/>
  <c r="AD132" i="2183"/>
  <c r="AC132" i="2183"/>
  <c r="AB132" i="2183"/>
  <c r="AA132" i="2183"/>
  <c r="Z132" i="2183"/>
  <c r="Y132" i="2183"/>
  <c r="X132" i="2183"/>
  <c r="W132" i="2183"/>
  <c r="V132" i="2183"/>
  <c r="U132" i="2183"/>
  <c r="T132" i="2183"/>
  <c r="AR131" i="2183"/>
  <c r="AQ131" i="2183"/>
  <c r="AP131" i="2183"/>
  <c r="AO131" i="2183"/>
  <c r="AN131" i="2183"/>
  <c r="AN133" i="2183" s="1"/>
  <c r="AM131" i="2183"/>
  <c r="AL131" i="2183"/>
  <c r="AK131" i="2183"/>
  <c r="AK133" i="2183" s="1"/>
  <c r="AJ131" i="2183"/>
  <c r="AJ133" i="2183" s="1"/>
  <c r="AI131" i="2183"/>
  <c r="AH131" i="2183"/>
  <c r="AG131" i="2183"/>
  <c r="AG133" i="2183" s="1"/>
  <c r="AF131" i="2183"/>
  <c r="AE131" i="2183"/>
  <c r="AE133" i="2183" s="1"/>
  <c r="AD131" i="2183"/>
  <c r="AC131" i="2183"/>
  <c r="AB131" i="2183"/>
  <c r="AB133" i="2183" s="1"/>
  <c r="AA131" i="2183"/>
  <c r="Z131" i="2183"/>
  <c r="Y131" i="2183"/>
  <c r="Y133" i="2183" s="1"/>
  <c r="X131" i="2183"/>
  <c r="X133" i="2183" s="1"/>
  <c r="W131" i="2183"/>
  <c r="V131" i="2183"/>
  <c r="U131" i="2183"/>
  <c r="U133" i="2183" s="1"/>
  <c r="T131" i="2183"/>
  <c r="AR130" i="2183"/>
  <c r="AQ130" i="2183"/>
  <c r="AP130" i="2183"/>
  <c r="AO130" i="2183"/>
  <c r="AN130" i="2183"/>
  <c r="AM130" i="2183"/>
  <c r="AL130" i="2183"/>
  <c r="AK130" i="2183"/>
  <c r="AJ130" i="2183"/>
  <c r="AI130" i="2183"/>
  <c r="AH130" i="2183"/>
  <c r="AG130" i="2183"/>
  <c r="AF130" i="2183"/>
  <c r="AE130" i="2183"/>
  <c r="AD130" i="2183"/>
  <c r="AC130" i="2183"/>
  <c r="AB130" i="2183"/>
  <c r="AA130" i="2183"/>
  <c r="Z130" i="2183"/>
  <c r="Y130" i="2183"/>
  <c r="X130" i="2183"/>
  <c r="W130" i="2183"/>
  <c r="V130" i="2183"/>
  <c r="U130" i="2183"/>
  <c r="T130" i="2183"/>
  <c r="AR121" i="2183"/>
  <c r="AQ121" i="2183"/>
  <c r="AP121" i="2183"/>
  <c r="AO121" i="2183"/>
  <c r="AN121" i="2183"/>
  <c r="AM121" i="2183"/>
  <c r="AL121" i="2183"/>
  <c r="AK121" i="2183"/>
  <c r="AJ121" i="2183"/>
  <c r="AI121" i="2183"/>
  <c r="AH121" i="2183"/>
  <c r="AG121" i="2183"/>
  <c r="AF121" i="2183"/>
  <c r="AE121" i="2183"/>
  <c r="AD121" i="2183"/>
  <c r="AC121" i="2183"/>
  <c r="AB121" i="2183"/>
  <c r="AA121" i="2183"/>
  <c r="Z121" i="2183"/>
  <c r="Y121" i="2183"/>
  <c r="X121" i="2183"/>
  <c r="W121" i="2183"/>
  <c r="V121" i="2183"/>
  <c r="U121" i="2183"/>
  <c r="T121" i="2183"/>
  <c r="S121" i="2183"/>
  <c r="R121" i="2183"/>
  <c r="Q121" i="2183"/>
  <c r="P121" i="2183"/>
  <c r="O121" i="2183"/>
  <c r="N121" i="2183"/>
  <c r="M121" i="2183"/>
  <c r="L121" i="2183"/>
  <c r="K121" i="2183"/>
  <c r="J121" i="2183"/>
  <c r="I121" i="2183"/>
  <c r="H121" i="2183"/>
  <c r="G121" i="2183"/>
  <c r="F121" i="2183"/>
  <c r="E121" i="2183"/>
  <c r="C121" i="2183"/>
  <c r="AR120" i="2183"/>
  <c r="AQ120" i="2183"/>
  <c r="AP120" i="2183"/>
  <c r="AO120" i="2183"/>
  <c r="AN120" i="2183"/>
  <c r="AM120" i="2183"/>
  <c r="AL120" i="2183"/>
  <c r="AK120" i="2183"/>
  <c r="AJ120" i="2183"/>
  <c r="AI120" i="2183"/>
  <c r="AH120" i="2183"/>
  <c r="AG120" i="2183"/>
  <c r="AF120" i="2183"/>
  <c r="AE120" i="2183"/>
  <c r="AD120" i="2183"/>
  <c r="AC120" i="2183"/>
  <c r="AB120" i="2183"/>
  <c r="AA120" i="2183"/>
  <c r="Z120" i="2183"/>
  <c r="Y120" i="2183"/>
  <c r="X120" i="2183"/>
  <c r="W120" i="2183"/>
  <c r="V120" i="2183"/>
  <c r="U120" i="2183"/>
  <c r="T120" i="2183"/>
  <c r="S120" i="2183"/>
  <c r="R120" i="2183"/>
  <c r="Q120" i="2183"/>
  <c r="P120" i="2183"/>
  <c r="O120" i="2183"/>
  <c r="N120" i="2183"/>
  <c r="M120" i="2183"/>
  <c r="L120" i="2183"/>
  <c r="K120" i="2183"/>
  <c r="J120" i="2183"/>
  <c r="I120" i="2183"/>
  <c r="H120" i="2183"/>
  <c r="G120" i="2183"/>
  <c r="F120" i="2183"/>
  <c r="E120" i="2183"/>
  <c r="C120" i="2183"/>
  <c r="AR119" i="2183"/>
  <c r="AQ119" i="2183"/>
  <c r="AP119" i="2183"/>
  <c r="AO119" i="2183"/>
  <c r="AN119" i="2183"/>
  <c r="AM119" i="2183"/>
  <c r="AL119" i="2183"/>
  <c r="AK119" i="2183"/>
  <c r="AJ119" i="2183"/>
  <c r="AI119" i="2183"/>
  <c r="AH119" i="2183"/>
  <c r="AG119" i="2183"/>
  <c r="AF119" i="2183"/>
  <c r="AE119" i="2183"/>
  <c r="AD119" i="2183"/>
  <c r="AC119" i="2183"/>
  <c r="AB119" i="2183"/>
  <c r="AA119" i="2183"/>
  <c r="Z119" i="2183"/>
  <c r="Y119" i="2183"/>
  <c r="X119" i="2183"/>
  <c r="W119" i="2183"/>
  <c r="V119" i="2183"/>
  <c r="U119" i="2183"/>
  <c r="T119" i="2183"/>
  <c r="S119" i="2183"/>
  <c r="R119" i="2183"/>
  <c r="Q119" i="2183"/>
  <c r="P119" i="2183"/>
  <c r="O119" i="2183"/>
  <c r="N119" i="2183"/>
  <c r="M119" i="2183"/>
  <c r="L119" i="2183"/>
  <c r="K119" i="2183"/>
  <c r="J119" i="2183"/>
  <c r="I119" i="2183"/>
  <c r="H119" i="2183"/>
  <c r="G119" i="2183"/>
  <c r="F119" i="2183"/>
  <c r="E119" i="2183"/>
  <c r="AR118" i="2183"/>
  <c r="AQ118" i="2183"/>
  <c r="AP118" i="2183"/>
  <c r="AO118" i="2183"/>
  <c r="AN118" i="2183"/>
  <c r="AM118" i="2183"/>
  <c r="AL118" i="2183"/>
  <c r="AK118" i="2183"/>
  <c r="AJ118" i="2183"/>
  <c r="AI118" i="2183"/>
  <c r="AH118" i="2183"/>
  <c r="AG118" i="2183"/>
  <c r="AF118" i="2183"/>
  <c r="AE118" i="2183"/>
  <c r="AD118" i="2183"/>
  <c r="AC118" i="2183"/>
  <c r="AB118" i="2183"/>
  <c r="AA118" i="2183"/>
  <c r="Z118" i="2183"/>
  <c r="Y118" i="2183"/>
  <c r="S118" i="2183"/>
  <c r="R118" i="2183"/>
  <c r="Q118" i="2183"/>
  <c r="P118" i="2183"/>
  <c r="O118" i="2183"/>
  <c r="N118" i="2183"/>
  <c r="M118" i="2183"/>
  <c r="L118" i="2183"/>
  <c r="K118" i="2183"/>
  <c r="J118" i="2183"/>
  <c r="I118" i="2183"/>
  <c r="H118" i="2183"/>
  <c r="G118" i="2183"/>
  <c r="F118" i="2183"/>
  <c r="E118" i="2183"/>
  <c r="AR117" i="2183"/>
  <c r="AQ117" i="2183"/>
  <c r="AP117" i="2183"/>
  <c r="AO117" i="2183"/>
  <c r="AN117" i="2183"/>
  <c r="AM117" i="2183"/>
  <c r="AL117" i="2183"/>
  <c r="AK117" i="2183"/>
  <c r="AJ117" i="2183"/>
  <c r="AI117" i="2183"/>
  <c r="AH117" i="2183"/>
  <c r="AG117" i="2183"/>
  <c r="AF117" i="2183"/>
  <c r="AE117" i="2183"/>
  <c r="AD117" i="2183"/>
  <c r="AC117" i="2183"/>
  <c r="AB117" i="2183"/>
  <c r="AA117" i="2183"/>
  <c r="Z117" i="2183"/>
  <c r="Y117" i="2183"/>
  <c r="X117" i="2183"/>
  <c r="W117" i="2183"/>
  <c r="V117" i="2183"/>
  <c r="U117" i="2183"/>
  <c r="T117" i="2183"/>
  <c r="S117" i="2183"/>
  <c r="R117" i="2183"/>
  <c r="Q117" i="2183"/>
  <c r="P117" i="2183"/>
  <c r="O117" i="2183"/>
  <c r="N117" i="2183"/>
  <c r="M117" i="2183"/>
  <c r="L117" i="2183"/>
  <c r="K117" i="2183"/>
  <c r="J117" i="2183"/>
  <c r="I117" i="2183"/>
  <c r="H117" i="2183"/>
  <c r="G117" i="2183"/>
  <c r="F117" i="2183"/>
  <c r="E117" i="2183"/>
  <c r="AR116" i="2183"/>
  <c r="AQ116" i="2183"/>
  <c r="AQ127" i="2183" s="1"/>
  <c r="AP116" i="2183"/>
  <c r="AP127" i="2183" s="1"/>
  <c r="AO116" i="2183"/>
  <c r="AN116" i="2183"/>
  <c r="AN127" i="2183" s="1"/>
  <c r="AM116" i="2183"/>
  <c r="AM127" i="2183" s="1"/>
  <c r="AL116" i="2183"/>
  <c r="AK116" i="2183"/>
  <c r="AK127" i="2183" s="1"/>
  <c r="AJ116" i="2183"/>
  <c r="AJ127" i="2183" s="1"/>
  <c r="AI116" i="2183"/>
  <c r="AH116" i="2183"/>
  <c r="AH127" i="2183" s="1"/>
  <c r="AG116" i="2183"/>
  <c r="AG127" i="2183" s="1"/>
  <c r="AF116" i="2183"/>
  <c r="AE116" i="2183"/>
  <c r="AE127" i="2183" s="1"/>
  <c r="AD116" i="2183"/>
  <c r="AD127" i="2183" s="1"/>
  <c r="AC116" i="2183"/>
  <c r="AB116" i="2183"/>
  <c r="AB127" i="2183" s="1"/>
  <c r="AA116" i="2183"/>
  <c r="AA127" i="2183" s="1"/>
  <c r="Z116" i="2183"/>
  <c r="Y116" i="2183"/>
  <c r="Y127" i="2183" s="1"/>
  <c r="C114" i="2183"/>
  <c r="AR113" i="2183"/>
  <c r="AQ113" i="2183"/>
  <c r="AP113" i="2183"/>
  <c r="AO113" i="2183"/>
  <c r="AN113" i="2183"/>
  <c r="AM113" i="2183"/>
  <c r="AL113" i="2183"/>
  <c r="AK113" i="2183"/>
  <c r="AJ113" i="2183"/>
  <c r="AI113" i="2183"/>
  <c r="AH113" i="2183"/>
  <c r="AG113" i="2183"/>
  <c r="AF113" i="2183"/>
  <c r="AE113" i="2183"/>
  <c r="AD113" i="2183"/>
  <c r="AC113" i="2183"/>
  <c r="AB113" i="2183"/>
  <c r="AA113" i="2183"/>
  <c r="Z113" i="2183"/>
  <c r="Y113" i="2183"/>
  <c r="X113" i="2183"/>
  <c r="W113" i="2183"/>
  <c r="V113" i="2183"/>
  <c r="U113" i="2183"/>
  <c r="T113" i="2183"/>
  <c r="S113" i="2183"/>
  <c r="R113" i="2183"/>
  <c r="Q113" i="2183"/>
  <c r="P113" i="2183"/>
  <c r="O113" i="2183"/>
  <c r="N113" i="2183"/>
  <c r="M113" i="2183"/>
  <c r="L113" i="2183"/>
  <c r="K113" i="2183"/>
  <c r="J113" i="2183"/>
  <c r="I113" i="2183"/>
  <c r="H113" i="2183"/>
  <c r="G113" i="2183"/>
  <c r="F113" i="2183"/>
  <c r="E113" i="2183"/>
  <c r="AR112" i="2183"/>
  <c r="AQ112" i="2183"/>
  <c r="AP112" i="2183"/>
  <c r="AO112" i="2183"/>
  <c r="AN112" i="2183"/>
  <c r="AM112" i="2183"/>
  <c r="AL112" i="2183"/>
  <c r="AK112" i="2183"/>
  <c r="AJ112" i="2183"/>
  <c r="AI112" i="2183"/>
  <c r="AH112" i="2183"/>
  <c r="AG112" i="2183"/>
  <c r="AF112" i="2183"/>
  <c r="AE112" i="2183"/>
  <c r="AD112" i="2183"/>
  <c r="AC112" i="2183"/>
  <c r="AB112" i="2183"/>
  <c r="AA112" i="2183"/>
  <c r="Z112" i="2183"/>
  <c r="Y112" i="2183"/>
  <c r="X112" i="2183"/>
  <c r="W112" i="2183"/>
  <c r="V112" i="2183"/>
  <c r="U112" i="2183"/>
  <c r="T112" i="2183"/>
  <c r="S112" i="2183"/>
  <c r="R112" i="2183"/>
  <c r="Q112" i="2183"/>
  <c r="P112" i="2183"/>
  <c r="O112" i="2183"/>
  <c r="N112" i="2183"/>
  <c r="M112" i="2183"/>
  <c r="L112" i="2183"/>
  <c r="K112" i="2183"/>
  <c r="J112" i="2183"/>
  <c r="I112" i="2183"/>
  <c r="H112" i="2183"/>
  <c r="G112" i="2183"/>
  <c r="F112" i="2183"/>
  <c r="E112" i="2183"/>
  <c r="C112" i="2183"/>
  <c r="C111" i="2183"/>
  <c r="AR104" i="2183"/>
  <c r="AQ104" i="2183"/>
  <c r="AP104" i="2183"/>
  <c r="AO104" i="2183"/>
  <c r="AN104" i="2183"/>
  <c r="AM104" i="2183"/>
  <c r="AL104" i="2183"/>
  <c r="AK104" i="2183"/>
  <c r="AJ104" i="2183"/>
  <c r="AI104" i="2183"/>
  <c r="AH104" i="2183"/>
  <c r="AG104" i="2183"/>
  <c r="AF104" i="2183"/>
  <c r="AE104" i="2183"/>
  <c r="AD104" i="2183"/>
  <c r="AC104" i="2183"/>
  <c r="AB104" i="2183"/>
  <c r="AA104" i="2183"/>
  <c r="Z104" i="2183"/>
  <c r="Y104" i="2183"/>
  <c r="X104" i="2183"/>
  <c r="X118" i="2183" s="1"/>
  <c r="W104" i="2183"/>
  <c r="W118" i="2183" s="1"/>
  <c r="V104" i="2183"/>
  <c r="V118" i="2183" s="1"/>
  <c r="U104" i="2183"/>
  <c r="T104" i="2183"/>
  <c r="S104" i="2183"/>
  <c r="R104" i="2183"/>
  <c r="Q104" i="2183"/>
  <c r="P104" i="2183"/>
  <c r="O104" i="2183"/>
  <c r="N104" i="2183"/>
  <c r="M104" i="2183"/>
  <c r="L104" i="2183"/>
  <c r="K104" i="2183"/>
  <c r="J104" i="2183"/>
  <c r="I104" i="2183"/>
  <c r="H104" i="2183"/>
  <c r="G104" i="2183"/>
  <c r="F104" i="2183"/>
  <c r="E104" i="2183"/>
  <c r="E101" i="2183"/>
  <c r="F101" i="2183" s="1"/>
  <c r="G101" i="2183" s="1"/>
  <c r="H101" i="2183" s="1"/>
  <c r="I101" i="2183" s="1"/>
  <c r="J101" i="2183" s="1"/>
  <c r="K101" i="2183" s="1"/>
  <c r="L101" i="2183" s="1"/>
  <c r="M101" i="2183" s="1"/>
  <c r="N101" i="2183" s="1"/>
  <c r="O101" i="2183" s="1"/>
  <c r="P101" i="2183" s="1"/>
  <c r="Q101" i="2183" s="1"/>
  <c r="R101" i="2183" s="1"/>
  <c r="S101" i="2183" s="1"/>
  <c r="T101" i="2183" s="1"/>
  <c r="U101" i="2183" s="1"/>
  <c r="V101" i="2183" s="1"/>
  <c r="W101" i="2183" s="1"/>
  <c r="X101" i="2183" s="1"/>
  <c r="Y101" i="2183" s="1"/>
  <c r="C87" i="2183"/>
  <c r="D70" i="2183"/>
  <c r="D69" i="2183"/>
  <c r="D68" i="2183"/>
  <c r="C66" i="2183"/>
  <c r="D65" i="2183"/>
  <c r="C64" i="2183"/>
  <c r="D63" i="2183"/>
  <c r="C62" i="2183"/>
  <c r="D61" i="2183"/>
  <c r="C59" i="2183"/>
  <c r="D55" i="2183"/>
  <c r="D54" i="2183"/>
  <c r="D53" i="2183"/>
  <c r="D52" i="2183"/>
  <c r="D50" i="2183"/>
  <c r="D49" i="2183"/>
  <c r="D47" i="2183"/>
  <c r="D46" i="2183"/>
  <c r="C43" i="2183"/>
  <c r="C41" i="2183"/>
  <c r="D37" i="2183"/>
  <c r="C36" i="2183"/>
  <c r="D35" i="2183"/>
  <c r="C34" i="2183"/>
  <c r="D30" i="2183"/>
  <c r="C21" i="2183"/>
  <c r="C20" i="2183"/>
  <c r="E17" i="2183"/>
  <c r="E16" i="2183"/>
  <c r="E13" i="2183"/>
  <c r="E12" i="2183"/>
  <c r="D8" i="2183"/>
  <c r="D7" i="2183"/>
  <c r="D5" i="2183"/>
  <c r="A1" i="2183"/>
  <c r="B171" i="2182"/>
  <c r="B170" i="2182"/>
  <c r="B169" i="2182"/>
  <c r="C165" i="2182"/>
  <c r="B165" i="2182"/>
  <c r="C164" i="2182"/>
  <c r="B164" i="2182"/>
  <c r="B163" i="2182"/>
  <c r="C147" i="2182"/>
  <c r="AR143" i="2182"/>
  <c r="AQ143" i="2182"/>
  <c r="AP143" i="2182"/>
  <c r="AO143" i="2182"/>
  <c r="AN143" i="2182"/>
  <c r="AM143" i="2182"/>
  <c r="AL143" i="2182"/>
  <c r="AK143" i="2182"/>
  <c r="AJ143" i="2182"/>
  <c r="AI143" i="2182"/>
  <c r="AH143" i="2182"/>
  <c r="AG143" i="2182"/>
  <c r="AF143" i="2182"/>
  <c r="AE143" i="2182"/>
  <c r="AD143" i="2182"/>
  <c r="AC143" i="2182"/>
  <c r="AB143" i="2182"/>
  <c r="AA143" i="2182"/>
  <c r="Z143" i="2182"/>
  <c r="Y143" i="2182"/>
  <c r="X143" i="2182"/>
  <c r="W143" i="2182"/>
  <c r="V143" i="2182"/>
  <c r="U143" i="2182"/>
  <c r="T143" i="2182"/>
  <c r="AR141" i="2182"/>
  <c r="AQ141" i="2182"/>
  <c r="AP141" i="2182"/>
  <c r="AO141" i="2182"/>
  <c r="AN141" i="2182"/>
  <c r="AM141" i="2182"/>
  <c r="AL141" i="2182"/>
  <c r="AK141" i="2182"/>
  <c r="AJ141" i="2182"/>
  <c r="AI141" i="2182"/>
  <c r="AH141" i="2182"/>
  <c r="AG141" i="2182"/>
  <c r="AF141" i="2182"/>
  <c r="AE141" i="2182"/>
  <c r="AD141" i="2182"/>
  <c r="AC141" i="2182"/>
  <c r="AB141" i="2182"/>
  <c r="AA141" i="2182"/>
  <c r="Z141" i="2182"/>
  <c r="Y141" i="2182"/>
  <c r="X141" i="2182"/>
  <c r="W141" i="2182"/>
  <c r="V141" i="2182"/>
  <c r="U141" i="2182"/>
  <c r="T141" i="2182"/>
  <c r="C141" i="2182"/>
  <c r="AR132" i="2182"/>
  <c r="AQ132" i="2182"/>
  <c r="AP132" i="2182"/>
  <c r="AO132" i="2182"/>
  <c r="AN132" i="2182"/>
  <c r="AM132" i="2182"/>
  <c r="AL132" i="2182"/>
  <c r="AK132" i="2182"/>
  <c r="AJ132" i="2182"/>
  <c r="AI132" i="2182"/>
  <c r="AH132" i="2182"/>
  <c r="AG132" i="2182"/>
  <c r="AF132" i="2182"/>
  <c r="AE132" i="2182"/>
  <c r="AD132" i="2182"/>
  <c r="AC132" i="2182"/>
  <c r="AB132" i="2182"/>
  <c r="AA132" i="2182"/>
  <c r="Z132" i="2182"/>
  <c r="Y132" i="2182"/>
  <c r="X132" i="2182"/>
  <c r="W132" i="2182"/>
  <c r="V132" i="2182"/>
  <c r="U132" i="2182"/>
  <c r="T132" i="2182"/>
  <c r="AR131" i="2182"/>
  <c r="AR133" i="2182" s="1"/>
  <c r="AQ131" i="2182"/>
  <c r="AQ133" i="2182" s="1"/>
  <c r="AP131" i="2182"/>
  <c r="AO131" i="2182"/>
  <c r="AO133" i="2182" s="1"/>
  <c r="AN131" i="2182"/>
  <c r="AN133" i="2182" s="1"/>
  <c r="AM131" i="2182"/>
  <c r="AL131" i="2182"/>
  <c r="AK131" i="2182"/>
  <c r="AJ131" i="2182"/>
  <c r="AI131" i="2182"/>
  <c r="AI133" i="2182" s="1"/>
  <c r="AH131" i="2182"/>
  <c r="AG131" i="2182"/>
  <c r="AF131" i="2182"/>
  <c r="AE131" i="2182"/>
  <c r="AD131" i="2182"/>
  <c r="AC131" i="2182"/>
  <c r="AB131" i="2182"/>
  <c r="AB133" i="2182" s="1"/>
  <c r="AA131" i="2182"/>
  <c r="Z131" i="2182"/>
  <c r="Y131" i="2182"/>
  <c r="X131" i="2182"/>
  <c r="W131" i="2182"/>
  <c r="V131" i="2182"/>
  <c r="U131" i="2182"/>
  <c r="T131" i="2182"/>
  <c r="T133" i="2182" s="1"/>
  <c r="AR130" i="2182"/>
  <c r="AQ130" i="2182"/>
  <c r="AP130" i="2182"/>
  <c r="AO130" i="2182"/>
  <c r="AN130" i="2182"/>
  <c r="AM130" i="2182"/>
  <c r="AL130" i="2182"/>
  <c r="AK130" i="2182"/>
  <c r="AJ130" i="2182"/>
  <c r="AI130" i="2182"/>
  <c r="AH130" i="2182"/>
  <c r="AG130" i="2182"/>
  <c r="AF130" i="2182"/>
  <c r="AE130" i="2182"/>
  <c r="AD130" i="2182"/>
  <c r="AC130" i="2182"/>
  <c r="AB130" i="2182"/>
  <c r="AA130" i="2182"/>
  <c r="Z130" i="2182"/>
  <c r="Y130" i="2182"/>
  <c r="X130" i="2182"/>
  <c r="W130" i="2182"/>
  <c r="V130" i="2182"/>
  <c r="U130" i="2182"/>
  <c r="T130" i="2182"/>
  <c r="AR121" i="2182"/>
  <c r="AQ121" i="2182"/>
  <c r="AP121" i="2182"/>
  <c r="AO121" i="2182"/>
  <c r="AN121" i="2182"/>
  <c r="AM121" i="2182"/>
  <c r="AL121" i="2182"/>
  <c r="AK121" i="2182"/>
  <c r="AJ121" i="2182"/>
  <c r="AI121" i="2182"/>
  <c r="AH121" i="2182"/>
  <c r="AG121" i="2182"/>
  <c r="AF121" i="2182"/>
  <c r="AE121" i="2182"/>
  <c r="AD121" i="2182"/>
  <c r="AC121" i="2182"/>
  <c r="AB121" i="2182"/>
  <c r="AA121" i="2182"/>
  <c r="Z121" i="2182"/>
  <c r="Y121" i="2182"/>
  <c r="X121" i="2182"/>
  <c r="W121" i="2182"/>
  <c r="V121" i="2182"/>
  <c r="U121" i="2182"/>
  <c r="T121" i="2182"/>
  <c r="S121" i="2182"/>
  <c r="R121" i="2182"/>
  <c r="Q121" i="2182"/>
  <c r="P121" i="2182"/>
  <c r="O121" i="2182"/>
  <c r="N121" i="2182"/>
  <c r="M121" i="2182"/>
  <c r="L121" i="2182"/>
  <c r="K121" i="2182"/>
  <c r="J121" i="2182"/>
  <c r="I121" i="2182"/>
  <c r="H121" i="2182"/>
  <c r="G121" i="2182"/>
  <c r="F121" i="2182"/>
  <c r="E121" i="2182"/>
  <c r="C121" i="2182"/>
  <c r="AR120" i="2182"/>
  <c r="AQ120" i="2182"/>
  <c r="AP120" i="2182"/>
  <c r="AO120" i="2182"/>
  <c r="AN120" i="2182"/>
  <c r="AM120" i="2182"/>
  <c r="AL120" i="2182"/>
  <c r="AK120" i="2182"/>
  <c r="AJ120" i="2182"/>
  <c r="AI120" i="2182"/>
  <c r="AH120" i="2182"/>
  <c r="AG120" i="2182"/>
  <c r="AF120" i="2182"/>
  <c r="AE120" i="2182"/>
  <c r="AD120" i="2182"/>
  <c r="AC120" i="2182"/>
  <c r="AB120" i="2182"/>
  <c r="AA120" i="2182"/>
  <c r="Z120" i="2182"/>
  <c r="Y120" i="2182"/>
  <c r="X120" i="2182"/>
  <c r="W120" i="2182"/>
  <c r="V120" i="2182"/>
  <c r="U120" i="2182"/>
  <c r="T120" i="2182"/>
  <c r="S120" i="2182"/>
  <c r="R120" i="2182"/>
  <c r="Q120" i="2182"/>
  <c r="P120" i="2182"/>
  <c r="O120" i="2182"/>
  <c r="N120" i="2182"/>
  <c r="M120" i="2182"/>
  <c r="L120" i="2182"/>
  <c r="K120" i="2182"/>
  <c r="J120" i="2182"/>
  <c r="I120" i="2182"/>
  <c r="H120" i="2182"/>
  <c r="G120" i="2182"/>
  <c r="F120" i="2182"/>
  <c r="E120" i="2182"/>
  <c r="C120" i="2182"/>
  <c r="AR119" i="2182"/>
  <c r="AQ119" i="2182"/>
  <c r="AP119" i="2182"/>
  <c r="AO119" i="2182"/>
  <c r="AN119" i="2182"/>
  <c r="AM119" i="2182"/>
  <c r="AL119" i="2182"/>
  <c r="AK119" i="2182"/>
  <c r="AJ119" i="2182"/>
  <c r="AI119" i="2182"/>
  <c r="AH119" i="2182"/>
  <c r="AG119" i="2182"/>
  <c r="AF119" i="2182"/>
  <c r="AE119" i="2182"/>
  <c r="AD119" i="2182"/>
  <c r="AC119" i="2182"/>
  <c r="AB119" i="2182"/>
  <c r="AA119" i="2182"/>
  <c r="Z119" i="2182"/>
  <c r="Y119" i="2182"/>
  <c r="X119" i="2182"/>
  <c r="W119" i="2182"/>
  <c r="V119" i="2182"/>
  <c r="U119" i="2182"/>
  <c r="T119" i="2182"/>
  <c r="S119" i="2182"/>
  <c r="R119" i="2182"/>
  <c r="Q119" i="2182"/>
  <c r="P119" i="2182"/>
  <c r="O119" i="2182"/>
  <c r="N119" i="2182"/>
  <c r="M119" i="2182"/>
  <c r="L119" i="2182"/>
  <c r="K119" i="2182"/>
  <c r="J119" i="2182"/>
  <c r="I119" i="2182"/>
  <c r="H119" i="2182"/>
  <c r="G119" i="2182"/>
  <c r="F119" i="2182"/>
  <c r="E119" i="2182"/>
  <c r="AR118" i="2182"/>
  <c r="AQ118" i="2182"/>
  <c r="AP118" i="2182"/>
  <c r="AO118" i="2182"/>
  <c r="AN118" i="2182"/>
  <c r="AM118" i="2182"/>
  <c r="AL118" i="2182"/>
  <c r="AK118" i="2182"/>
  <c r="AJ118" i="2182"/>
  <c r="AI118" i="2182"/>
  <c r="AH118" i="2182"/>
  <c r="AG118" i="2182"/>
  <c r="AF118" i="2182"/>
  <c r="AE118" i="2182"/>
  <c r="AD118" i="2182"/>
  <c r="AC118" i="2182"/>
  <c r="AB118" i="2182"/>
  <c r="AA118" i="2182"/>
  <c r="Z118" i="2182"/>
  <c r="Y118" i="2182"/>
  <c r="S118" i="2182"/>
  <c r="R118" i="2182"/>
  <c r="Q118" i="2182"/>
  <c r="P118" i="2182"/>
  <c r="O118" i="2182"/>
  <c r="N118" i="2182"/>
  <c r="M118" i="2182"/>
  <c r="L118" i="2182"/>
  <c r="K118" i="2182"/>
  <c r="J118" i="2182"/>
  <c r="I118" i="2182"/>
  <c r="H118" i="2182"/>
  <c r="G118" i="2182"/>
  <c r="F118" i="2182"/>
  <c r="E118" i="2182"/>
  <c r="AR117" i="2182"/>
  <c r="AQ117" i="2182"/>
  <c r="AP117" i="2182"/>
  <c r="AO117" i="2182"/>
  <c r="AN117" i="2182"/>
  <c r="AM117" i="2182"/>
  <c r="AL117" i="2182"/>
  <c r="AK117" i="2182"/>
  <c r="AJ117" i="2182"/>
  <c r="AI117" i="2182"/>
  <c r="AH117" i="2182"/>
  <c r="AG117" i="2182"/>
  <c r="AF117" i="2182"/>
  <c r="AE117" i="2182"/>
  <c r="AD117" i="2182"/>
  <c r="AC117" i="2182"/>
  <c r="AB117" i="2182"/>
  <c r="AA117" i="2182"/>
  <c r="Z117" i="2182"/>
  <c r="Y117" i="2182"/>
  <c r="X117" i="2182"/>
  <c r="W117" i="2182"/>
  <c r="V117" i="2182"/>
  <c r="U117" i="2182"/>
  <c r="T117" i="2182"/>
  <c r="S117" i="2182"/>
  <c r="R117" i="2182"/>
  <c r="Q117" i="2182"/>
  <c r="P117" i="2182"/>
  <c r="O117" i="2182"/>
  <c r="N117" i="2182"/>
  <c r="M117" i="2182"/>
  <c r="L117" i="2182"/>
  <c r="K117" i="2182"/>
  <c r="J117" i="2182"/>
  <c r="I117" i="2182"/>
  <c r="H117" i="2182"/>
  <c r="G117" i="2182"/>
  <c r="F117" i="2182"/>
  <c r="E117" i="2182"/>
  <c r="AR116" i="2182"/>
  <c r="AQ116" i="2182"/>
  <c r="AQ127" i="2182" s="1"/>
  <c r="AP116" i="2182"/>
  <c r="AP127" i="2182" s="1"/>
  <c r="AO116" i="2182"/>
  <c r="AN116" i="2182"/>
  <c r="AN127" i="2182" s="1"/>
  <c r="AM116" i="2182"/>
  <c r="AM127" i="2182" s="1"/>
  <c r="AL116" i="2182"/>
  <c r="AK116" i="2182"/>
  <c r="AK127" i="2182" s="1"/>
  <c r="AJ116" i="2182"/>
  <c r="AJ127" i="2182" s="1"/>
  <c r="AI116" i="2182"/>
  <c r="AH116" i="2182"/>
  <c r="AH127" i="2182" s="1"/>
  <c r="AG116" i="2182"/>
  <c r="AG127" i="2182" s="1"/>
  <c r="AF116" i="2182"/>
  <c r="AE116" i="2182"/>
  <c r="AE127" i="2182" s="1"/>
  <c r="AD116" i="2182"/>
  <c r="AD127" i="2182" s="1"/>
  <c r="AC116" i="2182"/>
  <c r="AB116" i="2182"/>
  <c r="AB127" i="2182" s="1"/>
  <c r="AA116" i="2182"/>
  <c r="AA127" i="2182" s="1"/>
  <c r="Z116" i="2182"/>
  <c r="Y116" i="2182"/>
  <c r="Y127" i="2182" s="1"/>
  <c r="C114" i="2182"/>
  <c r="AR113" i="2182"/>
  <c r="AQ113" i="2182"/>
  <c r="AP113" i="2182"/>
  <c r="AO113" i="2182"/>
  <c r="AN113" i="2182"/>
  <c r="AM113" i="2182"/>
  <c r="AL113" i="2182"/>
  <c r="AK113" i="2182"/>
  <c r="AJ113" i="2182"/>
  <c r="AI113" i="2182"/>
  <c r="AH113" i="2182"/>
  <c r="AG113" i="2182"/>
  <c r="AF113" i="2182"/>
  <c r="AE113" i="2182"/>
  <c r="AD113" i="2182"/>
  <c r="AC113" i="2182"/>
  <c r="AB113" i="2182"/>
  <c r="AA113" i="2182"/>
  <c r="Z113" i="2182"/>
  <c r="Y113" i="2182"/>
  <c r="X113" i="2182"/>
  <c r="W113" i="2182"/>
  <c r="V113" i="2182"/>
  <c r="U113" i="2182"/>
  <c r="T113" i="2182"/>
  <c r="S113" i="2182"/>
  <c r="R113" i="2182"/>
  <c r="Q113" i="2182"/>
  <c r="P113" i="2182"/>
  <c r="O113" i="2182"/>
  <c r="N113" i="2182"/>
  <c r="M113" i="2182"/>
  <c r="L113" i="2182"/>
  <c r="K113" i="2182"/>
  <c r="J113" i="2182"/>
  <c r="I113" i="2182"/>
  <c r="H113" i="2182"/>
  <c r="G113" i="2182"/>
  <c r="F113" i="2182"/>
  <c r="E113" i="2182"/>
  <c r="AR112" i="2182"/>
  <c r="AQ112" i="2182"/>
  <c r="AP112" i="2182"/>
  <c r="AO112" i="2182"/>
  <c r="AN112" i="2182"/>
  <c r="AM112" i="2182"/>
  <c r="AL112" i="2182"/>
  <c r="AK112" i="2182"/>
  <c r="AJ112" i="2182"/>
  <c r="AI112" i="2182"/>
  <c r="AH112" i="2182"/>
  <c r="AG112" i="2182"/>
  <c r="AF112" i="2182"/>
  <c r="AE112" i="2182"/>
  <c r="AD112" i="2182"/>
  <c r="AC112" i="2182"/>
  <c r="AB112" i="2182"/>
  <c r="AA112" i="2182"/>
  <c r="Z112" i="2182"/>
  <c r="Y112" i="2182"/>
  <c r="X112" i="2182"/>
  <c r="W112" i="2182"/>
  <c r="V112" i="2182"/>
  <c r="U112" i="2182"/>
  <c r="T112" i="2182"/>
  <c r="S112" i="2182"/>
  <c r="R112" i="2182"/>
  <c r="Q112" i="2182"/>
  <c r="P112" i="2182"/>
  <c r="O112" i="2182"/>
  <c r="N112" i="2182"/>
  <c r="M112" i="2182"/>
  <c r="L112" i="2182"/>
  <c r="K112" i="2182"/>
  <c r="J112" i="2182"/>
  <c r="I112" i="2182"/>
  <c r="H112" i="2182"/>
  <c r="G112" i="2182"/>
  <c r="F112" i="2182"/>
  <c r="E112" i="2182"/>
  <c r="C112" i="2182"/>
  <c r="C111" i="2182"/>
  <c r="AR104" i="2182"/>
  <c r="AQ104" i="2182"/>
  <c r="AP104" i="2182"/>
  <c r="AO104" i="2182"/>
  <c r="AN104" i="2182"/>
  <c r="AM104" i="2182"/>
  <c r="AL104" i="2182"/>
  <c r="AK104" i="2182"/>
  <c r="AJ104" i="2182"/>
  <c r="AI104" i="2182"/>
  <c r="AH104" i="2182"/>
  <c r="AG104" i="2182"/>
  <c r="AF104" i="2182"/>
  <c r="AE104" i="2182"/>
  <c r="AD104" i="2182"/>
  <c r="AC104" i="2182"/>
  <c r="AB104" i="2182"/>
  <c r="AA104" i="2182"/>
  <c r="Z104" i="2182"/>
  <c r="Y104" i="2182"/>
  <c r="X104" i="2182"/>
  <c r="W104" i="2182"/>
  <c r="W118" i="2182" s="1"/>
  <c r="V104" i="2182"/>
  <c r="V118" i="2182" s="1"/>
  <c r="U104" i="2182"/>
  <c r="U118" i="2182" s="1"/>
  <c r="T104" i="2182"/>
  <c r="T118" i="2182" s="1"/>
  <c r="S104" i="2182"/>
  <c r="R104" i="2182"/>
  <c r="Q104" i="2182"/>
  <c r="P104" i="2182"/>
  <c r="O104" i="2182"/>
  <c r="N104" i="2182"/>
  <c r="M104" i="2182"/>
  <c r="L104" i="2182"/>
  <c r="K104" i="2182"/>
  <c r="J104" i="2182"/>
  <c r="I104" i="2182"/>
  <c r="H104" i="2182"/>
  <c r="G104" i="2182"/>
  <c r="F104" i="2182"/>
  <c r="E104" i="2182"/>
  <c r="W101" i="2182"/>
  <c r="X101" i="2182" s="1"/>
  <c r="Y101" i="2182" s="1"/>
  <c r="E101" i="2182"/>
  <c r="F101" i="2182" s="1"/>
  <c r="G101" i="2182" s="1"/>
  <c r="H101" i="2182" s="1"/>
  <c r="I101" i="2182" s="1"/>
  <c r="J101" i="2182" s="1"/>
  <c r="K101" i="2182" s="1"/>
  <c r="L101" i="2182" s="1"/>
  <c r="M101" i="2182" s="1"/>
  <c r="N101" i="2182" s="1"/>
  <c r="O101" i="2182" s="1"/>
  <c r="P101" i="2182" s="1"/>
  <c r="Q101" i="2182" s="1"/>
  <c r="R101" i="2182" s="1"/>
  <c r="S101" i="2182" s="1"/>
  <c r="T101" i="2182" s="1"/>
  <c r="U101" i="2182" s="1"/>
  <c r="V101" i="2182" s="1"/>
  <c r="C87" i="2182"/>
  <c r="D70" i="2182"/>
  <c r="D69" i="2182"/>
  <c r="D68" i="2182"/>
  <c r="C66" i="2182"/>
  <c r="D65" i="2182"/>
  <c r="C64" i="2182"/>
  <c r="D63" i="2182"/>
  <c r="C62" i="2182"/>
  <c r="D61" i="2182"/>
  <c r="C59" i="2182"/>
  <c r="D55" i="2182"/>
  <c r="D54" i="2182"/>
  <c r="D53" i="2182"/>
  <c r="D52" i="2182"/>
  <c r="D50" i="2182"/>
  <c r="D49" i="2182"/>
  <c r="D47" i="2182"/>
  <c r="D46" i="2182"/>
  <c r="C43" i="2182"/>
  <c r="C41" i="2182"/>
  <c r="D37" i="2182"/>
  <c r="C36" i="2182"/>
  <c r="D35" i="2182"/>
  <c r="C34" i="2182"/>
  <c r="D30" i="2182"/>
  <c r="C21" i="2182"/>
  <c r="C20" i="2182"/>
  <c r="E17" i="2182"/>
  <c r="E16" i="2182"/>
  <c r="E13" i="2182"/>
  <c r="E12" i="2182"/>
  <c r="D8" i="2182"/>
  <c r="D7" i="2182"/>
  <c r="D5" i="2182"/>
  <c r="A1" i="2182"/>
  <c r="B171" i="2181"/>
  <c r="B170" i="2181"/>
  <c r="B169" i="2181"/>
  <c r="C165" i="2181"/>
  <c r="B165" i="2181"/>
  <c r="C164" i="2181"/>
  <c r="B164" i="2181"/>
  <c r="B163" i="2181"/>
  <c r="C147" i="2181"/>
  <c r="AR143" i="2181"/>
  <c r="AQ143" i="2181"/>
  <c r="AP143" i="2181"/>
  <c r="AO143" i="2181"/>
  <c r="AN143" i="2181"/>
  <c r="AM143" i="2181"/>
  <c r="AL143" i="2181"/>
  <c r="AK143" i="2181"/>
  <c r="AJ143" i="2181"/>
  <c r="AI143" i="2181"/>
  <c r="AH143" i="2181"/>
  <c r="AG143" i="2181"/>
  <c r="AF143" i="2181"/>
  <c r="AE143" i="2181"/>
  <c r="AD143" i="2181"/>
  <c r="AC143" i="2181"/>
  <c r="AB143" i="2181"/>
  <c r="AA143" i="2181"/>
  <c r="Z143" i="2181"/>
  <c r="Y143" i="2181"/>
  <c r="X143" i="2181"/>
  <c r="W143" i="2181"/>
  <c r="V143" i="2181"/>
  <c r="U143" i="2181"/>
  <c r="T143" i="2181"/>
  <c r="AR141" i="2181"/>
  <c r="AQ141" i="2181"/>
  <c r="AP141" i="2181"/>
  <c r="AO141" i="2181"/>
  <c r="AN141" i="2181"/>
  <c r="AM141" i="2181"/>
  <c r="AL141" i="2181"/>
  <c r="AK141" i="2181"/>
  <c r="AJ141" i="2181"/>
  <c r="AI141" i="2181"/>
  <c r="AH141" i="2181"/>
  <c r="AG141" i="2181"/>
  <c r="AF141" i="2181"/>
  <c r="AE141" i="2181"/>
  <c r="AD141" i="2181"/>
  <c r="AC141" i="2181"/>
  <c r="AB141" i="2181"/>
  <c r="AA141" i="2181"/>
  <c r="Z141" i="2181"/>
  <c r="Y141" i="2181"/>
  <c r="X141" i="2181"/>
  <c r="W141" i="2181"/>
  <c r="V141" i="2181"/>
  <c r="U141" i="2181"/>
  <c r="T141" i="2181"/>
  <c r="C141" i="2181"/>
  <c r="AR132" i="2181"/>
  <c r="AQ132" i="2181"/>
  <c r="AP132" i="2181"/>
  <c r="AO132" i="2181"/>
  <c r="AN132" i="2181"/>
  <c r="AM132" i="2181"/>
  <c r="AL132" i="2181"/>
  <c r="AK132" i="2181"/>
  <c r="AJ132" i="2181"/>
  <c r="AI132" i="2181"/>
  <c r="AH132" i="2181"/>
  <c r="AG132" i="2181"/>
  <c r="AF132" i="2181"/>
  <c r="AE132" i="2181"/>
  <c r="AD132" i="2181"/>
  <c r="AC132" i="2181"/>
  <c r="AB132" i="2181"/>
  <c r="AA132" i="2181"/>
  <c r="Z132" i="2181"/>
  <c r="Y132" i="2181"/>
  <c r="X132" i="2181"/>
  <c r="W132" i="2181"/>
  <c r="V132" i="2181"/>
  <c r="U132" i="2181"/>
  <c r="T132" i="2181"/>
  <c r="AR131" i="2181"/>
  <c r="AR133" i="2181" s="1"/>
  <c r="AQ131" i="2181"/>
  <c r="AQ133" i="2181" s="1"/>
  <c r="AP131" i="2181"/>
  <c r="AO131" i="2181"/>
  <c r="AO133" i="2181" s="1"/>
  <c r="AN131" i="2181"/>
  <c r="AM131" i="2181"/>
  <c r="AL131" i="2181"/>
  <c r="AL133" i="2181" s="1"/>
  <c r="AK131" i="2181"/>
  <c r="AJ131" i="2181"/>
  <c r="AJ133" i="2181" s="1"/>
  <c r="AI131" i="2181"/>
  <c r="AI133" i="2181" s="1"/>
  <c r="AH131" i="2181"/>
  <c r="AG131" i="2181"/>
  <c r="AG133" i="2181" s="1"/>
  <c r="AF131" i="2181"/>
  <c r="AE131" i="2181"/>
  <c r="AD131" i="2181"/>
  <c r="AD133" i="2181" s="1"/>
  <c r="AC131" i="2181"/>
  <c r="AB131" i="2181"/>
  <c r="AA131" i="2181"/>
  <c r="AA133" i="2181" s="1"/>
  <c r="Z131" i="2181"/>
  <c r="Y131" i="2181"/>
  <c r="X131" i="2181"/>
  <c r="X133" i="2181" s="1"/>
  <c r="W131" i="2181"/>
  <c r="V131" i="2181"/>
  <c r="V133" i="2181" s="1"/>
  <c r="U131" i="2181"/>
  <c r="T131" i="2181"/>
  <c r="T133" i="2181" s="1"/>
  <c r="AR130" i="2181"/>
  <c r="AQ130" i="2181"/>
  <c r="AP130" i="2181"/>
  <c r="AO130" i="2181"/>
  <c r="AN130" i="2181"/>
  <c r="AM130" i="2181"/>
  <c r="AL130" i="2181"/>
  <c r="AK130" i="2181"/>
  <c r="AJ130" i="2181"/>
  <c r="AI130" i="2181"/>
  <c r="AH130" i="2181"/>
  <c r="AG130" i="2181"/>
  <c r="AF130" i="2181"/>
  <c r="AE130" i="2181"/>
  <c r="AD130" i="2181"/>
  <c r="AC130" i="2181"/>
  <c r="AB130" i="2181"/>
  <c r="AA130" i="2181"/>
  <c r="Z130" i="2181"/>
  <c r="Y130" i="2181"/>
  <c r="X130" i="2181"/>
  <c r="W130" i="2181"/>
  <c r="V130" i="2181"/>
  <c r="U130" i="2181"/>
  <c r="T130" i="2181"/>
  <c r="AR121" i="2181"/>
  <c r="AQ121" i="2181"/>
  <c r="AP121" i="2181"/>
  <c r="AO121" i="2181"/>
  <c r="AN121" i="2181"/>
  <c r="AM121" i="2181"/>
  <c r="AL121" i="2181"/>
  <c r="AK121" i="2181"/>
  <c r="AJ121" i="2181"/>
  <c r="AI121" i="2181"/>
  <c r="AH121" i="2181"/>
  <c r="AG121" i="2181"/>
  <c r="AF121" i="2181"/>
  <c r="AE121" i="2181"/>
  <c r="AD121" i="2181"/>
  <c r="AC121" i="2181"/>
  <c r="AB121" i="2181"/>
  <c r="AA121" i="2181"/>
  <c r="Z121" i="2181"/>
  <c r="Y121" i="2181"/>
  <c r="X121" i="2181"/>
  <c r="W121" i="2181"/>
  <c r="V121" i="2181"/>
  <c r="U121" i="2181"/>
  <c r="T121" i="2181"/>
  <c r="S121" i="2181"/>
  <c r="R121" i="2181"/>
  <c r="Q121" i="2181"/>
  <c r="P121" i="2181"/>
  <c r="O121" i="2181"/>
  <c r="N121" i="2181"/>
  <c r="M121" i="2181"/>
  <c r="L121" i="2181"/>
  <c r="K121" i="2181"/>
  <c r="J121" i="2181"/>
  <c r="I121" i="2181"/>
  <c r="H121" i="2181"/>
  <c r="G121" i="2181"/>
  <c r="F121" i="2181"/>
  <c r="E121" i="2181"/>
  <c r="C121" i="2181"/>
  <c r="AR120" i="2181"/>
  <c r="AQ120" i="2181"/>
  <c r="AP120" i="2181"/>
  <c r="AO120" i="2181"/>
  <c r="AN120" i="2181"/>
  <c r="AM120" i="2181"/>
  <c r="AL120" i="2181"/>
  <c r="AK120" i="2181"/>
  <c r="AJ120" i="2181"/>
  <c r="AI120" i="2181"/>
  <c r="AH120" i="2181"/>
  <c r="AG120" i="2181"/>
  <c r="AF120" i="2181"/>
  <c r="AE120" i="2181"/>
  <c r="AD120" i="2181"/>
  <c r="AC120" i="2181"/>
  <c r="AB120" i="2181"/>
  <c r="AA120" i="2181"/>
  <c r="Z120" i="2181"/>
  <c r="Y120" i="2181"/>
  <c r="X120" i="2181"/>
  <c r="W120" i="2181"/>
  <c r="V120" i="2181"/>
  <c r="U120" i="2181"/>
  <c r="T120" i="2181"/>
  <c r="S120" i="2181"/>
  <c r="R120" i="2181"/>
  <c r="Q120" i="2181"/>
  <c r="P120" i="2181"/>
  <c r="O120" i="2181"/>
  <c r="N120" i="2181"/>
  <c r="M120" i="2181"/>
  <c r="L120" i="2181"/>
  <c r="K120" i="2181"/>
  <c r="J120" i="2181"/>
  <c r="I120" i="2181"/>
  <c r="H120" i="2181"/>
  <c r="G120" i="2181"/>
  <c r="F120" i="2181"/>
  <c r="E120" i="2181"/>
  <c r="C120" i="2181"/>
  <c r="AR119" i="2181"/>
  <c r="AQ119" i="2181"/>
  <c r="AP119" i="2181"/>
  <c r="AO119" i="2181"/>
  <c r="AN119" i="2181"/>
  <c r="AM119" i="2181"/>
  <c r="AL119" i="2181"/>
  <c r="AK119" i="2181"/>
  <c r="AJ119" i="2181"/>
  <c r="AI119" i="2181"/>
  <c r="AH119" i="2181"/>
  <c r="AG119" i="2181"/>
  <c r="AF119" i="2181"/>
  <c r="AE119" i="2181"/>
  <c r="AD119" i="2181"/>
  <c r="AC119" i="2181"/>
  <c r="AB119" i="2181"/>
  <c r="AA119" i="2181"/>
  <c r="Z119" i="2181"/>
  <c r="Y119" i="2181"/>
  <c r="X119" i="2181"/>
  <c r="W119" i="2181"/>
  <c r="V119" i="2181"/>
  <c r="U119" i="2181"/>
  <c r="T119" i="2181"/>
  <c r="S119" i="2181"/>
  <c r="R119" i="2181"/>
  <c r="Q119" i="2181"/>
  <c r="P119" i="2181"/>
  <c r="O119" i="2181"/>
  <c r="N119" i="2181"/>
  <c r="M119" i="2181"/>
  <c r="L119" i="2181"/>
  <c r="K119" i="2181"/>
  <c r="J119" i="2181"/>
  <c r="I119" i="2181"/>
  <c r="H119" i="2181"/>
  <c r="G119" i="2181"/>
  <c r="F119" i="2181"/>
  <c r="E119" i="2181"/>
  <c r="AR118" i="2181"/>
  <c r="AQ118" i="2181"/>
  <c r="AP118" i="2181"/>
  <c r="AO118" i="2181"/>
  <c r="AN118" i="2181"/>
  <c r="AM118" i="2181"/>
  <c r="AL118" i="2181"/>
  <c r="AK118" i="2181"/>
  <c r="AJ118" i="2181"/>
  <c r="AI118" i="2181"/>
  <c r="AH118" i="2181"/>
  <c r="AG118" i="2181"/>
  <c r="AF118" i="2181"/>
  <c r="AE118" i="2181"/>
  <c r="AD118" i="2181"/>
  <c r="AC118" i="2181"/>
  <c r="AB118" i="2181"/>
  <c r="AA118" i="2181"/>
  <c r="Z118" i="2181"/>
  <c r="Y118" i="2181"/>
  <c r="S118" i="2181"/>
  <c r="R118" i="2181"/>
  <c r="Q118" i="2181"/>
  <c r="P118" i="2181"/>
  <c r="O118" i="2181"/>
  <c r="N118" i="2181"/>
  <c r="M118" i="2181"/>
  <c r="L118" i="2181"/>
  <c r="K118" i="2181"/>
  <c r="J118" i="2181"/>
  <c r="I118" i="2181"/>
  <c r="H118" i="2181"/>
  <c r="G118" i="2181"/>
  <c r="F118" i="2181"/>
  <c r="E118" i="2181"/>
  <c r="AR117" i="2181"/>
  <c r="AQ117" i="2181"/>
  <c r="AP117" i="2181"/>
  <c r="AO117" i="2181"/>
  <c r="AN117" i="2181"/>
  <c r="AM117" i="2181"/>
  <c r="AL117" i="2181"/>
  <c r="AK117" i="2181"/>
  <c r="AJ117" i="2181"/>
  <c r="AI117" i="2181"/>
  <c r="AH117" i="2181"/>
  <c r="AG117" i="2181"/>
  <c r="AF117" i="2181"/>
  <c r="AE117" i="2181"/>
  <c r="AD117" i="2181"/>
  <c r="AC117" i="2181"/>
  <c r="AB117" i="2181"/>
  <c r="AA117" i="2181"/>
  <c r="Z117" i="2181"/>
  <c r="Y117" i="2181"/>
  <c r="X117" i="2181"/>
  <c r="W117" i="2181"/>
  <c r="V117" i="2181"/>
  <c r="U117" i="2181"/>
  <c r="T117" i="2181"/>
  <c r="S117" i="2181"/>
  <c r="R117" i="2181"/>
  <c r="Q117" i="2181"/>
  <c r="P117" i="2181"/>
  <c r="O117" i="2181"/>
  <c r="N117" i="2181"/>
  <c r="M117" i="2181"/>
  <c r="L117" i="2181"/>
  <c r="K117" i="2181"/>
  <c r="J117" i="2181"/>
  <c r="I117" i="2181"/>
  <c r="H117" i="2181"/>
  <c r="G117" i="2181"/>
  <c r="F117" i="2181"/>
  <c r="E117" i="2181"/>
  <c r="AR116" i="2181"/>
  <c r="AR127" i="2181" s="1"/>
  <c r="AQ116" i="2181"/>
  <c r="AQ127" i="2181" s="1"/>
  <c r="AP116" i="2181"/>
  <c r="AP127" i="2181" s="1"/>
  <c r="AO116" i="2181"/>
  <c r="AO127" i="2181" s="1"/>
  <c r="AN116" i="2181"/>
  <c r="AN127" i="2181" s="1"/>
  <c r="AM116" i="2181"/>
  <c r="AM127" i="2181" s="1"/>
  <c r="AL116" i="2181"/>
  <c r="AL127" i="2181" s="1"/>
  <c r="AK116" i="2181"/>
  <c r="AK127" i="2181" s="1"/>
  <c r="AJ116" i="2181"/>
  <c r="AJ127" i="2181" s="1"/>
  <c r="AI116" i="2181"/>
  <c r="AI127" i="2181" s="1"/>
  <c r="AH116" i="2181"/>
  <c r="AH127" i="2181" s="1"/>
  <c r="AG116" i="2181"/>
  <c r="AG127" i="2181" s="1"/>
  <c r="AF116" i="2181"/>
  <c r="AF127" i="2181" s="1"/>
  <c r="AE116" i="2181"/>
  <c r="AE127" i="2181" s="1"/>
  <c r="AD116" i="2181"/>
  <c r="AD127" i="2181" s="1"/>
  <c r="AC116" i="2181"/>
  <c r="AC127" i="2181" s="1"/>
  <c r="AB116" i="2181"/>
  <c r="AB127" i="2181" s="1"/>
  <c r="AA116" i="2181"/>
  <c r="AA127" i="2181" s="1"/>
  <c r="Z116" i="2181"/>
  <c r="Z127" i="2181" s="1"/>
  <c r="Y116" i="2181"/>
  <c r="Y127" i="2181" s="1"/>
  <c r="C114" i="2181"/>
  <c r="AR113" i="2181"/>
  <c r="AQ113" i="2181"/>
  <c r="AP113" i="2181"/>
  <c r="AO113" i="2181"/>
  <c r="AN113" i="2181"/>
  <c r="AM113" i="2181"/>
  <c r="AL113" i="2181"/>
  <c r="AK113" i="2181"/>
  <c r="AJ113" i="2181"/>
  <c r="AI113" i="2181"/>
  <c r="AH113" i="2181"/>
  <c r="AG113" i="2181"/>
  <c r="AF113" i="2181"/>
  <c r="AE113" i="2181"/>
  <c r="AD113" i="2181"/>
  <c r="AC113" i="2181"/>
  <c r="AB113" i="2181"/>
  <c r="AA113" i="2181"/>
  <c r="Z113" i="2181"/>
  <c r="Y113" i="2181"/>
  <c r="X113" i="2181"/>
  <c r="W113" i="2181"/>
  <c r="V113" i="2181"/>
  <c r="U113" i="2181"/>
  <c r="T113" i="2181"/>
  <c r="S113" i="2181"/>
  <c r="R113" i="2181"/>
  <c r="Q113" i="2181"/>
  <c r="P113" i="2181"/>
  <c r="O113" i="2181"/>
  <c r="N113" i="2181"/>
  <c r="M113" i="2181"/>
  <c r="L113" i="2181"/>
  <c r="K113" i="2181"/>
  <c r="J113" i="2181"/>
  <c r="I113" i="2181"/>
  <c r="H113" i="2181"/>
  <c r="G113" i="2181"/>
  <c r="F113" i="2181"/>
  <c r="E113" i="2181"/>
  <c r="AR112" i="2181"/>
  <c r="AQ112" i="2181"/>
  <c r="AP112" i="2181"/>
  <c r="AO112" i="2181"/>
  <c r="AN112" i="2181"/>
  <c r="AM112" i="2181"/>
  <c r="AL112" i="2181"/>
  <c r="AK112" i="2181"/>
  <c r="AJ112" i="2181"/>
  <c r="AI112" i="2181"/>
  <c r="AH112" i="2181"/>
  <c r="AG112" i="2181"/>
  <c r="AF112" i="2181"/>
  <c r="AE112" i="2181"/>
  <c r="AD112" i="2181"/>
  <c r="AC112" i="2181"/>
  <c r="AB112" i="2181"/>
  <c r="AA112" i="2181"/>
  <c r="Z112" i="2181"/>
  <c r="Y112" i="2181"/>
  <c r="X112" i="2181"/>
  <c r="W112" i="2181"/>
  <c r="V112" i="2181"/>
  <c r="U112" i="2181"/>
  <c r="T112" i="2181"/>
  <c r="S112" i="2181"/>
  <c r="R112" i="2181"/>
  <c r="Q112" i="2181"/>
  <c r="P112" i="2181"/>
  <c r="O112" i="2181"/>
  <c r="N112" i="2181"/>
  <c r="M112" i="2181"/>
  <c r="L112" i="2181"/>
  <c r="K112" i="2181"/>
  <c r="J112" i="2181"/>
  <c r="I112" i="2181"/>
  <c r="H112" i="2181"/>
  <c r="G112" i="2181"/>
  <c r="F112" i="2181"/>
  <c r="E112" i="2181"/>
  <c r="C112" i="2181"/>
  <c r="C111" i="2181"/>
  <c r="AR104" i="2181"/>
  <c r="AQ104" i="2181"/>
  <c r="AP104" i="2181"/>
  <c r="AO104" i="2181"/>
  <c r="AN104" i="2181"/>
  <c r="AM104" i="2181"/>
  <c r="AL104" i="2181"/>
  <c r="AK104" i="2181"/>
  <c r="AJ104" i="2181"/>
  <c r="AI104" i="2181"/>
  <c r="AH104" i="2181"/>
  <c r="AG104" i="2181"/>
  <c r="AF104" i="2181"/>
  <c r="AE104" i="2181"/>
  <c r="AD104" i="2181"/>
  <c r="AC104" i="2181"/>
  <c r="AB104" i="2181"/>
  <c r="AA104" i="2181"/>
  <c r="Z104" i="2181"/>
  <c r="Y104" i="2181"/>
  <c r="X104" i="2181"/>
  <c r="X118" i="2181" s="1"/>
  <c r="W104" i="2181"/>
  <c r="W118" i="2181" s="1"/>
  <c r="V104" i="2181"/>
  <c r="V118" i="2181" s="1"/>
  <c r="U104" i="2181"/>
  <c r="T104" i="2181"/>
  <c r="S104" i="2181"/>
  <c r="R104" i="2181"/>
  <c r="Q104" i="2181"/>
  <c r="P104" i="2181"/>
  <c r="O104" i="2181"/>
  <c r="N104" i="2181"/>
  <c r="M104" i="2181"/>
  <c r="L104" i="2181"/>
  <c r="K104" i="2181"/>
  <c r="J104" i="2181"/>
  <c r="I104" i="2181"/>
  <c r="H104" i="2181"/>
  <c r="G104" i="2181"/>
  <c r="F104" i="2181"/>
  <c r="E104" i="2181"/>
  <c r="E101" i="2181"/>
  <c r="F101" i="2181" s="1"/>
  <c r="G101" i="2181" s="1"/>
  <c r="H101" i="2181" s="1"/>
  <c r="I101" i="2181" s="1"/>
  <c r="J101" i="2181" s="1"/>
  <c r="K101" i="2181" s="1"/>
  <c r="L101" i="2181" s="1"/>
  <c r="M101" i="2181" s="1"/>
  <c r="N101" i="2181" s="1"/>
  <c r="O101" i="2181" s="1"/>
  <c r="P101" i="2181" s="1"/>
  <c r="Q101" i="2181" s="1"/>
  <c r="R101" i="2181" s="1"/>
  <c r="S101" i="2181" s="1"/>
  <c r="T101" i="2181" s="1"/>
  <c r="U101" i="2181" s="1"/>
  <c r="V101" i="2181" s="1"/>
  <c r="W101" i="2181" s="1"/>
  <c r="X101" i="2181" s="1"/>
  <c r="Y101" i="2181" s="1"/>
  <c r="C87" i="2181"/>
  <c r="D70" i="2181"/>
  <c r="D69" i="2181"/>
  <c r="D68" i="2181"/>
  <c r="C66" i="2181"/>
  <c r="D65" i="2181"/>
  <c r="C64" i="2181"/>
  <c r="D63" i="2181"/>
  <c r="C62" i="2181"/>
  <c r="D61" i="2181"/>
  <c r="C59" i="2181"/>
  <c r="D55" i="2181"/>
  <c r="D54" i="2181"/>
  <c r="D53" i="2181"/>
  <c r="D52" i="2181"/>
  <c r="D50" i="2181"/>
  <c r="D49" i="2181"/>
  <c r="D47" i="2181"/>
  <c r="D46" i="2181"/>
  <c r="C43" i="2181"/>
  <c r="C41" i="2181"/>
  <c r="D37" i="2181"/>
  <c r="C36" i="2181"/>
  <c r="D35" i="2181"/>
  <c r="C34" i="2181"/>
  <c r="D30" i="2181"/>
  <c r="C21" i="2181"/>
  <c r="C20" i="2181"/>
  <c r="E17" i="2181"/>
  <c r="E16" i="2181"/>
  <c r="E13" i="2181"/>
  <c r="E12" i="2181"/>
  <c r="D8" i="2181"/>
  <c r="D7" i="2181"/>
  <c r="D5" i="2181"/>
  <c r="A1" i="2181"/>
  <c r="B171" i="2180"/>
  <c r="B170" i="2180"/>
  <c r="B169" i="2180"/>
  <c r="C165" i="2180"/>
  <c r="B165" i="2180"/>
  <c r="C164" i="2180"/>
  <c r="B164" i="2180"/>
  <c r="B163" i="2180"/>
  <c r="C147" i="2180"/>
  <c r="AR143" i="2180"/>
  <c r="AQ143" i="2180"/>
  <c r="AP143" i="2180"/>
  <c r="AO143" i="2180"/>
  <c r="AN143" i="2180"/>
  <c r="AM143" i="2180"/>
  <c r="AL143" i="2180"/>
  <c r="AK143" i="2180"/>
  <c r="AJ143" i="2180"/>
  <c r="AI143" i="2180"/>
  <c r="AH143" i="2180"/>
  <c r="AG143" i="2180"/>
  <c r="AF143" i="2180"/>
  <c r="AE143" i="2180"/>
  <c r="AD143" i="2180"/>
  <c r="AC143" i="2180"/>
  <c r="AB143" i="2180"/>
  <c r="AA143" i="2180"/>
  <c r="Z143" i="2180"/>
  <c r="Y143" i="2180"/>
  <c r="X143" i="2180"/>
  <c r="W143" i="2180"/>
  <c r="V143" i="2180"/>
  <c r="U143" i="2180"/>
  <c r="T143" i="2180"/>
  <c r="AR141" i="2180"/>
  <c r="AQ141" i="2180"/>
  <c r="AP141" i="2180"/>
  <c r="AO141" i="2180"/>
  <c r="AN141" i="2180"/>
  <c r="AM141" i="2180"/>
  <c r="AL141" i="2180"/>
  <c r="AK141" i="2180"/>
  <c r="AJ141" i="2180"/>
  <c r="AI141" i="2180"/>
  <c r="AH141" i="2180"/>
  <c r="AG141" i="2180"/>
  <c r="AF141" i="2180"/>
  <c r="AE141" i="2180"/>
  <c r="AD141" i="2180"/>
  <c r="AC141" i="2180"/>
  <c r="AB141" i="2180"/>
  <c r="AA141" i="2180"/>
  <c r="Z141" i="2180"/>
  <c r="Y141" i="2180"/>
  <c r="X141" i="2180"/>
  <c r="W141" i="2180"/>
  <c r="V141" i="2180"/>
  <c r="U141" i="2180"/>
  <c r="T141" i="2180"/>
  <c r="C141" i="2180"/>
  <c r="AR132" i="2180"/>
  <c r="AQ132" i="2180"/>
  <c r="AP132" i="2180"/>
  <c r="AO132" i="2180"/>
  <c r="AN132" i="2180"/>
  <c r="AM132" i="2180"/>
  <c r="AL132" i="2180"/>
  <c r="AK132" i="2180"/>
  <c r="AJ132" i="2180"/>
  <c r="AI132" i="2180"/>
  <c r="AH132" i="2180"/>
  <c r="AG132" i="2180"/>
  <c r="AF132" i="2180"/>
  <c r="AE132" i="2180"/>
  <c r="AD132" i="2180"/>
  <c r="AC132" i="2180"/>
  <c r="AB132" i="2180"/>
  <c r="AA132" i="2180"/>
  <c r="Z132" i="2180"/>
  <c r="Y132" i="2180"/>
  <c r="X132" i="2180"/>
  <c r="W132" i="2180"/>
  <c r="V132" i="2180"/>
  <c r="U132" i="2180"/>
  <c r="T132" i="2180"/>
  <c r="AR131" i="2180"/>
  <c r="AQ131" i="2180"/>
  <c r="AQ133" i="2180" s="1"/>
  <c r="AP131" i="2180"/>
  <c r="AP133" i="2180" s="1"/>
  <c r="AO131" i="2180"/>
  <c r="AO133" i="2180" s="1"/>
  <c r="AN131" i="2180"/>
  <c r="AM131" i="2180"/>
  <c r="AL131" i="2180"/>
  <c r="AK131" i="2180"/>
  <c r="AK133" i="2180" s="1"/>
  <c r="AJ131" i="2180"/>
  <c r="AI131" i="2180"/>
  <c r="AI133" i="2180" s="1"/>
  <c r="AH131" i="2180"/>
  <c r="AH133" i="2180" s="1"/>
  <c r="AG131" i="2180"/>
  <c r="AG133" i="2180" s="1"/>
  <c r="AF131" i="2180"/>
  <c r="AE131" i="2180"/>
  <c r="AE133" i="2180" s="1"/>
  <c r="AD131" i="2180"/>
  <c r="AC131" i="2180"/>
  <c r="AC133" i="2180" s="1"/>
  <c r="AB131" i="2180"/>
  <c r="AB133" i="2180" s="1"/>
  <c r="AA131" i="2180"/>
  <c r="Z131" i="2180"/>
  <c r="Z133" i="2180" s="1"/>
  <c r="Y131" i="2180"/>
  <c r="Y133" i="2180" s="1"/>
  <c r="X131" i="2180"/>
  <c r="W131" i="2180"/>
  <c r="W133" i="2180" s="1"/>
  <c r="V131" i="2180"/>
  <c r="U131" i="2180"/>
  <c r="U133" i="2180" s="1"/>
  <c r="T131" i="2180"/>
  <c r="AR130" i="2180"/>
  <c r="AQ130" i="2180"/>
  <c r="AP130" i="2180"/>
  <c r="AO130" i="2180"/>
  <c r="AN130" i="2180"/>
  <c r="AM130" i="2180"/>
  <c r="AL130" i="2180"/>
  <c r="AK130" i="2180"/>
  <c r="AJ130" i="2180"/>
  <c r="AI130" i="2180"/>
  <c r="AH130" i="2180"/>
  <c r="AG130" i="2180"/>
  <c r="AF130" i="2180"/>
  <c r="AE130" i="2180"/>
  <c r="AD130" i="2180"/>
  <c r="AC130" i="2180"/>
  <c r="AB130" i="2180"/>
  <c r="AA130" i="2180"/>
  <c r="Z130" i="2180"/>
  <c r="Y130" i="2180"/>
  <c r="X130" i="2180"/>
  <c r="W130" i="2180"/>
  <c r="V130" i="2180"/>
  <c r="U130" i="2180"/>
  <c r="T130" i="2180"/>
  <c r="AR121" i="2180"/>
  <c r="AQ121" i="2180"/>
  <c r="AP121" i="2180"/>
  <c r="AO121" i="2180"/>
  <c r="AN121" i="2180"/>
  <c r="AM121" i="2180"/>
  <c r="AL121" i="2180"/>
  <c r="AK121" i="2180"/>
  <c r="AJ121" i="2180"/>
  <c r="AI121" i="2180"/>
  <c r="AH121" i="2180"/>
  <c r="AG121" i="2180"/>
  <c r="AF121" i="2180"/>
  <c r="AE121" i="2180"/>
  <c r="AD121" i="2180"/>
  <c r="AC121" i="2180"/>
  <c r="AB121" i="2180"/>
  <c r="AA121" i="2180"/>
  <c r="Z121" i="2180"/>
  <c r="Y121" i="2180"/>
  <c r="X121" i="2180"/>
  <c r="W121" i="2180"/>
  <c r="V121" i="2180"/>
  <c r="U121" i="2180"/>
  <c r="T121" i="2180"/>
  <c r="S121" i="2180"/>
  <c r="R121" i="2180"/>
  <c r="Q121" i="2180"/>
  <c r="P121" i="2180"/>
  <c r="O121" i="2180"/>
  <c r="N121" i="2180"/>
  <c r="M121" i="2180"/>
  <c r="L121" i="2180"/>
  <c r="K121" i="2180"/>
  <c r="J121" i="2180"/>
  <c r="I121" i="2180"/>
  <c r="H121" i="2180"/>
  <c r="G121" i="2180"/>
  <c r="F121" i="2180"/>
  <c r="E121" i="2180"/>
  <c r="C121" i="2180"/>
  <c r="AR120" i="2180"/>
  <c r="AQ120" i="2180"/>
  <c r="AP120" i="2180"/>
  <c r="AO120" i="2180"/>
  <c r="AN120" i="2180"/>
  <c r="AM120" i="2180"/>
  <c r="AL120" i="2180"/>
  <c r="AK120" i="2180"/>
  <c r="AJ120" i="2180"/>
  <c r="AI120" i="2180"/>
  <c r="AH120" i="2180"/>
  <c r="AG120" i="2180"/>
  <c r="AF120" i="2180"/>
  <c r="AE120" i="2180"/>
  <c r="AD120" i="2180"/>
  <c r="AC120" i="2180"/>
  <c r="AB120" i="2180"/>
  <c r="AA120" i="2180"/>
  <c r="Z120" i="2180"/>
  <c r="Y120" i="2180"/>
  <c r="X120" i="2180"/>
  <c r="W120" i="2180"/>
  <c r="V120" i="2180"/>
  <c r="U120" i="2180"/>
  <c r="T120" i="2180"/>
  <c r="S120" i="2180"/>
  <c r="R120" i="2180"/>
  <c r="Q120" i="2180"/>
  <c r="P120" i="2180"/>
  <c r="O120" i="2180"/>
  <c r="N120" i="2180"/>
  <c r="M120" i="2180"/>
  <c r="L120" i="2180"/>
  <c r="K120" i="2180"/>
  <c r="J120" i="2180"/>
  <c r="I120" i="2180"/>
  <c r="H120" i="2180"/>
  <c r="G120" i="2180"/>
  <c r="F120" i="2180"/>
  <c r="E120" i="2180"/>
  <c r="C120" i="2180"/>
  <c r="AR119" i="2180"/>
  <c r="AQ119" i="2180"/>
  <c r="AP119" i="2180"/>
  <c r="AO119" i="2180"/>
  <c r="AN119" i="2180"/>
  <c r="AM119" i="2180"/>
  <c r="AL119" i="2180"/>
  <c r="AK119" i="2180"/>
  <c r="AJ119" i="2180"/>
  <c r="AI119" i="2180"/>
  <c r="AH119" i="2180"/>
  <c r="AG119" i="2180"/>
  <c r="AF119" i="2180"/>
  <c r="AE119" i="2180"/>
  <c r="AD119" i="2180"/>
  <c r="AC119" i="2180"/>
  <c r="AB119" i="2180"/>
  <c r="AA119" i="2180"/>
  <c r="Z119" i="2180"/>
  <c r="Y119" i="2180"/>
  <c r="X119" i="2180"/>
  <c r="W119" i="2180"/>
  <c r="V119" i="2180"/>
  <c r="U119" i="2180"/>
  <c r="T119" i="2180"/>
  <c r="S119" i="2180"/>
  <c r="R119" i="2180"/>
  <c r="Q119" i="2180"/>
  <c r="P119" i="2180"/>
  <c r="O119" i="2180"/>
  <c r="N119" i="2180"/>
  <c r="M119" i="2180"/>
  <c r="L119" i="2180"/>
  <c r="K119" i="2180"/>
  <c r="J119" i="2180"/>
  <c r="I119" i="2180"/>
  <c r="H119" i="2180"/>
  <c r="G119" i="2180"/>
  <c r="F119" i="2180"/>
  <c r="E119" i="2180"/>
  <c r="AR118" i="2180"/>
  <c r="AQ118" i="2180"/>
  <c r="AP118" i="2180"/>
  <c r="AO118" i="2180"/>
  <c r="AN118" i="2180"/>
  <c r="AM118" i="2180"/>
  <c r="AL118" i="2180"/>
  <c r="AK118" i="2180"/>
  <c r="AJ118" i="2180"/>
  <c r="AI118" i="2180"/>
  <c r="AH118" i="2180"/>
  <c r="AG118" i="2180"/>
  <c r="AF118" i="2180"/>
  <c r="AE118" i="2180"/>
  <c r="AD118" i="2180"/>
  <c r="AC118" i="2180"/>
  <c r="AB118" i="2180"/>
  <c r="AA118" i="2180"/>
  <c r="Z118" i="2180"/>
  <c r="Y118" i="2180"/>
  <c r="S118" i="2180"/>
  <c r="R118" i="2180"/>
  <c r="Q118" i="2180"/>
  <c r="P118" i="2180"/>
  <c r="O118" i="2180"/>
  <c r="N118" i="2180"/>
  <c r="M118" i="2180"/>
  <c r="L118" i="2180"/>
  <c r="K118" i="2180"/>
  <c r="J118" i="2180"/>
  <c r="I118" i="2180"/>
  <c r="H118" i="2180"/>
  <c r="G118" i="2180"/>
  <c r="F118" i="2180"/>
  <c r="E118" i="2180"/>
  <c r="AR117" i="2180"/>
  <c r="AQ117" i="2180"/>
  <c r="AP117" i="2180"/>
  <c r="AO117" i="2180"/>
  <c r="AN117" i="2180"/>
  <c r="AM117" i="2180"/>
  <c r="AL117" i="2180"/>
  <c r="AK117" i="2180"/>
  <c r="AJ117" i="2180"/>
  <c r="AI117" i="2180"/>
  <c r="AH117" i="2180"/>
  <c r="AG117" i="2180"/>
  <c r="AF117" i="2180"/>
  <c r="AE117" i="2180"/>
  <c r="AD117" i="2180"/>
  <c r="AC117" i="2180"/>
  <c r="AB117" i="2180"/>
  <c r="AA117" i="2180"/>
  <c r="Z117" i="2180"/>
  <c r="Y117" i="2180"/>
  <c r="X117" i="2180"/>
  <c r="W117" i="2180"/>
  <c r="V117" i="2180"/>
  <c r="U117" i="2180"/>
  <c r="T117" i="2180"/>
  <c r="S117" i="2180"/>
  <c r="R117" i="2180"/>
  <c r="Q117" i="2180"/>
  <c r="P117" i="2180"/>
  <c r="O117" i="2180"/>
  <c r="N117" i="2180"/>
  <c r="M117" i="2180"/>
  <c r="L117" i="2180"/>
  <c r="K117" i="2180"/>
  <c r="J117" i="2180"/>
  <c r="I117" i="2180"/>
  <c r="H117" i="2180"/>
  <c r="G117" i="2180"/>
  <c r="F117" i="2180"/>
  <c r="E117" i="2180"/>
  <c r="AR116" i="2180"/>
  <c r="AR127" i="2180" s="1"/>
  <c r="AQ116" i="2180"/>
  <c r="AQ127" i="2180" s="1"/>
  <c r="AP116" i="2180"/>
  <c r="AP127" i="2180" s="1"/>
  <c r="AO116" i="2180"/>
  <c r="AO127" i="2180" s="1"/>
  <c r="AN116" i="2180"/>
  <c r="AN127" i="2180" s="1"/>
  <c r="AM116" i="2180"/>
  <c r="AM127" i="2180" s="1"/>
  <c r="AL116" i="2180"/>
  <c r="AL127" i="2180" s="1"/>
  <c r="AK116" i="2180"/>
  <c r="AK127" i="2180" s="1"/>
  <c r="AJ116" i="2180"/>
  <c r="AJ127" i="2180" s="1"/>
  <c r="AI116" i="2180"/>
  <c r="AI127" i="2180" s="1"/>
  <c r="AH116" i="2180"/>
  <c r="AH127" i="2180" s="1"/>
  <c r="AG116" i="2180"/>
  <c r="AG127" i="2180" s="1"/>
  <c r="AF116" i="2180"/>
  <c r="AF127" i="2180" s="1"/>
  <c r="AE116" i="2180"/>
  <c r="AE127" i="2180" s="1"/>
  <c r="AD116" i="2180"/>
  <c r="AD127" i="2180" s="1"/>
  <c r="AC116" i="2180"/>
  <c r="AC127" i="2180" s="1"/>
  <c r="AB116" i="2180"/>
  <c r="AB127" i="2180" s="1"/>
  <c r="AA116" i="2180"/>
  <c r="AA127" i="2180" s="1"/>
  <c r="Z116" i="2180"/>
  <c r="Z127" i="2180" s="1"/>
  <c r="Y116" i="2180"/>
  <c r="Y127" i="2180" s="1"/>
  <c r="C114" i="2180"/>
  <c r="AR113" i="2180"/>
  <c r="AQ113" i="2180"/>
  <c r="AP113" i="2180"/>
  <c r="AO113" i="2180"/>
  <c r="AN113" i="2180"/>
  <c r="AM113" i="2180"/>
  <c r="AL113" i="2180"/>
  <c r="AK113" i="2180"/>
  <c r="AJ113" i="2180"/>
  <c r="AI113" i="2180"/>
  <c r="AH113" i="2180"/>
  <c r="AG113" i="2180"/>
  <c r="AF113" i="2180"/>
  <c r="AE113" i="2180"/>
  <c r="AD113" i="2180"/>
  <c r="AC113" i="2180"/>
  <c r="AB113" i="2180"/>
  <c r="AA113" i="2180"/>
  <c r="Z113" i="2180"/>
  <c r="Y113" i="2180"/>
  <c r="X113" i="2180"/>
  <c r="W113" i="2180"/>
  <c r="V113" i="2180"/>
  <c r="U113" i="2180"/>
  <c r="T113" i="2180"/>
  <c r="S113" i="2180"/>
  <c r="R113" i="2180"/>
  <c r="Q113" i="2180"/>
  <c r="P113" i="2180"/>
  <c r="O113" i="2180"/>
  <c r="N113" i="2180"/>
  <c r="M113" i="2180"/>
  <c r="L113" i="2180"/>
  <c r="K113" i="2180"/>
  <c r="J113" i="2180"/>
  <c r="I113" i="2180"/>
  <c r="H113" i="2180"/>
  <c r="G113" i="2180"/>
  <c r="F113" i="2180"/>
  <c r="E113" i="2180"/>
  <c r="AR112" i="2180"/>
  <c r="AQ112" i="2180"/>
  <c r="AP112" i="2180"/>
  <c r="AO112" i="2180"/>
  <c r="AN112" i="2180"/>
  <c r="AM112" i="2180"/>
  <c r="AL112" i="2180"/>
  <c r="AK112" i="2180"/>
  <c r="AJ112" i="2180"/>
  <c r="AI112" i="2180"/>
  <c r="AH112" i="2180"/>
  <c r="AG112" i="2180"/>
  <c r="AF112" i="2180"/>
  <c r="AE112" i="2180"/>
  <c r="AD112" i="2180"/>
  <c r="AC112" i="2180"/>
  <c r="AB112" i="2180"/>
  <c r="AA112" i="2180"/>
  <c r="Z112" i="2180"/>
  <c r="Y112" i="2180"/>
  <c r="X112" i="2180"/>
  <c r="W112" i="2180"/>
  <c r="V112" i="2180"/>
  <c r="U112" i="2180"/>
  <c r="T112" i="2180"/>
  <c r="S112" i="2180"/>
  <c r="R112" i="2180"/>
  <c r="Q112" i="2180"/>
  <c r="P112" i="2180"/>
  <c r="O112" i="2180"/>
  <c r="N112" i="2180"/>
  <c r="M112" i="2180"/>
  <c r="L112" i="2180"/>
  <c r="K112" i="2180"/>
  <c r="J112" i="2180"/>
  <c r="I112" i="2180"/>
  <c r="H112" i="2180"/>
  <c r="G112" i="2180"/>
  <c r="F112" i="2180"/>
  <c r="E112" i="2180"/>
  <c r="C112" i="2180"/>
  <c r="C111" i="2180"/>
  <c r="AR104" i="2180"/>
  <c r="AQ104" i="2180"/>
  <c r="AP104" i="2180"/>
  <c r="AO104" i="2180"/>
  <c r="AN104" i="2180"/>
  <c r="AM104" i="2180"/>
  <c r="AL104" i="2180"/>
  <c r="AK104" i="2180"/>
  <c r="AJ104" i="2180"/>
  <c r="AI104" i="2180"/>
  <c r="AH104" i="2180"/>
  <c r="AG104" i="2180"/>
  <c r="AF104" i="2180"/>
  <c r="AE104" i="2180"/>
  <c r="AD104" i="2180"/>
  <c r="AC104" i="2180"/>
  <c r="AB104" i="2180"/>
  <c r="AA104" i="2180"/>
  <c r="Z104" i="2180"/>
  <c r="Y104" i="2180"/>
  <c r="X104" i="2180"/>
  <c r="W104" i="2180"/>
  <c r="W118" i="2180" s="1"/>
  <c r="V104" i="2180"/>
  <c r="V118" i="2180" s="1"/>
  <c r="U104" i="2180"/>
  <c r="U118" i="2180" s="1"/>
  <c r="T104" i="2180"/>
  <c r="T118" i="2180" s="1"/>
  <c r="S104" i="2180"/>
  <c r="R104" i="2180"/>
  <c r="Q104" i="2180"/>
  <c r="P104" i="2180"/>
  <c r="O104" i="2180"/>
  <c r="N104" i="2180"/>
  <c r="M104" i="2180"/>
  <c r="L104" i="2180"/>
  <c r="K104" i="2180"/>
  <c r="J104" i="2180"/>
  <c r="I104" i="2180"/>
  <c r="H104" i="2180"/>
  <c r="G104" i="2180"/>
  <c r="F104" i="2180"/>
  <c r="E104" i="2180"/>
  <c r="E101" i="2180"/>
  <c r="F101" i="2180" s="1"/>
  <c r="G101" i="2180" s="1"/>
  <c r="H101" i="2180" s="1"/>
  <c r="I101" i="2180" s="1"/>
  <c r="J101" i="2180" s="1"/>
  <c r="K101" i="2180" s="1"/>
  <c r="L101" i="2180" s="1"/>
  <c r="M101" i="2180" s="1"/>
  <c r="N101" i="2180" s="1"/>
  <c r="O101" i="2180" s="1"/>
  <c r="P101" i="2180" s="1"/>
  <c r="Q101" i="2180" s="1"/>
  <c r="R101" i="2180" s="1"/>
  <c r="S101" i="2180" s="1"/>
  <c r="T101" i="2180" s="1"/>
  <c r="U101" i="2180" s="1"/>
  <c r="V101" i="2180" s="1"/>
  <c r="W101" i="2180" s="1"/>
  <c r="X101" i="2180" s="1"/>
  <c r="Y101" i="2180" s="1"/>
  <c r="C87" i="2180"/>
  <c r="D70" i="2180"/>
  <c r="D69" i="2180"/>
  <c r="D68" i="2180"/>
  <c r="C66" i="2180"/>
  <c r="D65" i="2180"/>
  <c r="C64" i="2180"/>
  <c r="D63" i="2180"/>
  <c r="C62" i="2180"/>
  <c r="D61" i="2180"/>
  <c r="C59" i="2180"/>
  <c r="D55" i="2180"/>
  <c r="D54" i="2180"/>
  <c r="D53" i="2180"/>
  <c r="D52" i="2180"/>
  <c r="C51" i="2180"/>
  <c r="D50" i="2180"/>
  <c r="D49" i="2180"/>
  <c r="D47" i="2180"/>
  <c r="D46" i="2180"/>
  <c r="C43" i="2180"/>
  <c r="C41" i="2180"/>
  <c r="D37" i="2180"/>
  <c r="C36" i="2180"/>
  <c r="D35" i="2180"/>
  <c r="C34" i="2180"/>
  <c r="D30" i="2180"/>
  <c r="C21" i="2180"/>
  <c r="C20" i="2180"/>
  <c r="E17" i="2180"/>
  <c r="E16" i="2180"/>
  <c r="E13" i="2180"/>
  <c r="E12" i="2180"/>
  <c r="D8" i="2180"/>
  <c r="D7" i="2180"/>
  <c r="D5" i="2180"/>
  <c r="A1" i="2180"/>
  <c r="B171" i="2179"/>
  <c r="B170" i="2179"/>
  <c r="B169" i="2179"/>
  <c r="C165" i="2179"/>
  <c r="B165" i="2179"/>
  <c r="C164" i="2179"/>
  <c r="B164" i="2179"/>
  <c r="B163" i="2179"/>
  <c r="C147" i="2179"/>
  <c r="AR143" i="2179"/>
  <c r="AQ143" i="2179"/>
  <c r="AP143" i="2179"/>
  <c r="AO143" i="2179"/>
  <c r="AN143" i="2179"/>
  <c r="AM143" i="2179"/>
  <c r="AL143" i="2179"/>
  <c r="AK143" i="2179"/>
  <c r="AJ143" i="2179"/>
  <c r="AI143" i="2179"/>
  <c r="AH143" i="2179"/>
  <c r="AG143" i="2179"/>
  <c r="AF143" i="2179"/>
  <c r="AE143" i="2179"/>
  <c r="AD143" i="2179"/>
  <c r="AC143" i="2179"/>
  <c r="AB143" i="2179"/>
  <c r="AA143" i="2179"/>
  <c r="Z143" i="2179"/>
  <c r="Y143" i="2179"/>
  <c r="X143" i="2179"/>
  <c r="W143" i="2179"/>
  <c r="V143" i="2179"/>
  <c r="U143" i="2179"/>
  <c r="T143" i="2179"/>
  <c r="AR141" i="2179"/>
  <c r="AQ141" i="2179"/>
  <c r="AP141" i="2179"/>
  <c r="AO141" i="2179"/>
  <c r="AN141" i="2179"/>
  <c r="AM141" i="2179"/>
  <c r="AL141" i="2179"/>
  <c r="AK141" i="2179"/>
  <c r="AJ141" i="2179"/>
  <c r="AI141" i="2179"/>
  <c r="AH141" i="2179"/>
  <c r="AG141" i="2179"/>
  <c r="AF141" i="2179"/>
  <c r="AE141" i="2179"/>
  <c r="AD141" i="2179"/>
  <c r="AC141" i="2179"/>
  <c r="AB141" i="2179"/>
  <c r="AA141" i="2179"/>
  <c r="Z141" i="2179"/>
  <c r="Y141" i="2179"/>
  <c r="X141" i="2179"/>
  <c r="W141" i="2179"/>
  <c r="V141" i="2179"/>
  <c r="U141" i="2179"/>
  <c r="T141" i="2179"/>
  <c r="C141" i="2179"/>
  <c r="AR132" i="2179"/>
  <c r="AQ132" i="2179"/>
  <c r="AP132" i="2179"/>
  <c r="AO132" i="2179"/>
  <c r="AN132" i="2179"/>
  <c r="AM132" i="2179"/>
  <c r="AL132" i="2179"/>
  <c r="AK132" i="2179"/>
  <c r="AJ132" i="2179"/>
  <c r="AI132" i="2179"/>
  <c r="AH132" i="2179"/>
  <c r="AG132" i="2179"/>
  <c r="AF132" i="2179"/>
  <c r="AE132" i="2179"/>
  <c r="AD132" i="2179"/>
  <c r="AC132" i="2179"/>
  <c r="AB132" i="2179"/>
  <c r="AA132" i="2179"/>
  <c r="Z132" i="2179"/>
  <c r="Y132" i="2179"/>
  <c r="X132" i="2179"/>
  <c r="W132" i="2179"/>
  <c r="V132" i="2179"/>
  <c r="U132" i="2179"/>
  <c r="T132" i="2179"/>
  <c r="AR131" i="2179"/>
  <c r="AQ131" i="2179"/>
  <c r="AQ133" i="2179" s="1"/>
  <c r="AP131" i="2179"/>
  <c r="AO131" i="2179"/>
  <c r="AN131" i="2179"/>
  <c r="AM131" i="2179"/>
  <c r="AL131" i="2179"/>
  <c r="AK131" i="2179"/>
  <c r="AJ131" i="2179"/>
  <c r="AJ133" i="2179" s="1"/>
  <c r="AI131" i="2179"/>
  <c r="AH131" i="2179"/>
  <c r="AH133" i="2179" s="1"/>
  <c r="AG131" i="2179"/>
  <c r="AF131" i="2179"/>
  <c r="AE131" i="2179"/>
  <c r="AE133" i="2179" s="1"/>
  <c r="AD131" i="2179"/>
  <c r="AC131" i="2179"/>
  <c r="AB131" i="2179"/>
  <c r="AA131" i="2179"/>
  <c r="AA133" i="2179" s="1"/>
  <c r="Z131" i="2179"/>
  <c r="Z133" i="2179" s="1"/>
  <c r="Y131" i="2179"/>
  <c r="X131" i="2179"/>
  <c r="X133" i="2179" s="1"/>
  <c r="W131" i="2179"/>
  <c r="V131" i="2179"/>
  <c r="U131" i="2179"/>
  <c r="U133" i="2179" s="1"/>
  <c r="T131" i="2179"/>
  <c r="AR130" i="2179"/>
  <c r="AQ130" i="2179"/>
  <c r="AP130" i="2179"/>
  <c r="AO130" i="2179"/>
  <c r="AN130" i="2179"/>
  <c r="AM130" i="2179"/>
  <c r="AL130" i="2179"/>
  <c r="AK130" i="2179"/>
  <c r="AJ130" i="2179"/>
  <c r="AI130" i="2179"/>
  <c r="AH130" i="2179"/>
  <c r="AG130" i="2179"/>
  <c r="AF130" i="2179"/>
  <c r="AE130" i="2179"/>
  <c r="AD130" i="2179"/>
  <c r="AC130" i="2179"/>
  <c r="AB130" i="2179"/>
  <c r="AA130" i="2179"/>
  <c r="Z130" i="2179"/>
  <c r="Y130" i="2179"/>
  <c r="X130" i="2179"/>
  <c r="W130" i="2179"/>
  <c r="V130" i="2179"/>
  <c r="U130" i="2179"/>
  <c r="T130" i="2179"/>
  <c r="AR121" i="2179"/>
  <c r="AQ121" i="2179"/>
  <c r="AP121" i="2179"/>
  <c r="AO121" i="2179"/>
  <c r="AN121" i="2179"/>
  <c r="AM121" i="2179"/>
  <c r="AL121" i="2179"/>
  <c r="AK121" i="2179"/>
  <c r="AJ121" i="2179"/>
  <c r="AI121" i="2179"/>
  <c r="AH121" i="2179"/>
  <c r="AG121" i="2179"/>
  <c r="AF121" i="2179"/>
  <c r="AE121" i="2179"/>
  <c r="AD121" i="2179"/>
  <c r="AC121" i="2179"/>
  <c r="AB121" i="2179"/>
  <c r="AA121" i="2179"/>
  <c r="Z121" i="2179"/>
  <c r="Y121" i="2179"/>
  <c r="X121" i="2179"/>
  <c r="W121" i="2179"/>
  <c r="V121" i="2179"/>
  <c r="U121" i="2179"/>
  <c r="T121" i="2179"/>
  <c r="S121" i="2179"/>
  <c r="R121" i="2179"/>
  <c r="Q121" i="2179"/>
  <c r="P121" i="2179"/>
  <c r="O121" i="2179"/>
  <c r="N121" i="2179"/>
  <c r="M121" i="2179"/>
  <c r="L121" i="2179"/>
  <c r="K121" i="2179"/>
  <c r="J121" i="2179"/>
  <c r="I121" i="2179"/>
  <c r="H121" i="2179"/>
  <c r="G121" i="2179"/>
  <c r="F121" i="2179"/>
  <c r="E121" i="2179"/>
  <c r="C121" i="2179"/>
  <c r="AR120" i="2179"/>
  <c r="AQ120" i="2179"/>
  <c r="AP120" i="2179"/>
  <c r="AO120" i="2179"/>
  <c r="AN120" i="2179"/>
  <c r="AM120" i="2179"/>
  <c r="AL120" i="2179"/>
  <c r="AK120" i="2179"/>
  <c r="AJ120" i="2179"/>
  <c r="AI120" i="2179"/>
  <c r="AH120" i="2179"/>
  <c r="AG120" i="2179"/>
  <c r="AF120" i="2179"/>
  <c r="AE120" i="2179"/>
  <c r="AD120" i="2179"/>
  <c r="AC120" i="2179"/>
  <c r="AB120" i="2179"/>
  <c r="AA120" i="2179"/>
  <c r="Z120" i="2179"/>
  <c r="Y120" i="2179"/>
  <c r="X120" i="2179"/>
  <c r="W120" i="2179"/>
  <c r="V120" i="2179"/>
  <c r="U120" i="2179"/>
  <c r="T120" i="2179"/>
  <c r="S120" i="2179"/>
  <c r="R120" i="2179"/>
  <c r="Q120" i="2179"/>
  <c r="P120" i="2179"/>
  <c r="O120" i="2179"/>
  <c r="N120" i="2179"/>
  <c r="M120" i="2179"/>
  <c r="L120" i="2179"/>
  <c r="K120" i="2179"/>
  <c r="J120" i="2179"/>
  <c r="I120" i="2179"/>
  <c r="H120" i="2179"/>
  <c r="G120" i="2179"/>
  <c r="F120" i="2179"/>
  <c r="E120" i="2179"/>
  <c r="C120" i="2179"/>
  <c r="AR119" i="2179"/>
  <c r="AQ119" i="2179"/>
  <c r="AP119" i="2179"/>
  <c r="AO119" i="2179"/>
  <c r="AN119" i="2179"/>
  <c r="AM119" i="2179"/>
  <c r="AL119" i="2179"/>
  <c r="AK119" i="2179"/>
  <c r="AJ119" i="2179"/>
  <c r="AI119" i="2179"/>
  <c r="AH119" i="2179"/>
  <c r="AG119" i="2179"/>
  <c r="AF119" i="2179"/>
  <c r="AE119" i="2179"/>
  <c r="AD119" i="2179"/>
  <c r="AC119" i="2179"/>
  <c r="AB119" i="2179"/>
  <c r="AA119" i="2179"/>
  <c r="Z119" i="2179"/>
  <c r="Y119" i="2179"/>
  <c r="X119" i="2179"/>
  <c r="W119" i="2179"/>
  <c r="V119" i="2179"/>
  <c r="U119" i="2179"/>
  <c r="T119" i="2179"/>
  <c r="S119" i="2179"/>
  <c r="R119" i="2179"/>
  <c r="Q119" i="2179"/>
  <c r="P119" i="2179"/>
  <c r="O119" i="2179"/>
  <c r="N119" i="2179"/>
  <c r="M119" i="2179"/>
  <c r="L119" i="2179"/>
  <c r="K119" i="2179"/>
  <c r="J119" i="2179"/>
  <c r="I119" i="2179"/>
  <c r="H119" i="2179"/>
  <c r="G119" i="2179"/>
  <c r="F119" i="2179"/>
  <c r="E119" i="2179"/>
  <c r="AR118" i="2179"/>
  <c r="AQ118" i="2179"/>
  <c r="AP118" i="2179"/>
  <c r="AO118" i="2179"/>
  <c r="AN118" i="2179"/>
  <c r="AM118" i="2179"/>
  <c r="AL118" i="2179"/>
  <c r="AK118" i="2179"/>
  <c r="AJ118" i="2179"/>
  <c r="AI118" i="2179"/>
  <c r="AH118" i="2179"/>
  <c r="AG118" i="2179"/>
  <c r="AF118" i="2179"/>
  <c r="AE118" i="2179"/>
  <c r="AD118" i="2179"/>
  <c r="AC118" i="2179"/>
  <c r="AB118" i="2179"/>
  <c r="AA118" i="2179"/>
  <c r="Z118" i="2179"/>
  <c r="Y118" i="2179"/>
  <c r="S118" i="2179"/>
  <c r="R118" i="2179"/>
  <c r="Q118" i="2179"/>
  <c r="P118" i="2179"/>
  <c r="O118" i="2179"/>
  <c r="N118" i="2179"/>
  <c r="M118" i="2179"/>
  <c r="L118" i="2179"/>
  <c r="K118" i="2179"/>
  <c r="J118" i="2179"/>
  <c r="I118" i="2179"/>
  <c r="H118" i="2179"/>
  <c r="G118" i="2179"/>
  <c r="F118" i="2179"/>
  <c r="E118" i="2179"/>
  <c r="AR117" i="2179"/>
  <c r="AQ117" i="2179"/>
  <c r="AP117" i="2179"/>
  <c r="AO117" i="2179"/>
  <c r="AN117" i="2179"/>
  <c r="AM117" i="2179"/>
  <c r="AL117" i="2179"/>
  <c r="AK117" i="2179"/>
  <c r="AJ117" i="2179"/>
  <c r="AI117" i="2179"/>
  <c r="AH117" i="2179"/>
  <c r="AG117" i="2179"/>
  <c r="AF117" i="2179"/>
  <c r="AE117" i="2179"/>
  <c r="AD117" i="2179"/>
  <c r="AC117" i="2179"/>
  <c r="AB117" i="2179"/>
  <c r="AA117" i="2179"/>
  <c r="Z117" i="2179"/>
  <c r="Y117" i="2179"/>
  <c r="X117" i="2179"/>
  <c r="W117" i="2179"/>
  <c r="V117" i="2179"/>
  <c r="U117" i="2179"/>
  <c r="T117" i="2179"/>
  <c r="S117" i="2179"/>
  <c r="R117" i="2179"/>
  <c r="Q117" i="2179"/>
  <c r="P117" i="2179"/>
  <c r="O117" i="2179"/>
  <c r="N117" i="2179"/>
  <c r="M117" i="2179"/>
  <c r="L117" i="2179"/>
  <c r="K117" i="2179"/>
  <c r="J117" i="2179"/>
  <c r="I117" i="2179"/>
  <c r="H117" i="2179"/>
  <c r="G117" i="2179"/>
  <c r="F117" i="2179"/>
  <c r="E117" i="2179"/>
  <c r="AR116" i="2179"/>
  <c r="AR127" i="2179" s="1"/>
  <c r="AQ116" i="2179"/>
  <c r="AQ127" i="2179" s="1"/>
  <c r="AP116" i="2179"/>
  <c r="AP127" i="2179" s="1"/>
  <c r="AO116" i="2179"/>
  <c r="AO127" i="2179" s="1"/>
  <c r="AN116" i="2179"/>
  <c r="AN127" i="2179" s="1"/>
  <c r="AM116" i="2179"/>
  <c r="AM127" i="2179" s="1"/>
  <c r="AL116" i="2179"/>
  <c r="AL127" i="2179" s="1"/>
  <c r="AK116" i="2179"/>
  <c r="AK127" i="2179" s="1"/>
  <c r="AJ116" i="2179"/>
  <c r="AJ127" i="2179" s="1"/>
  <c r="AI116" i="2179"/>
  <c r="AI127" i="2179" s="1"/>
  <c r="AH116" i="2179"/>
  <c r="AH127" i="2179" s="1"/>
  <c r="AG116" i="2179"/>
  <c r="AG127" i="2179" s="1"/>
  <c r="AF116" i="2179"/>
  <c r="AF127" i="2179" s="1"/>
  <c r="AE116" i="2179"/>
  <c r="AE127" i="2179" s="1"/>
  <c r="AD116" i="2179"/>
  <c r="AD127" i="2179" s="1"/>
  <c r="AC116" i="2179"/>
  <c r="AC127" i="2179" s="1"/>
  <c r="AB116" i="2179"/>
  <c r="AB127" i="2179" s="1"/>
  <c r="AA116" i="2179"/>
  <c r="AA127" i="2179" s="1"/>
  <c r="Z116" i="2179"/>
  <c r="Z127" i="2179" s="1"/>
  <c r="Y116" i="2179"/>
  <c r="Y127" i="2179" s="1"/>
  <c r="C114" i="2179"/>
  <c r="AR113" i="2179"/>
  <c r="AQ113" i="2179"/>
  <c r="AP113" i="2179"/>
  <c r="AO113" i="2179"/>
  <c r="AN113" i="2179"/>
  <c r="AM113" i="2179"/>
  <c r="AL113" i="2179"/>
  <c r="AK113" i="2179"/>
  <c r="AJ113" i="2179"/>
  <c r="AI113" i="2179"/>
  <c r="AH113" i="2179"/>
  <c r="AG113" i="2179"/>
  <c r="AF113" i="2179"/>
  <c r="AE113" i="2179"/>
  <c r="AD113" i="2179"/>
  <c r="AC113" i="2179"/>
  <c r="AB113" i="2179"/>
  <c r="AA113" i="2179"/>
  <c r="Z113" i="2179"/>
  <c r="Y113" i="2179"/>
  <c r="X113" i="2179"/>
  <c r="W113" i="2179"/>
  <c r="V113" i="2179"/>
  <c r="U113" i="2179"/>
  <c r="T113" i="2179"/>
  <c r="S113" i="2179"/>
  <c r="R113" i="2179"/>
  <c r="Q113" i="2179"/>
  <c r="P113" i="2179"/>
  <c r="O113" i="2179"/>
  <c r="N113" i="2179"/>
  <c r="M113" i="2179"/>
  <c r="L113" i="2179"/>
  <c r="K113" i="2179"/>
  <c r="J113" i="2179"/>
  <c r="I113" i="2179"/>
  <c r="H113" i="2179"/>
  <c r="G113" i="2179"/>
  <c r="F113" i="2179"/>
  <c r="E113" i="2179"/>
  <c r="AR112" i="2179"/>
  <c r="AQ112" i="2179"/>
  <c r="AP112" i="2179"/>
  <c r="AO112" i="2179"/>
  <c r="AN112" i="2179"/>
  <c r="AM112" i="2179"/>
  <c r="AL112" i="2179"/>
  <c r="AK112" i="2179"/>
  <c r="AJ112" i="2179"/>
  <c r="AI112" i="2179"/>
  <c r="AH112" i="2179"/>
  <c r="AG112" i="2179"/>
  <c r="AF112" i="2179"/>
  <c r="AE112" i="2179"/>
  <c r="AD112" i="2179"/>
  <c r="AC112" i="2179"/>
  <c r="AB112" i="2179"/>
  <c r="AA112" i="2179"/>
  <c r="Z112" i="2179"/>
  <c r="Y112" i="2179"/>
  <c r="X112" i="2179"/>
  <c r="W112" i="2179"/>
  <c r="V112" i="2179"/>
  <c r="U112" i="2179"/>
  <c r="T112" i="2179"/>
  <c r="S112" i="2179"/>
  <c r="R112" i="2179"/>
  <c r="Q112" i="2179"/>
  <c r="P112" i="2179"/>
  <c r="O112" i="2179"/>
  <c r="N112" i="2179"/>
  <c r="M112" i="2179"/>
  <c r="L112" i="2179"/>
  <c r="K112" i="2179"/>
  <c r="J112" i="2179"/>
  <c r="I112" i="2179"/>
  <c r="H112" i="2179"/>
  <c r="G112" i="2179"/>
  <c r="F112" i="2179"/>
  <c r="E112" i="2179"/>
  <c r="C112" i="2179"/>
  <c r="C111" i="2179"/>
  <c r="AR104" i="2179"/>
  <c r="AQ104" i="2179"/>
  <c r="AP104" i="2179"/>
  <c r="AO104" i="2179"/>
  <c r="AN104" i="2179"/>
  <c r="AM104" i="2179"/>
  <c r="AL104" i="2179"/>
  <c r="AK104" i="2179"/>
  <c r="AJ104" i="2179"/>
  <c r="AI104" i="2179"/>
  <c r="AH104" i="2179"/>
  <c r="AG104" i="2179"/>
  <c r="AF104" i="2179"/>
  <c r="AE104" i="2179"/>
  <c r="AD104" i="2179"/>
  <c r="AC104" i="2179"/>
  <c r="AB104" i="2179"/>
  <c r="AA104" i="2179"/>
  <c r="Z104" i="2179"/>
  <c r="Y104" i="2179"/>
  <c r="X104" i="2179"/>
  <c r="X118" i="2179" s="1"/>
  <c r="W104" i="2179"/>
  <c r="W118" i="2179" s="1"/>
  <c r="V104" i="2179"/>
  <c r="V118" i="2179" s="1"/>
  <c r="U104" i="2179"/>
  <c r="T104" i="2179"/>
  <c r="T118" i="2179" s="1"/>
  <c r="S104" i="2179"/>
  <c r="R104" i="2179"/>
  <c r="Q104" i="2179"/>
  <c r="P104" i="2179"/>
  <c r="O104" i="2179"/>
  <c r="N104" i="2179"/>
  <c r="M104" i="2179"/>
  <c r="L104" i="2179"/>
  <c r="K104" i="2179"/>
  <c r="J104" i="2179"/>
  <c r="I104" i="2179"/>
  <c r="H104" i="2179"/>
  <c r="G104" i="2179"/>
  <c r="F104" i="2179"/>
  <c r="E104" i="2179"/>
  <c r="F101" i="2179"/>
  <c r="G101" i="2179" s="1"/>
  <c r="H101" i="2179" s="1"/>
  <c r="I101" i="2179" s="1"/>
  <c r="J101" i="2179" s="1"/>
  <c r="K101" i="2179" s="1"/>
  <c r="L101" i="2179" s="1"/>
  <c r="M101" i="2179" s="1"/>
  <c r="N101" i="2179" s="1"/>
  <c r="O101" i="2179" s="1"/>
  <c r="P101" i="2179" s="1"/>
  <c r="Q101" i="2179" s="1"/>
  <c r="R101" i="2179" s="1"/>
  <c r="S101" i="2179" s="1"/>
  <c r="T101" i="2179" s="1"/>
  <c r="U101" i="2179" s="1"/>
  <c r="V101" i="2179" s="1"/>
  <c r="W101" i="2179" s="1"/>
  <c r="X101" i="2179" s="1"/>
  <c r="Y101" i="2179" s="1"/>
  <c r="E101" i="2179"/>
  <c r="C87" i="2179"/>
  <c r="D70" i="2179"/>
  <c r="D69" i="2179"/>
  <c r="D68" i="2179"/>
  <c r="C66" i="2179"/>
  <c r="D65" i="2179"/>
  <c r="C64" i="2179"/>
  <c r="D63" i="2179"/>
  <c r="C62" i="2179"/>
  <c r="D61" i="2179"/>
  <c r="C59" i="2179"/>
  <c r="D55" i="2179"/>
  <c r="D54" i="2179"/>
  <c r="D53" i="2179"/>
  <c r="D52" i="2179"/>
  <c r="C51" i="2179"/>
  <c r="D50" i="2179"/>
  <c r="D49" i="2179"/>
  <c r="C48" i="2179"/>
  <c r="D148" i="2179" s="1"/>
  <c r="D47" i="2179"/>
  <c r="D46" i="2179"/>
  <c r="C43" i="2179"/>
  <c r="C42" i="2179"/>
  <c r="C41" i="2179"/>
  <c r="AM111" i="2179" s="1"/>
  <c r="AM114" i="2179" s="1"/>
  <c r="D37" i="2179"/>
  <c r="C36" i="2179"/>
  <c r="D35" i="2179"/>
  <c r="C34" i="2179"/>
  <c r="D30" i="2179"/>
  <c r="C21" i="2179"/>
  <c r="C20" i="2179"/>
  <c r="E17" i="2179"/>
  <c r="E16" i="2179"/>
  <c r="E13" i="2179"/>
  <c r="E12" i="2179"/>
  <c r="D8" i="2179"/>
  <c r="D7" i="2179"/>
  <c r="D5" i="2179"/>
  <c r="A1" i="2179"/>
  <c r="B171" i="2178"/>
  <c r="B170" i="2178"/>
  <c r="B169" i="2178"/>
  <c r="B165" i="2178"/>
  <c r="B164" i="2178"/>
  <c r="B163" i="2178"/>
  <c r="C147" i="2178"/>
  <c r="AR143" i="2178"/>
  <c r="AQ143" i="2178"/>
  <c r="AP143" i="2178"/>
  <c r="AO143" i="2178"/>
  <c r="AN143" i="2178"/>
  <c r="AM143" i="2178"/>
  <c r="AL143" i="2178"/>
  <c r="AK143" i="2178"/>
  <c r="AJ143" i="2178"/>
  <c r="AI143" i="2178"/>
  <c r="AH143" i="2178"/>
  <c r="AG143" i="2178"/>
  <c r="AF143" i="2178"/>
  <c r="AE143" i="2178"/>
  <c r="AD143" i="2178"/>
  <c r="AC143" i="2178"/>
  <c r="AB143" i="2178"/>
  <c r="AA143" i="2178"/>
  <c r="Z143" i="2178"/>
  <c r="Y143" i="2178"/>
  <c r="X143" i="2178"/>
  <c r="W143" i="2178"/>
  <c r="V143" i="2178"/>
  <c r="U143" i="2178"/>
  <c r="T143" i="2178"/>
  <c r="AR141" i="2178"/>
  <c r="AQ141" i="2178"/>
  <c r="AP141" i="2178"/>
  <c r="AO141" i="2178"/>
  <c r="AN141" i="2178"/>
  <c r="AM141" i="2178"/>
  <c r="AL141" i="2178"/>
  <c r="AK141" i="2178"/>
  <c r="AJ141" i="2178"/>
  <c r="AI141" i="2178"/>
  <c r="AH141" i="2178"/>
  <c r="AG141" i="2178"/>
  <c r="AF141" i="2178"/>
  <c r="AE141" i="2178"/>
  <c r="AD141" i="2178"/>
  <c r="AC141" i="2178"/>
  <c r="AB141" i="2178"/>
  <c r="AA141" i="2178"/>
  <c r="Z141" i="2178"/>
  <c r="Y141" i="2178"/>
  <c r="X141" i="2178"/>
  <c r="W141" i="2178"/>
  <c r="V141" i="2178"/>
  <c r="U141" i="2178"/>
  <c r="T141" i="2178"/>
  <c r="C141" i="2178"/>
  <c r="AR132" i="2178"/>
  <c r="AQ132" i="2178"/>
  <c r="AP132" i="2178"/>
  <c r="AO132" i="2178"/>
  <c r="AN132" i="2178"/>
  <c r="AM132" i="2178"/>
  <c r="AL132" i="2178"/>
  <c r="AK132" i="2178"/>
  <c r="AJ132" i="2178"/>
  <c r="AI132" i="2178"/>
  <c r="AH132" i="2178"/>
  <c r="AG132" i="2178"/>
  <c r="AF132" i="2178"/>
  <c r="AE132" i="2178"/>
  <c r="AD132" i="2178"/>
  <c r="AC132" i="2178"/>
  <c r="AB132" i="2178"/>
  <c r="AA132" i="2178"/>
  <c r="Z132" i="2178"/>
  <c r="Y132" i="2178"/>
  <c r="X132" i="2178"/>
  <c r="W132" i="2178"/>
  <c r="V132" i="2178"/>
  <c r="U132" i="2178"/>
  <c r="T132" i="2178"/>
  <c r="AR131" i="2178"/>
  <c r="AR133" i="2178" s="1"/>
  <c r="AQ131" i="2178"/>
  <c r="AQ133" i="2178" s="1"/>
  <c r="AP131" i="2178"/>
  <c r="AO131" i="2178"/>
  <c r="AO133" i="2178" s="1"/>
  <c r="AN131" i="2178"/>
  <c r="AN133" i="2178" s="1"/>
  <c r="AM131" i="2178"/>
  <c r="AM133" i="2178" s="1"/>
  <c r="AL131" i="2178"/>
  <c r="AL133" i="2178" s="1"/>
  <c r="AK131" i="2178"/>
  <c r="AK133" i="2178" s="1"/>
  <c r="AJ131" i="2178"/>
  <c r="AJ133" i="2178" s="1"/>
  <c r="AI131" i="2178"/>
  <c r="AH131" i="2178"/>
  <c r="AH133" i="2178" s="1"/>
  <c r="AG131" i="2178"/>
  <c r="AF131" i="2178"/>
  <c r="AE131" i="2178"/>
  <c r="AE133" i="2178" s="1"/>
  <c r="AD131" i="2178"/>
  <c r="AC131" i="2178"/>
  <c r="AB131" i="2178"/>
  <c r="AB133" i="2178" s="1"/>
  <c r="AA131" i="2178"/>
  <c r="AA133" i="2178" s="1"/>
  <c r="Z131" i="2178"/>
  <c r="Z133" i="2178" s="1"/>
  <c r="Y131" i="2178"/>
  <c r="Y133" i="2178" s="1"/>
  <c r="X131" i="2178"/>
  <c r="X133" i="2178" s="1"/>
  <c r="W131" i="2178"/>
  <c r="W133" i="2178" s="1"/>
  <c r="V131" i="2178"/>
  <c r="V133" i="2178" s="1"/>
  <c r="U131" i="2178"/>
  <c r="U133" i="2178" s="1"/>
  <c r="T131" i="2178"/>
  <c r="T133" i="2178" s="1"/>
  <c r="AR130" i="2178"/>
  <c r="AQ130" i="2178"/>
  <c r="AP130" i="2178"/>
  <c r="AO130" i="2178"/>
  <c r="AN130" i="2178"/>
  <c r="AM130" i="2178"/>
  <c r="AL130" i="2178"/>
  <c r="AK130" i="2178"/>
  <c r="AJ130" i="2178"/>
  <c r="AI130" i="2178"/>
  <c r="AH130" i="2178"/>
  <c r="AG130" i="2178"/>
  <c r="AF130" i="2178"/>
  <c r="AE130" i="2178"/>
  <c r="AD130" i="2178"/>
  <c r="AC130" i="2178"/>
  <c r="AB130" i="2178"/>
  <c r="AA130" i="2178"/>
  <c r="Z130" i="2178"/>
  <c r="Y130" i="2178"/>
  <c r="X130" i="2178"/>
  <c r="W130" i="2178"/>
  <c r="V130" i="2178"/>
  <c r="U130" i="2178"/>
  <c r="T130" i="2178"/>
  <c r="AR121" i="2178"/>
  <c r="AQ121" i="2178"/>
  <c r="AP121" i="2178"/>
  <c r="AO121" i="2178"/>
  <c r="AN121" i="2178"/>
  <c r="AM121" i="2178"/>
  <c r="AL121" i="2178"/>
  <c r="AK121" i="2178"/>
  <c r="AJ121" i="2178"/>
  <c r="AI121" i="2178"/>
  <c r="AH121" i="2178"/>
  <c r="AG121" i="2178"/>
  <c r="AF121" i="2178"/>
  <c r="AE121" i="2178"/>
  <c r="AD121" i="2178"/>
  <c r="AC121" i="2178"/>
  <c r="AB121" i="2178"/>
  <c r="AA121" i="2178"/>
  <c r="Z121" i="2178"/>
  <c r="Y121" i="2178"/>
  <c r="X121" i="2178"/>
  <c r="W121" i="2178"/>
  <c r="V121" i="2178"/>
  <c r="U121" i="2178"/>
  <c r="T121" i="2178"/>
  <c r="S121" i="2178"/>
  <c r="R121" i="2178"/>
  <c r="Q121" i="2178"/>
  <c r="P121" i="2178"/>
  <c r="O121" i="2178"/>
  <c r="N121" i="2178"/>
  <c r="M121" i="2178"/>
  <c r="L121" i="2178"/>
  <c r="K121" i="2178"/>
  <c r="J121" i="2178"/>
  <c r="I121" i="2178"/>
  <c r="H121" i="2178"/>
  <c r="G121" i="2178"/>
  <c r="F121" i="2178"/>
  <c r="E121" i="2178"/>
  <c r="C121" i="2178"/>
  <c r="AR120" i="2178"/>
  <c r="AQ120" i="2178"/>
  <c r="AP120" i="2178"/>
  <c r="AO120" i="2178"/>
  <c r="AN120" i="2178"/>
  <c r="AM120" i="2178"/>
  <c r="AL120" i="2178"/>
  <c r="AK120" i="2178"/>
  <c r="AJ120" i="2178"/>
  <c r="AI120" i="2178"/>
  <c r="AH120" i="2178"/>
  <c r="AG120" i="2178"/>
  <c r="AF120" i="2178"/>
  <c r="AE120" i="2178"/>
  <c r="AD120" i="2178"/>
  <c r="AC120" i="2178"/>
  <c r="AB120" i="2178"/>
  <c r="AA120" i="2178"/>
  <c r="Z120" i="2178"/>
  <c r="Y120" i="2178"/>
  <c r="X120" i="2178"/>
  <c r="W120" i="2178"/>
  <c r="V120" i="2178"/>
  <c r="U120" i="2178"/>
  <c r="T120" i="2178"/>
  <c r="S120" i="2178"/>
  <c r="R120" i="2178"/>
  <c r="Q120" i="2178"/>
  <c r="P120" i="2178"/>
  <c r="O120" i="2178"/>
  <c r="N120" i="2178"/>
  <c r="M120" i="2178"/>
  <c r="L120" i="2178"/>
  <c r="K120" i="2178"/>
  <c r="J120" i="2178"/>
  <c r="I120" i="2178"/>
  <c r="H120" i="2178"/>
  <c r="G120" i="2178"/>
  <c r="F120" i="2178"/>
  <c r="E120" i="2178"/>
  <c r="C120" i="2178"/>
  <c r="AR119" i="2178"/>
  <c r="AQ119" i="2178"/>
  <c r="AP119" i="2178"/>
  <c r="AO119" i="2178"/>
  <c r="AN119" i="2178"/>
  <c r="AM119" i="2178"/>
  <c r="AL119" i="2178"/>
  <c r="AK119" i="2178"/>
  <c r="AJ119" i="2178"/>
  <c r="AI119" i="2178"/>
  <c r="AH119" i="2178"/>
  <c r="AG119" i="2178"/>
  <c r="AF119" i="2178"/>
  <c r="AE119" i="2178"/>
  <c r="AD119" i="2178"/>
  <c r="AC119" i="2178"/>
  <c r="AB119" i="2178"/>
  <c r="AA119" i="2178"/>
  <c r="Z119" i="2178"/>
  <c r="Y119" i="2178"/>
  <c r="X119" i="2178"/>
  <c r="W119" i="2178"/>
  <c r="V119" i="2178"/>
  <c r="U119" i="2178"/>
  <c r="T119" i="2178"/>
  <c r="S119" i="2178"/>
  <c r="R119" i="2178"/>
  <c r="Q119" i="2178"/>
  <c r="P119" i="2178"/>
  <c r="O119" i="2178"/>
  <c r="N119" i="2178"/>
  <c r="M119" i="2178"/>
  <c r="L119" i="2178"/>
  <c r="K119" i="2178"/>
  <c r="J119" i="2178"/>
  <c r="I119" i="2178"/>
  <c r="H119" i="2178"/>
  <c r="G119" i="2178"/>
  <c r="F119" i="2178"/>
  <c r="E119" i="2178"/>
  <c r="AR118" i="2178"/>
  <c r="AQ118" i="2178"/>
  <c r="AP118" i="2178"/>
  <c r="AO118" i="2178"/>
  <c r="AN118" i="2178"/>
  <c r="AM118" i="2178"/>
  <c r="AL118" i="2178"/>
  <c r="AK118" i="2178"/>
  <c r="AJ118" i="2178"/>
  <c r="AI118" i="2178"/>
  <c r="AH118" i="2178"/>
  <c r="AG118" i="2178"/>
  <c r="AF118" i="2178"/>
  <c r="AE118" i="2178"/>
  <c r="AD118" i="2178"/>
  <c r="AC118" i="2178"/>
  <c r="AB118" i="2178"/>
  <c r="AA118" i="2178"/>
  <c r="Z118" i="2178"/>
  <c r="Y118" i="2178"/>
  <c r="S118" i="2178"/>
  <c r="R118" i="2178"/>
  <c r="Q118" i="2178"/>
  <c r="P118" i="2178"/>
  <c r="O118" i="2178"/>
  <c r="N118" i="2178"/>
  <c r="M118" i="2178"/>
  <c r="L118" i="2178"/>
  <c r="K118" i="2178"/>
  <c r="J118" i="2178"/>
  <c r="I118" i="2178"/>
  <c r="H118" i="2178"/>
  <c r="G118" i="2178"/>
  <c r="F118" i="2178"/>
  <c r="E118" i="2178"/>
  <c r="AR117" i="2178"/>
  <c r="AQ117" i="2178"/>
  <c r="AP117" i="2178"/>
  <c r="AO117" i="2178"/>
  <c r="AN117" i="2178"/>
  <c r="AM117" i="2178"/>
  <c r="AL117" i="2178"/>
  <c r="AK117" i="2178"/>
  <c r="AJ117" i="2178"/>
  <c r="AI117" i="2178"/>
  <c r="AH117" i="2178"/>
  <c r="AG117" i="2178"/>
  <c r="AF117" i="2178"/>
  <c r="AE117" i="2178"/>
  <c r="AD117" i="2178"/>
  <c r="AC117" i="2178"/>
  <c r="AB117" i="2178"/>
  <c r="AA117" i="2178"/>
  <c r="Z117" i="2178"/>
  <c r="Y117" i="2178"/>
  <c r="X117" i="2178"/>
  <c r="W117" i="2178"/>
  <c r="V117" i="2178"/>
  <c r="U117" i="2178"/>
  <c r="T117" i="2178"/>
  <c r="S117" i="2178"/>
  <c r="R117" i="2178"/>
  <c r="Q117" i="2178"/>
  <c r="P117" i="2178"/>
  <c r="O117" i="2178"/>
  <c r="N117" i="2178"/>
  <c r="M117" i="2178"/>
  <c r="L117" i="2178"/>
  <c r="K117" i="2178"/>
  <c r="J117" i="2178"/>
  <c r="I117" i="2178"/>
  <c r="H117" i="2178"/>
  <c r="G117" i="2178"/>
  <c r="F117" i="2178"/>
  <c r="E117" i="2178"/>
  <c r="AR116" i="2178"/>
  <c r="AR127" i="2178" s="1"/>
  <c r="AQ116" i="2178"/>
  <c r="AQ127" i="2178" s="1"/>
  <c r="AP116" i="2178"/>
  <c r="AP127" i="2178" s="1"/>
  <c r="AO116" i="2178"/>
  <c r="AO127" i="2178" s="1"/>
  <c r="AN116" i="2178"/>
  <c r="AN127" i="2178" s="1"/>
  <c r="AM116" i="2178"/>
  <c r="AM127" i="2178" s="1"/>
  <c r="AL116" i="2178"/>
  <c r="AL127" i="2178" s="1"/>
  <c r="AK116" i="2178"/>
  <c r="AK127" i="2178" s="1"/>
  <c r="AJ116" i="2178"/>
  <c r="AJ127" i="2178" s="1"/>
  <c r="AI116" i="2178"/>
  <c r="AI127" i="2178" s="1"/>
  <c r="AH116" i="2178"/>
  <c r="AH127" i="2178" s="1"/>
  <c r="AG116" i="2178"/>
  <c r="AG127" i="2178" s="1"/>
  <c r="AF116" i="2178"/>
  <c r="AF127" i="2178" s="1"/>
  <c r="AE116" i="2178"/>
  <c r="AE127" i="2178" s="1"/>
  <c r="AD116" i="2178"/>
  <c r="AD127" i="2178" s="1"/>
  <c r="AC116" i="2178"/>
  <c r="AB116" i="2178"/>
  <c r="AB127" i="2178" s="1"/>
  <c r="AA116" i="2178"/>
  <c r="AA127" i="2178" s="1"/>
  <c r="Z116" i="2178"/>
  <c r="Z127" i="2178" s="1"/>
  <c r="Y116" i="2178"/>
  <c r="Y127" i="2178" s="1"/>
  <c r="C114" i="2178"/>
  <c r="AR113" i="2178"/>
  <c r="AQ113" i="2178"/>
  <c r="AP113" i="2178"/>
  <c r="AO113" i="2178"/>
  <c r="AN113" i="2178"/>
  <c r="AM113" i="2178"/>
  <c r="AL113" i="2178"/>
  <c r="AK113" i="2178"/>
  <c r="AJ113" i="2178"/>
  <c r="AI113" i="2178"/>
  <c r="AH113" i="2178"/>
  <c r="AG113" i="2178"/>
  <c r="AF113" i="2178"/>
  <c r="AE113" i="2178"/>
  <c r="AD113" i="2178"/>
  <c r="AC113" i="2178"/>
  <c r="AB113" i="2178"/>
  <c r="AA113" i="2178"/>
  <c r="Z113" i="2178"/>
  <c r="Y113" i="2178"/>
  <c r="X113" i="2178"/>
  <c r="W113" i="2178"/>
  <c r="V113" i="2178"/>
  <c r="U113" i="2178"/>
  <c r="T113" i="2178"/>
  <c r="S113" i="2178"/>
  <c r="R113" i="2178"/>
  <c r="Q113" i="2178"/>
  <c r="P113" i="2178"/>
  <c r="O113" i="2178"/>
  <c r="N113" i="2178"/>
  <c r="M113" i="2178"/>
  <c r="L113" i="2178"/>
  <c r="K113" i="2178"/>
  <c r="J113" i="2178"/>
  <c r="I113" i="2178"/>
  <c r="H113" i="2178"/>
  <c r="G113" i="2178"/>
  <c r="F113" i="2178"/>
  <c r="E113" i="2178"/>
  <c r="AR112" i="2178"/>
  <c r="AQ112" i="2178"/>
  <c r="AP112" i="2178"/>
  <c r="AO112" i="2178"/>
  <c r="AN112" i="2178"/>
  <c r="AM112" i="2178"/>
  <c r="AL112" i="2178"/>
  <c r="AK112" i="2178"/>
  <c r="AJ112" i="2178"/>
  <c r="AI112" i="2178"/>
  <c r="AH112" i="2178"/>
  <c r="AG112" i="2178"/>
  <c r="AF112" i="2178"/>
  <c r="AE112" i="2178"/>
  <c r="AD112" i="2178"/>
  <c r="AC112" i="2178"/>
  <c r="AB112" i="2178"/>
  <c r="AA112" i="2178"/>
  <c r="Z112" i="2178"/>
  <c r="Y112" i="2178"/>
  <c r="X112" i="2178"/>
  <c r="W112" i="2178"/>
  <c r="V112" i="2178"/>
  <c r="U112" i="2178"/>
  <c r="T112" i="2178"/>
  <c r="S112" i="2178"/>
  <c r="R112" i="2178"/>
  <c r="Q112" i="2178"/>
  <c r="P112" i="2178"/>
  <c r="O112" i="2178"/>
  <c r="N112" i="2178"/>
  <c r="M112" i="2178"/>
  <c r="L112" i="2178"/>
  <c r="K112" i="2178"/>
  <c r="J112" i="2178"/>
  <c r="I112" i="2178"/>
  <c r="H112" i="2178"/>
  <c r="G112" i="2178"/>
  <c r="F112" i="2178"/>
  <c r="E112" i="2178"/>
  <c r="C112" i="2178"/>
  <c r="C111" i="2178"/>
  <c r="AR104" i="2178"/>
  <c r="AQ104" i="2178"/>
  <c r="AP104" i="2178"/>
  <c r="AO104" i="2178"/>
  <c r="AN104" i="2178"/>
  <c r="AM104" i="2178"/>
  <c r="AL104" i="2178"/>
  <c r="AK104" i="2178"/>
  <c r="AJ104" i="2178"/>
  <c r="AI104" i="2178"/>
  <c r="AH104" i="2178"/>
  <c r="AG104" i="2178"/>
  <c r="AF104" i="2178"/>
  <c r="AE104" i="2178"/>
  <c r="AD104" i="2178"/>
  <c r="AC104" i="2178"/>
  <c r="AB104" i="2178"/>
  <c r="AA104" i="2178"/>
  <c r="Z104" i="2178"/>
  <c r="Y104" i="2178"/>
  <c r="X104" i="2178"/>
  <c r="X118" i="2178" s="1"/>
  <c r="W104" i="2178"/>
  <c r="W118" i="2178" s="1"/>
  <c r="V104" i="2178"/>
  <c r="U104" i="2178"/>
  <c r="T104" i="2178"/>
  <c r="S104" i="2178"/>
  <c r="R104" i="2178"/>
  <c r="Q104" i="2178"/>
  <c r="P104" i="2178"/>
  <c r="O104" i="2178"/>
  <c r="N104" i="2178"/>
  <c r="M104" i="2178"/>
  <c r="L104" i="2178"/>
  <c r="K104" i="2178"/>
  <c r="J104" i="2178"/>
  <c r="I104" i="2178"/>
  <c r="H104" i="2178"/>
  <c r="G104" i="2178"/>
  <c r="F104" i="2178"/>
  <c r="E104" i="2178"/>
  <c r="F101" i="2178"/>
  <c r="G101" i="2178" s="1"/>
  <c r="H101" i="2178" s="1"/>
  <c r="I101" i="2178" s="1"/>
  <c r="J101" i="2178" s="1"/>
  <c r="K101" i="2178" s="1"/>
  <c r="L101" i="2178" s="1"/>
  <c r="M101" i="2178" s="1"/>
  <c r="N101" i="2178" s="1"/>
  <c r="O101" i="2178" s="1"/>
  <c r="P101" i="2178" s="1"/>
  <c r="Q101" i="2178" s="1"/>
  <c r="R101" i="2178" s="1"/>
  <c r="S101" i="2178" s="1"/>
  <c r="T101" i="2178" s="1"/>
  <c r="U101" i="2178" s="1"/>
  <c r="V101" i="2178" s="1"/>
  <c r="W101" i="2178" s="1"/>
  <c r="X101" i="2178" s="1"/>
  <c r="Y101" i="2178" s="1"/>
  <c r="E101" i="2178"/>
  <c r="C87" i="2178"/>
  <c r="D150" i="2178" s="1"/>
  <c r="D70" i="2178"/>
  <c r="D69" i="2178"/>
  <c r="D68" i="2178"/>
  <c r="C66" i="2178"/>
  <c r="D65" i="2178"/>
  <c r="C64" i="2178"/>
  <c r="D63" i="2178"/>
  <c r="C62" i="2178"/>
  <c r="D61" i="2178"/>
  <c r="C59" i="2178"/>
  <c r="D55" i="2178"/>
  <c r="D54" i="2178"/>
  <c r="D53" i="2178"/>
  <c r="D52" i="2178"/>
  <c r="C51" i="2178"/>
  <c r="D50" i="2178"/>
  <c r="D49" i="2178"/>
  <c r="C48" i="2178"/>
  <c r="D148" i="2178" s="1"/>
  <c r="D47" i="2178"/>
  <c r="D46" i="2178"/>
  <c r="C43" i="2178"/>
  <c r="C41" i="2178"/>
  <c r="D37" i="2178"/>
  <c r="C36" i="2178"/>
  <c r="D35" i="2178"/>
  <c r="C34" i="2178"/>
  <c r="D30" i="2178"/>
  <c r="E17" i="2178"/>
  <c r="E16" i="2178"/>
  <c r="E13" i="2178"/>
  <c r="E12" i="2178"/>
  <c r="D8" i="2178"/>
  <c r="D7" i="2178"/>
  <c r="D5" i="2178"/>
  <c r="A1" i="2178"/>
  <c r="B171" i="2177"/>
  <c r="B170" i="2177"/>
  <c r="B169" i="2177"/>
  <c r="B165" i="2177"/>
  <c r="B164" i="2177"/>
  <c r="B163" i="2177"/>
  <c r="C147" i="2177"/>
  <c r="AR143" i="2177"/>
  <c r="AQ143" i="2177"/>
  <c r="AP143" i="2177"/>
  <c r="AO143" i="2177"/>
  <c r="AN143" i="2177"/>
  <c r="AM143" i="2177"/>
  <c r="AL143" i="2177"/>
  <c r="AK143" i="2177"/>
  <c r="AJ143" i="2177"/>
  <c r="AI143" i="2177"/>
  <c r="AH143" i="2177"/>
  <c r="AG143" i="2177"/>
  <c r="AF143" i="2177"/>
  <c r="AE143" i="2177"/>
  <c r="AD143" i="2177"/>
  <c r="AC143" i="2177"/>
  <c r="AB143" i="2177"/>
  <c r="AA143" i="2177"/>
  <c r="Z143" i="2177"/>
  <c r="Y143" i="2177"/>
  <c r="X143" i="2177"/>
  <c r="W143" i="2177"/>
  <c r="V143" i="2177"/>
  <c r="U143" i="2177"/>
  <c r="T143" i="2177"/>
  <c r="AR141" i="2177"/>
  <c r="AQ141" i="2177"/>
  <c r="AP141" i="2177"/>
  <c r="AO141" i="2177"/>
  <c r="AN141" i="2177"/>
  <c r="AM141" i="2177"/>
  <c r="AL141" i="2177"/>
  <c r="AK141" i="2177"/>
  <c r="AJ141" i="2177"/>
  <c r="AI141" i="2177"/>
  <c r="AH141" i="2177"/>
  <c r="AG141" i="2177"/>
  <c r="AF141" i="2177"/>
  <c r="AE141" i="2177"/>
  <c r="AD141" i="2177"/>
  <c r="AC141" i="2177"/>
  <c r="AB141" i="2177"/>
  <c r="AA141" i="2177"/>
  <c r="Z141" i="2177"/>
  <c r="Y141" i="2177"/>
  <c r="X141" i="2177"/>
  <c r="W141" i="2177"/>
  <c r="V141" i="2177"/>
  <c r="U141" i="2177"/>
  <c r="T141" i="2177"/>
  <c r="C141" i="2177"/>
  <c r="AR132" i="2177"/>
  <c r="AQ132" i="2177"/>
  <c r="AP132" i="2177"/>
  <c r="AO132" i="2177"/>
  <c r="AN132" i="2177"/>
  <c r="AM132" i="2177"/>
  <c r="AL132" i="2177"/>
  <c r="AK132" i="2177"/>
  <c r="AJ132" i="2177"/>
  <c r="AI132" i="2177"/>
  <c r="AH132" i="2177"/>
  <c r="AG132" i="2177"/>
  <c r="AF132" i="2177"/>
  <c r="AE132" i="2177"/>
  <c r="AD132" i="2177"/>
  <c r="AC132" i="2177"/>
  <c r="AB132" i="2177"/>
  <c r="AA132" i="2177"/>
  <c r="Z132" i="2177"/>
  <c r="Y132" i="2177"/>
  <c r="X132" i="2177"/>
  <c r="W132" i="2177"/>
  <c r="V132" i="2177"/>
  <c r="U132" i="2177"/>
  <c r="T132" i="2177"/>
  <c r="AR131" i="2177"/>
  <c r="AR133" i="2177" s="1"/>
  <c r="AQ131" i="2177"/>
  <c r="AQ133" i="2177" s="1"/>
  <c r="AP131" i="2177"/>
  <c r="AP133" i="2177" s="1"/>
  <c r="AO131" i="2177"/>
  <c r="AO133" i="2177" s="1"/>
  <c r="AN131" i="2177"/>
  <c r="AN133" i="2177" s="1"/>
  <c r="AM131" i="2177"/>
  <c r="AM133" i="2177" s="1"/>
  <c r="AL131" i="2177"/>
  <c r="AL133" i="2177" s="1"/>
  <c r="AK131" i="2177"/>
  <c r="AJ131" i="2177"/>
  <c r="AJ133" i="2177" s="1"/>
  <c r="AI131" i="2177"/>
  <c r="AH131" i="2177"/>
  <c r="AH133" i="2177" s="1"/>
  <c r="AG131" i="2177"/>
  <c r="AF131" i="2177"/>
  <c r="AF133" i="2177" s="1"/>
  <c r="AE131" i="2177"/>
  <c r="AD131" i="2177"/>
  <c r="AD133" i="2177" s="1"/>
  <c r="AC131" i="2177"/>
  <c r="AC133" i="2177" s="1"/>
  <c r="AB131" i="2177"/>
  <c r="AB133" i="2177" s="1"/>
  <c r="AA131" i="2177"/>
  <c r="AA133" i="2177" s="1"/>
  <c r="Z131" i="2177"/>
  <c r="Z133" i="2177" s="1"/>
  <c r="Y131" i="2177"/>
  <c r="Y133" i="2177" s="1"/>
  <c r="X131" i="2177"/>
  <c r="X133" i="2177" s="1"/>
  <c r="W131" i="2177"/>
  <c r="W133" i="2177" s="1"/>
  <c r="V131" i="2177"/>
  <c r="V133" i="2177" s="1"/>
  <c r="U131" i="2177"/>
  <c r="U133" i="2177" s="1"/>
  <c r="T131" i="2177"/>
  <c r="T133" i="2177" s="1"/>
  <c r="AR130" i="2177"/>
  <c r="AQ130" i="2177"/>
  <c r="AP130" i="2177"/>
  <c r="AO130" i="2177"/>
  <c r="AN130" i="2177"/>
  <c r="AM130" i="2177"/>
  <c r="AL130" i="2177"/>
  <c r="AK130" i="2177"/>
  <c r="AJ130" i="2177"/>
  <c r="AI130" i="2177"/>
  <c r="AH130" i="2177"/>
  <c r="AG130" i="2177"/>
  <c r="AF130" i="2177"/>
  <c r="AE130" i="2177"/>
  <c r="AD130" i="2177"/>
  <c r="AC130" i="2177"/>
  <c r="AB130" i="2177"/>
  <c r="AA130" i="2177"/>
  <c r="Z130" i="2177"/>
  <c r="Y130" i="2177"/>
  <c r="X130" i="2177"/>
  <c r="W130" i="2177"/>
  <c r="V130" i="2177"/>
  <c r="U130" i="2177"/>
  <c r="T130" i="2177"/>
  <c r="AR121" i="2177"/>
  <c r="AQ121" i="2177"/>
  <c r="AP121" i="2177"/>
  <c r="AO121" i="2177"/>
  <c r="AN121" i="2177"/>
  <c r="AM121" i="2177"/>
  <c r="AL121" i="2177"/>
  <c r="AK121" i="2177"/>
  <c r="AJ121" i="2177"/>
  <c r="AI121" i="2177"/>
  <c r="AH121" i="2177"/>
  <c r="AG121" i="2177"/>
  <c r="AF121" i="2177"/>
  <c r="AE121" i="2177"/>
  <c r="AD121" i="2177"/>
  <c r="AC121" i="2177"/>
  <c r="AB121" i="2177"/>
  <c r="AA121" i="2177"/>
  <c r="Z121" i="2177"/>
  <c r="Y121" i="2177"/>
  <c r="X121" i="2177"/>
  <c r="W121" i="2177"/>
  <c r="V121" i="2177"/>
  <c r="U121" i="2177"/>
  <c r="T121" i="2177"/>
  <c r="S121" i="2177"/>
  <c r="R121" i="2177"/>
  <c r="Q121" i="2177"/>
  <c r="P121" i="2177"/>
  <c r="O121" i="2177"/>
  <c r="N121" i="2177"/>
  <c r="M121" i="2177"/>
  <c r="L121" i="2177"/>
  <c r="K121" i="2177"/>
  <c r="J121" i="2177"/>
  <c r="I121" i="2177"/>
  <c r="H121" i="2177"/>
  <c r="G121" i="2177"/>
  <c r="F121" i="2177"/>
  <c r="E121" i="2177"/>
  <c r="C121" i="2177"/>
  <c r="AR120" i="2177"/>
  <c r="AQ120" i="2177"/>
  <c r="AP120" i="2177"/>
  <c r="AO120" i="2177"/>
  <c r="AN120" i="2177"/>
  <c r="AM120" i="2177"/>
  <c r="AL120" i="2177"/>
  <c r="AK120" i="2177"/>
  <c r="AJ120" i="2177"/>
  <c r="AI120" i="2177"/>
  <c r="AH120" i="2177"/>
  <c r="AG120" i="2177"/>
  <c r="AF120" i="2177"/>
  <c r="AE120" i="2177"/>
  <c r="AD120" i="2177"/>
  <c r="AC120" i="2177"/>
  <c r="AB120" i="2177"/>
  <c r="AA120" i="2177"/>
  <c r="Z120" i="2177"/>
  <c r="Y120" i="2177"/>
  <c r="X120" i="2177"/>
  <c r="W120" i="2177"/>
  <c r="V120" i="2177"/>
  <c r="U120" i="2177"/>
  <c r="T120" i="2177"/>
  <c r="S120" i="2177"/>
  <c r="R120" i="2177"/>
  <c r="Q120" i="2177"/>
  <c r="P120" i="2177"/>
  <c r="O120" i="2177"/>
  <c r="N120" i="2177"/>
  <c r="M120" i="2177"/>
  <c r="L120" i="2177"/>
  <c r="K120" i="2177"/>
  <c r="J120" i="2177"/>
  <c r="I120" i="2177"/>
  <c r="H120" i="2177"/>
  <c r="G120" i="2177"/>
  <c r="F120" i="2177"/>
  <c r="E120" i="2177"/>
  <c r="C120" i="2177"/>
  <c r="AR119" i="2177"/>
  <c r="AQ119" i="2177"/>
  <c r="AP119" i="2177"/>
  <c r="AO119" i="2177"/>
  <c r="AN119" i="2177"/>
  <c r="AM119" i="2177"/>
  <c r="AL119" i="2177"/>
  <c r="AK119" i="2177"/>
  <c r="AJ119" i="2177"/>
  <c r="AI119" i="2177"/>
  <c r="AH119" i="2177"/>
  <c r="AG119" i="2177"/>
  <c r="AF119" i="2177"/>
  <c r="AE119" i="2177"/>
  <c r="AD119" i="2177"/>
  <c r="AC119" i="2177"/>
  <c r="AB119" i="2177"/>
  <c r="AA119" i="2177"/>
  <c r="Z119" i="2177"/>
  <c r="Y119" i="2177"/>
  <c r="X119" i="2177"/>
  <c r="W119" i="2177"/>
  <c r="V119" i="2177"/>
  <c r="U119" i="2177"/>
  <c r="T119" i="2177"/>
  <c r="S119" i="2177"/>
  <c r="R119" i="2177"/>
  <c r="Q119" i="2177"/>
  <c r="P119" i="2177"/>
  <c r="O119" i="2177"/>
  <c r="N119" i="2177"/>
  <c r="M119" i="2177"/>
  <c r="L119" i="2177"/>
  <c r="K119" i="2177"/>
  <c r="J119" i="2177"/>
  <c r="I119" i="2177"/>
  <c r="H119" i="2177"/>
  <c r="G119" i="2177"/>
  <c r="F119" i="2177"/>
  <c r="E119" i="2177"/>
  <c r="AR118" i="2177"/>
  <c r="AQ118" i="2177"/>
  <c r="AP118" i="2177"/>
  <c r="AO118" i="2177"/>
  <c r="AN118" i="2177"/>
  <c r="AM118" i="2177"/>
  <c r="AL118" i="2177"/>
  <c r="AK118" i="2177"/>
  <c r="AJ118" i="2177"/>
  <c r="AI118" i="2177"/>
  <c r="AH118" i="2177"/>
  <c r="AG118" i="2177"/>
  <c r="AF118" i="2177"/>
  <c r="AE118" i="2177"/>
  <c r="AD118" i="2177"/>
  <c r="AC118" i="2177"/>
  <c r="AB118" i="2177"/>
  <c r="AA118" i="2177"/>
  <c r="Z118" i="2177"/>
  <c r="Y118" i="2177"/>
  <c r="S118" i="2177"/>
  <c r="R118" i="2177"/>
  <c r="Q118" i="2177"/>
  <c r="P118" i="2177"/>
  <c r="O118" i="2177"/>
  <c r="N118" i="2177"/>
  <c r="M118" i="2177"/>
  <c r="L118" i="2177"/>
  <c r="K118" i="2177"/>
  <c r="J118" i="2177"/>
  <c r="I118" i="2177"/>
  <c r="H118" i="2177"/>
  <c r="G118" i="2177"/>
  <c r="F118" i="2177"/>
  <c r="E118" i="2177"/>
  <c r="AR117" i="2177"/>
  <c r="AQ117" i="2177"/>
  <c r="AP117" i="2177"/>
  <c r="AO117" i="2177"/>
  <c r="AN117" i="2177"/>
  <c r="AM117" i="2177"/>
  <c r="AL117" i="2177"/>
  <c r="AK117" i="2177"/>
  <c r="AJ117" i="2177"/>
  <c r="AI117" i="2177"/>
  <c r="AH117" i="2177"/>
  <c r="AG117" i="2177"/>
  <c r="AF117" i="2177"/>
  <c r="AE117" i="2177"/>
  <c r="AD117" i="2177"/>
  <c r="AC117" i="2177"/>
  <c r="AB117" i="2177"/>
  <c r="AA117" i="2177"/>
  <c r="Z117" i="2177"/>
  <c r="Y117" i="2177"/>
  <c r="X117" i="2177"/>
  <c r="W117" i="2177"/>
  <c r="V117" i="2177"/>
  <c r="U117" i="2177"/>
  <c r="T117" i="2177"/>
  <c r="S117" i="2177"/>
  <c r="R117" i="2177"/>
  <c r="Q117" i="2177"/>
  <c r="P117" i="2177"/>
  <c r="O117" i="2177"/>
  <c r="N117" i="2177"/>
  <c r="M117" i="2177"/>
  <c r="L117" i="2177"/>
  <c r="K117" i="2177"/>
  <c r="J117" i="2177"/>
  <c r="I117" i="2177"/>
  <c r="H117" i="2177"/>
  <c r="G117" i="2177"/>
  <c r="F117" i="2177"/>
  <c r="E117" i="2177"/>
  <c r="AR116" i="2177"/>
  <c r="AR127" i="2177" s="1"/>
  <c r="AQ116" i="2177"/>
  <c r="AQ127" i="2177" s="1"/>
  <c r="AP116" i="2177"/>
  <c r="AP127" i="2177" s="1"/>
  <c r="AO116" i="2177"/>
  <c r="AO127" i="2177" s="1"/>
  <c r="AN116" i="2177"/>
  <c r="AN127" i="2177" s="1"/>
  <c r="AM116" i="2177"/>
  <c r="AM127" i="2177" s="1"/>
  <c r="AL116" i="2177"/>
  <c r="AL127" i="2177" s="1"/>
  <c r="AK116" i="2177"/>
  <c r="AK127" i="2177" s="1"/>
  <c r="AJ116" i="2177"/>
  <c r="AJ127" i="2177" s="1"/>
  <c r="AI116" i="2177"/>
  <c r="AI127" i="2177" s="1"/>
  <c r="AH116" i="2177"/>
  <c r="AH127" i="2177" s="1"/>
  <c r="AG116" i="2177"/>
  <c r="AG127" i="2177" s="1"/>
  <c r="AF116" i="2177"/>
  <c r="AF127" i="2177" s="1"/>
  <c r="AE116" i="2177"/>
  <c r="AE127" i="2177" s="1"/>
  <c r="AD116" i="2177"/>
  <c r="AD127" i="2177" s="1"/>
  <c r="AC116" i="2177"/>
  <c r="AC127" i="2177" s="1"/>
  <c r="AB116" i="2177"/>
  <c r="AB127" i="2177" s="1"/>
  <c r="AA116" i="2177"/>
  <c r="AA127" i="2177" s="1"/>
  <c r="Z116" i="2177"/>
  <c r="Z127" i="2177" s="1"/>
  <c r="Y116" i="2177"/>
  <c r="Y127" i="2177" s="1"/>
  <c r="C114" i="2177"/>
  <c r="AR113" i="2177"/>
  <c r="AQ113" i="2177"/>
  <c r="AP113" i="2177"/>
  <c r="AO113" i="2177"/>
  <c r="AN113" i="2177"/>
  <c r="AM113" i="2177"/>
  <c r="AL113" i="2177"/>
  <c r="AK113" i="2177"/>
  <c r="AJ113" i="2177"/>
  <c r="AI113" i="2177"/>
  <c r="AH113" i="2177"/>
  <c r="AG113" i="2177"/>
  <c r="AF113" i="2177"/>
  <c r="AE113" i="2177"/>
  <c r="AD113" i="2177"/>
  <c r="AC113" i="2177"/>
  <c r="AB113" i="2177"/>
  <c r="AA113" i="2177"/>
  <c r="Z113" i="2177"/>
  <c r="Y113" i="2177"/>
  <c r="X113" i="2177"/>
  <c r="W113" i="2177"/>
  <c r="V113" i="2177"/>
  <c r="U113" i="2177"/>
  <c r="T113" i="2177"/>
  <c r="S113" i="2177"/>
  <c r="R113" i="2177"/>
  <c r="Q113" i="2177"/>
  <c r="P113" i="2177"/>
  <c r="O113" i="2177"/>
  <c r="N113" i="2177"/>
  <c r="M113" i="2177"/>
  <c r="L113" i="2177"/>
  <c r="K113" i="2177"/>
  <c r="J113" i="2177"/>
  <c r="I113" i="2177"/>
  <c r="H113" i="2177"/>
  <c r="G113" i="2177"/>
  <c r="F113" i="2177"/>
  <c r="E113" i="2177"/>
  <c r="AR112" i="2177"/>
  <c r="AQ112" i="2177"/>
  <c r="AP112" i="2177"/>
  <c r="AO112" i="2177"/>
  <c r="AN112" i="2177"/>
  <c r="AM112" i="2177"/>
  <c r="AL112" i="2177"/>
  <c r="AK112" i="2177"/>
  <c r="AJ112" i="2177"/>
  <c r="AI112" i="2177"/>
  <c r="AH112" i="2177"/>
  <c r="AG112" i="2177"/>
  <c r="AF112" i="2177"/>
  <c r="AE112" i="2177"/>
  <c r="AD112" i="2177"/>
  <c r="AC112" i="2177"/>
  <c r="AB112" i="2177"/>
  <c r="AA112" i="2177"/>
  <c r="Z112" i="2177"/>
  <c r="Y112" i="2177"/>
  <c r="X112" i="2177"/>
  <c r="W112" i="2177"/>
  <c r="V112" i="2177"/>
  <c r="U112" i="2177"/>
  <c r="T112" i="2177"/>
  <c r="S112" i="2177"/>
  <c r="R112" i="2177"/>
  <c r="Q112" i="2177"/>
  <c r="P112" i="2177"/>
  <c r="O112" i="2177"/>
  <c r="N112" i="2177"/>
  <c r="M112" i="2177"/>
  <c r="L112" i="2177"/>
  <c r="K112" i="2177"/>
  <c r="J112" i="2177"/>
  <c r="I112" i="2177"/>
  <c r="H112" i="2177"/>
  <c r="G112" i="2177"/>
  <c r="F112" i="2177"/>
  <c r="E112" i="2177"/>
  <c r="C112" i="2177"/>
  <c r="C111" i="2177"/>
  <c r="AR104" i="2177"/>
  <c r="AQ104" i="2177"/>
  <c r="AP104" i="2177"/>
  <c r="AO104" i="2177"/>
  <c r="AN104" i="2177"/>
  <c r="AM104" i="2177"/>
  <c r="AL104" i="2177"/>
  <c r="AK104" i="2177"/>
  <c r="AJ104" i="2177"/>
  <c r="AI104" i="2177"/>
  <c r="AH104" i="2177"/>
  <c r="AG104" i="2177"/>
  <c r="AF104" i="2177"/>
  <c r="AE104" i="2177"/>
  <c r="AD104" i="2177"/>
  <c r="AC104" i="2177"/>
  <c r="AB104" i="2177"/>
  <c r="AA104" i="2177"/>
  <c r="Z104" i="2177"/>
  <c r="Y104" i="2177"/>
  <c r="X104" i="2177"/>
  <c r="X118" i="2177" s="1"/>
  <c r="W104" i="2177"/>
  <c r="W118" i="2177" s="1"/>
  <c r="V104" i="2177"/>
  <c r="V118" i="2177" s="1"/>
  <c r="U104" i="2177"/>
  <c r="U118" i="2177" s="1"/>
  <c r="T104" i="2177"/>
  <c r="S104" i="2177"/>
  <c r="R104" i="2177"/>
  <c r="Q104" i="2177"/>
  <c r="P104" i="2177"/>
  <c r="O104" i="2177"/>
  <c r="N104" i="2177"/>
  <c r="M104" i="2177"/>
  <c r="L104" i="2177"/>
  <c r="K104" i="2177"/>
  <c r="J104" i="2177"/>
  <c r="I104" i="2177"/>
  <c r="H104" i="2177"/>
  <c r="G104" i="2177"/>
  <c r="F104" i="2177"/>
  <c r="E104" i="2177"/>
  <c r="E101" i="2177"/>
  <c r="F101" i="2177" s="1"/>
  <c r="G101" i="2177" s="1"/>
  <c r="H101" i="2177" s="1"/>
  <c r="I101" i="2177" s="1"/>
  <c r="J101" i="2177" s="1"/>
  <c r="K101" i="2177" s="1"/>
  <c r="L101" i="2177" s="1"/>
  <c r="M101" i="2177" s="1"/>
  <c r="N101" i="2177" s="1"/>
  <c r="O101" i="2177" s="1"/>
  <c r="P101" i="2177" s="1"/>
  <c r="Q101" i="2177" s="1"/>
  <c r="R101" i="2177" s="1"/>
  <c r="S101" i="2177" s="1"/>
  <c r="T101" i="2177" s="1"/>
  <c r="U101" i="2177" s="1"/>
  <c r="V101" i="2177" s="1"/>
  <c r="W101" i="2177" s="1"/>
  <c r="X101" i="2177" s="1"/>
  <c r="Y101" i="2177" s="1"/>
  <c r="C87" i="2177"/>
  <c r="D70" i="2177"/>
  <c r="D69" i="2177"/>
  <c r="D68" i="2177"/>
  <c r="C66" i="2177"/>
  <c r="D65" i="2177"/>
  <c r="C64" i="2177"/>
  <c r="D63" i="2177"/>
  <c r="C62" i="2177"/>
  <c r="D61" i="2177"/>
  <c r="C59" i="2177"/>
  <c r="D55" i="2177"/>
  <c r="D54" i="2177"/>
  <c r="D53" i="2177"/>
  <c r="D52" i="2177"/>
  <c r="C51" i="2177"/>
  <c r="D50" i="2177"/>
  <c r="D49" i="2177"/>
  <c r="D47" i="2177"/>
  <c r="D46" i="2177"/>
  <c r="C43" i="2177"/>
  <c r="C41" i="2177"/>
  <c r="D37" i="2177"/>
  <c r="C36" i="2177"/>
  <c r="D35" i="2177"/>
  <c r="C34" i="2177"/>
  <c r="D30" i="2177"/>
  <c r="E17" i="2177"/>
  <c r="E16" i="2177"/>
  <c r="E13" i="2177"/>
  <c r="E12" i="2177"/>
  <c r="D8" i="2177"/>
  <c r="D7" i="2177"/>
  <c r="D5" i="2177"/>
  <c r="A1" i="2177"/>
  <c r="B171" i="2176"/>
  <c r="B170" i="2176"/>
  <c r="B169" i="2176"/>
  <c r="B165" i="2176"/>
  <c r="B164" i="2176"/>
  <c r="B163" i="2176"/>
  <c r="C147" i="2176"/>
  <c r="AR143" i="2176"/>
  <c r="AQ143" i="2176"/>
  <c r="AP143" i="2176"/>
  <c r="AO143" i="2176"/>
  <c r="AN143" i="2176"/>
  <c r="AM143" i="2176"/>
  <c r="AL143" i="2176"/>
  <c r="AK143" i="2176"/>
  <c r="AJ143" i="2176"/>
  <c r="AI143" i="2176"/>
  <c r="AH143" i="2176"/>
  <c r="AG143" i="2176"/>
  <c r="AF143" i="2176"/>
  <c r="AE143" i="2176"/>
  <c r="AD143" i="2176"/>
  <c r="AC143" i="2176"/>
  <c r="AB143" i="2176"/>
  <c r="AA143" i="2176"/>
  <c r="Z143" i="2176"/>
  <c r="Y143" i="2176"/>
  <c r="X143" i="2176"/>
  <c r="W143" i="2176"/>
  <c r="V143" i="2176"/>
  <c r="U143" i="2176"/>
  <c r="T143" i="2176"/>
  <c r="AR141" i="2176"/>
  <c r="AQ141" i="2176"/>
  <c r="AP141" i="2176"/>
  <c r="AO141" i="2176"/>
  <c r="AN141" i="2176"/>
  <c r="AM141" i="2176"/>
  <c r="AL141" i="2176"/>
  <c r="AK141" i="2176"/>
  <c r="AJ141" i="2176"/>
  <c r="AI141" i="2176"/>
  <c r="AH141" i="2176"/>
  <c r="AG141" i="2176"/>
  <c r="AF141" i="2176"/>
  <c r="AE141" i="2176"/>
  <c r="AD141" i="2176"/>
  <c r="AC141" i="2176"/>
  <c r="AB141" i="2176"/>
  <c r="AA141" i="2176"/>
  <c r="Z141" i="2176"/>
  <c r="Y141" i="2176"/>
  <c r="X141" i="2176"/>
  <c r="W141" i="2176"/>
  <c r="V141" i="2176"/>
  <c r="U141" i="2176"/>
  <c r="T141" i="2176"/>
  <c r="C141" i="2176"/>
  <c r="AR132" i="2176"/>
  <c r="AQ132" i="2176"/>
  <c r="AP132" i="2176"/>
  <c r="AO132" i="2176"/>
  <c r="AN132" i="2176"/>
  <c r="AM132" i="2176"/>
  <c r="AL132" i="2176"/>
  <c r="AK132" i="2176"/>
  <c r="AJ132" i="2176"/>
  <c r="AI132" i="2176"/>
  <c r="AH132" i="2176"/>
  <c r="AG132" i="2176"/>
  <c r="AF132" i="2176"/>
  <c r="AE132" i="2176"/>
  <c r="AD132" i="2176"/>
  <c r="AC132" i="2176"/>
  <c r="AB132" i="2176"/>
  <c r="AA132" i="2176"/>
  <c r="Z132" i="2176"/>
  <c r="Y132" i="2176"/>
  <c r="X132" i="2176"/>
  <c r="W132" i="2176"/>
  <c r="V132" i="2176"/>
  <c r="U132" i="2176"/>
  <c r="T132" i="2176"/>
  <c r="AR131" i="2176"/>
  <c r="AR133" i="2176" s="1"/>
  <c r="AQ131" i="2176"/>
  <c r="AQ133" i="2176" s="1"/>
  <c r="AP131" i="2176"/>
  <c r="AO131" i="2176"/>
  <c r="AN131" i="2176"/>
  <c r="AN133" i="2176" s="1"/>
  <c r="AM131" i="2176"/>
  <c r="AL131" i="2176"/>
  <c r="AL133" i="2176" s="1"/>
  <c r="AK131" i="2176"/>
  <c r="AK133" i="2176" s="1"/>
  <c r="AJ131" i="2176"/>
  <c r="AJ133" i="2176" s="1"/>
  <c r="AI131" i="2176"/>
  <c r="AI133" i="2176" s="1"/>
  <c r="AH131" i="2176"/>
  <c r="AH133" i="2176" s="1"/>
  <c r="AG131" i="2176"/>
  <c r="AG133" i="2176" s="1"/>
  <c r="AF131" i="2176"/>
  <c r="AF133" i="2176" s="1"/>
  <c r="AE131" i="2176"/>
  <c r="AE133" i="2176" s="1"/>
  <c r="AD131" i="2176"/>
  <c r="AD133" i="2176" s="1"/>
  <c r="AC131" i="2176"/>
  <c r="AC133" i="2176" s="1"/>
  <c r="AB131" i="2176"/>
  <c r="AB133" i="2176" s="1"/>
  <c r="AA131" i="2176"/>
  <c r="AA133" i="2176" s="1"/>
  <c r="Z131" i="2176"/>
  <c r="Y131" i="2176"/>
  <c r="X131" i="2176"/>
  <c r="X133" i="2176" s="1"/>
  <c r="W131" i="2176"/>
  <c r="W133" i="2176" s="1"/>
  <c r="V131" i="2176"/>
  <c r="V133" i="2176" s="1"/>
  <c r="U131" i="2176"/>
  <c r="U133" i="2176" s="1"/>
  <c r="T131" i="2176"/>
  <c r="T133" i="2176" s="1"/>
  <c r="AR130" i="2176"/>
  <c r="AQ130" i="2176"/>
  <c r="AP130" i="2176"/>
  <c r="AO130" i="2176"/>
  <c r="AN130" i="2176"/>
  <c r="AM130" i="2176"/>
  <c r="AL130" i="2176"/>
  <c r="AK130" i="2176"/>
  <c r="AJ130" i="2176"/>
  <c r="AI130" i="2176"/>
  <c r="AH130" i="2176"/>
  <c r="AG130" i="2176"/>
  <c r="AF130" i="2176"/>
  <c r="AE130" i="2176"/>
  <c r="AD130" i="2176"/>
  <c r="AC130" i="2176"/>
  <c r="AB130" i="2176"/>
  <c r="AA130" i="2176"/>
  <c r="Z130" i="2176"/>
  <c r="Y130" i="2176"/>
  <c r="X130" i="2176"/>
  <c r="W130" i="2176"/>
  <c r="V130" i="2176"/>
  <c r="U130" i="2176"/>
  <c r="T130" i="2176"/>
  <c r="AR121" i="2176"/>
  <c r="AQ121" i="2176"/>
  <c r="AP121" i="2176"/>
  <c r="AO121" i="2176"/>
  <c r="AN121" i="2176"/>
  <c r="AM121" i="2176"/>
  <c r="AL121" i="2176"/>
  <c r="AK121" i="2176"/>
  <c r="AJ121" i="2176"/>
  <c r="AI121" i="2176"/>
  <c r="AH121" i="2176"/>
  <c r="AG121" i="2176"/>
  <c r="AF121" i="2176"/>
  <c r="AE121" i="2176"/>
  <c r="AD121" i="2176"/>
  <c r="AC121" i="2176"/>
  <c r="AB121" i="2176"/>
  <c r="AA121" i="2176"/>
  <c r="Z121" i="2176"/>
  <c r="Y121" i="2176"/>
  <c r="X121" i="2176"/>
  <c r="W121" i="2176"/>
  <c r="V121" i="2176"/>
  <c r="U121" i="2176"/>
  <c r="T121" i="2176"/>
  <c r="S121" i="2176"/>
  <c r="R121" i="2176"/>
  <c r="Q121" i="2176"/>
  <c r="P121" i="2176"/>
  <c r="O121" i="2176"/>
  <c r="N121" i="2176"/>
  <c r="M121" i="2176"/>
  <c r="L121" i="2176"/>
  <c r="K121" i="2176"/>
  <c r="J121" i="2176"/>
  <c r="I121" i="2176"/>
  <c r="H121" i="2176"/>
  <c r="G121" i="2176"/>
  <c r="F121" i="2176"/>
  <c r="E121" i="2176"/>
  <c r="C121" i="2176"/>
  <c r="AR120" i="2176"/>
  <c r="AQ120" i="2176"/>
  <c r="AP120" i="2176"/>
  <c r="AO120" i="2176"/>
  <c r="AN120" i="2176"/>
  <c r="AM120" i="2176"/>
  <c r="AL120" i="2176"/>
  <c r="AK120" i="2176"/>
  <c r="AJ120" i="2176"/>
  <c r="AI120" i="2176"/>
  <c r="AH120" i="2176"/>
  <c r="AG120" i="2176"/>
  <c r="AF120" i="2176"/>
  <c r="AE120" i="2176"/>
  <c r="AD120" i="2176"/>
  <c r="AC120" i="2176"/>
  <c r="AB120" i="2176"/>
  <c r="AA120" i="2176"/>
  <c r="Z120" i="2176"/>
  <c r="Y120" i="2176"/>
  <c r="X120" i="2176"/>
  <c r="W120" i="2176"/>
  <c r="V120" i="2176"/>
  <c r="U120" i="2176"/>
  <c r="T120" i="2176"/>
  <c r="S120" i="2176"/>
  <c r="R120" i="2176"/>
  <c r="Q120" i="2176"/>
  <c r="P120" i="2176"/>
  <c r="O120" i="2176"/>
  <c r="N120" i="2176"/>
  <c r="M120" i="2176"/>
  <c r="L120" i="2176"/>
  <c r="K120" i="2176"/>
  <c r="J120" i="2176"/>
  <c r="I120" i="2176"/>
  <c r="H120" i="2176"/>
  <c r="G120" i="2176"/>
  <c r="F120" i="2176"/>
  <c r="E120" i="2176"/>
  <c r="C120" i="2176"/>
  <c r="AR119" i="2176"/>
  <c r="AQ119" i="2176"/>
  <c r="AP119" i="2176"/>
  <c r="AO119" i="2176"/>
  <c r="AN119" i="2176"/>
  <c r="AM119" i="2176"/>
  <c r="AL119" i="2176"/>
  <c r="AK119" i="2176"/>
  <c r="AJ119" i="2176"/>
  <c r="AI119" i="2176"/>
  <c r="AH119" i="2176"/>
  <c r="AG119" i="2176"/>
  <c r="AF119" i="2176"/>
  <c r="AE119" i="2176"/>
  <c r="AD119" i="2176"/>
  <c r="AC119" i="2176"/>
  <c r="AB119" i="2176"/>
  <c r="AA119" i="2176"/>
  <c r="Z119" i="2176"/>
  <c r="Y119" i="2176"/>
  <c r="X119" i="2176"/>
  <c r="W119" i="2176"/>
  <c r="V119" i="2176"/>
  <c r="U119" i="2176"/>
  <c r="T119" i="2176"/>
  <c r="S119" i="2176"/>
  <c r="R119" i="2176"/>
  <c r="Q119" i="2176"/>
  <c r="P119" i="2176"/>
  <c r="O119" i="2176"/>
  <c r="N119" i="2176"/>
  <c r="M119" i="2176"/>
  <c r="L119" i="2176"/>
  <c r="K119" i="2176"/>
  <c r="J119" i="2176"/>
  <c r="I119" i="2176"/>
  <c r="H119" i="2176"/>
  <c r="G119" i="2176"/>
  <c r="F119" i="2176"/>
  <c r="E119" i="2176"/>
  <c r="AR118" i="2176"/>
  <c r="AQ118" i="2176"/>
  <c r="AP118" i="2176"/>
  <c r="AO118" i="2176"/>
  <c r="AN118" i="2176"/>
  <c r="AM118" i="2176"/>
  <c r="AL118" i="2176"/>
  <c r="AK118" i="2176"/>
  <c r="AJ118" i="2176"/>
  <c r="AI118" i="2176"/>
  <c r="AH118" i="2176"/>
  <c r="AG118" i="2176"/>
  <c r="AF118" i="2176"/>
  <c r="AE118" i="2176"/>
  <c r="AD118" i="2176"/>
  <c r="AC118" i="2176"/>
  <c r="AB118" i="2176"/>
  <c r="AA118" i="2176"/>
  <c r="Z118" i="2176"/>
  <c r="Y118" i="2176"/>
  <c r="S118" i="2176"/>
  <c r="R118" i="2176"/>
  <c r="Q118" i="2176"/>
  <c r="P118" i="2176"/>
  <c r="O118" i="2176"/>
  <c r="N118" i="2176"/>
  <c r="M118" i="2176"/>
  <c r="L118" i="2176"/>
  <c r="K118" i="2176"/>
  <c r="J118" i="2176"/>
  <c r="I118" i="2176"/>
  <c r="H118" i="2176"/>
  <c r="G118" i="2176"/>
  <c r="F118" i="2176"/>
  <c r="E118" i="2176"/>
  <c r="AR117" i="2176"/>
  <c r="AQ117" i="2176"/>
  <c r="AP117" i="2176"/>
  <c r="AO117" i="2176"/>
  <c r="AN117" i="2176"/>
  <c r="AM117" i="2176"/>
  <c r="AL117" i="2176"/>
  <c r="AK117" i="2176"/>
  <c r="AJ117" i="2176"/>
  <c r="AI117" i="2176"/>
  <c r="AH117" i="2176"/>
  <c r="AG117" i="2176"/>
  <c r="AF117" i="2176"/>
  <c r="AE117" i="2176"/>
  <c r="AD117" i="2176"/>
  <c r="AC117" i="2176"/>
  <c r="AB117" i="2176"/>
  <c r="AA117" i="2176"/>
  <c r="Z117" i="2176"/>
  <c r="Y117" i="2176"/>
  <c r="X117" i="2176"/>
  <c r="W117" i="2176"/>
  <c r="V117" i="2176"/>
  <c r="U117" i="2176"/>
  <c r="T117" i="2176"/>
  <c r="S117" i="2176"/>
  <c r="R117" i="2176"/>
  <c r="Q117" i="2176"/>
  <c r="P117" i="2176"/>
  <c r="O117" i="2176"/>
  <c r="N117" i="2176"/>
  <c r="M117" i="2176"/>
  <c r="L117" i="2176"/>
  <c r="K117" i="2176"/>
  <c r="J117" i="2176"/>
  <c r="I117" i="2176"/>
  <c r="H117" i="2176"/>
  <c r="G117" i="2176"/>
  <c r="F117" i="2176"/>
  <c r="E117" i="2176"/>
  <c r="AR116" i="2176"/>
  <c r="AR127" i="2176" s="1"/>
  <c r="AQ116" i="2176"/>
  <c r="AQ127" i="2176" s="1"/>
  <c r="AP116" i="2176"/>
  <c r="AP127" i="2176" s="1"/>
  <c r="AO116" i="2176"/>
  <c r="AO127" i="2176" s="1"/>
  <c r="AN116" i="2176"/>
  <c r="AN127" i="2176" s="1"/>
  <c r="AM116" i="2176"/>
  <c r="AM127" i="2176" s="1"/>
  <c r="AL116" i="2176"/>
  <c r="AL127" i="2176" s="1"/>
  <c r="AK116" i="2176"/>
  <c r="AK127" i="2176" s="1"/>
  <c r="AJ116" i="2176"/>
  <c r="AJ127" i="2176" s="1"/>
  <c r="AI116" i="2176"/>
  <c r="AI127" i="2176" s="1"/>
  <c r="AH116" i="2176"/>
  <c r="AH127" i="2176" s="1"/>
  <c r="AG116" i="2176"/>
  <c r="AG127" i="2176" s="1"/>
  <c r="AF116" i="2176"/>
  <c r="AF127" i="2176" s="1"/>
  <c r="AE116" i="2176"/>
  <c r="AE127" i="2176" s="1"/>
  <c r="AD116" i="2176"/>
  <c r="AD127" i="2176" s="1"/>
  <c r="AC116" i="2176"/>
  <c r="AC127" i="2176" s="1"/>
  <c r="AB116" i="2176"/>
  <c r="AB127" i="2176" s="1"/>
  <c r="AA116" i="2176"/>
  <c r="AA127" i="2176" s="1"/>
  <c r="Z116" i="2176"/>
  <c r="Z127" i="2176" s="1"/>
  <c r="Y116" i="2176"/>
  <c r="Y127" i="2176" s="1"/>
  <c r="C114" i="2176"/>
  <c r="AR113" i="2176"/>
  <c r="AQ113" i="2176"/>
  <c r="AP113" i="2176"/>
  <c r="AO113" i="2176"/>
  <c r="AN113" i="2176"/>
  <c r="AM113" i="2176"/>
  <c r="AL113" i="2176"/>
  <c r="AK113" i="2176"/>
  <c r="AJ113" i="2176"/>
  <c r="AI113" i="2176"/>
  <c r="AH113" i="2176"/>
  <c r="AG113" i="2176"/>
  <c r="AF113" i="2176"/>
  <c r="AE113" i="2176"/>
  <c r="AD113" i="2176"/>
  <c r="AC113" i="2176"/>
  <c r="AB113" i="2176"/>
  <c r="AA113" i="2176"/>
  <c r="Z113" i="2176"/>
  <c r="Y113" i="2176"/>
  <c r="X113" i="2176"/>
  <c r="W113" i="2176"/>
  <c r="V113" i="2176"/>
  <c r="U113" i="2176"/>
  <c r="T113" i="2176"/>
  <c r="S113" i="2176"/>
  <c r="R113" i="2176"/>
  <c r="Q113" i="2176"/>
  <c r="P113" i="2176"/>
  <c r="O113" i="2176"/>
  <c r="N113" i="2176"/>
  <c r="M113" i="2176"/>
  <c r="L113" i="2176"/>
  <c r="K113" i="2176"/>
  <c r="J113" i="2176"/>
  <c r="I113" i="2176"/>
  <c r="H113" i="2176"/>
  <c r="G113" i="2176"/>
  <c r="F113" i="2176"/>
  <c r="E113" i="2176"/>
  <c r="AR112" i="2176"/>
  <c r="AQ112" i="2176"/>
  <c r="AP112" i="2176"/>
  <c r="AO112" i="2176"/>
  <c r="AN112" i="2176"/>
  <c r="AM112" i="2176"/>
  <c r="AL112" i="2176"/>
  <c r="AK112" i="2176"/>
  <c r="AJ112" i="2176"/>
  <c r="AI112" i="2176"/>
  <c r="AH112" i="2176"/>
  <c r="AG112" i="2176"/>
  <c r="AF112" i="2176"/>
  <c r="AE112" i="2176"/>
  <c r="AD112" i="2176"/>
  <c r="AC112" i="2176"/>
  <c r="AB112" i="2176"/>
  <c r="AA112" i="2176"/>
  <c r="Z112" i="2176"/>
  <c r="Y112" i="2176"/>
  <c r="X112" i="2176"/>
  <c r="W112" i="2176"/>
  <c r="V112" i="2176"/>
  <c r="U112" i="2176"/>
  <c r="T112" i="2176"/>
  <c r="S112" i="2176"/>
  <c r="R112" i="2176"/>
  <c r="Q112" i="2176"/>
  <c r="P112" i="2176"/>
  <c r="O112" i="2176"/>
  <c r="N112" i="2176"/>
  <c r="M112" i="2176"/>
  <c r="L112" i="2176"/>
  <c r="K112" i="2176"/>
  <c r="J112" i="2176"/>
  <c r="I112" i="2176"/>
  <c r="H112" i="2176"/>
  <c r="G112" i="2176"/>
  <c r="F112" i="2176"/>
  <c r="E112" i="2176"/>
  <c r="C112" i="2176"/>
  <c r="C111" i="2176"/>
  <c r="AR104" i="2176"/>
  <c r="AQ104" i="2176"/>
  <c r="AP104" i="2176"/>
  <c r="AO104" i="2176"/>
  <c r="AN104" i="2176"/>
  <c r="AM104" i="2176"/>
  <c r="AL104" i="2176"/>
  <c r="AK104" i="2176"/>
  <c r="AJ104" i="2176"/>
  <c r="AI104" i="2176"/>
  <c r="AH104" i="2176"/>
  <c r="AG104" i="2176"/>
  <c r="AF104" i="2176"/>
  <c r="AE104" i="2176"/>
  <c r="AD104" i="2176"/>
  <c r="AC104" i="2176"/>
  <c r="AB104" i="2176"/>
  <c r="AA104" i="2176"/>
  <c r="Z104" i="2176"/>
  <c r="Y104" i="2176"/>
  <c r="X104" i="2176"/>
  <c r="X118" i="2176" s="1"/>
  <c r="W104" i="2176"/>
  <c r="V104" i="2176"/>
  <c r="V118" i="2176" s="1"/>
  <c r="U104" i="2176"/>
  <c r="U118" i="2176" s="1"/>
  <c r="T104" i="2176"/>
  <c r="S104" i="2176"/>
  <c r="R104" i="2176"/>
  <c r="Q104" i="2176"/>
  <c r="P104" i="2176"/>
  <c r="O104" i="2176"/>
  <c r="N104" i="2176"/>
  <c r="M104" i="2176"/>
  <c r="L104" i="2176"/>
  <c r="K104" i="2176"/>
  <c r="J104" i="2176"/>
  <c r="I104" i="2176"/>
  <c r="H104" i="2176"/>
  <c r="G104" i="2176"/>
  <c r="F104" i="2176"/>
  <c r="E104" i="2176"/>
  <c r="G101" i="2176"/>
  <c r="H101" i="2176" s="1"/>
  <c r="I101" i="2176" s="1"/>
  <c r="J101" i="2176" s="1"/>
  <c r="K101" i="2176" s="1"/>
  <c r="L101" i="2176" s="1"/>
  <c r="M101" i="2176" s="1"/>
  <c r="N101" i="2176" s="1"/>
  <c r="O101" i="2176" s="1"/>
  <c r="P101" i="2176" s="1"/>
  <c r="Q101" i="2176" s="1"/>
  <c r="R101" i="2176" s="1"/>
  <c r="S101" i="2176" s="1"/>
  <c r="T101" i="2176" s="1"/>
  <c r="U101" i="2176" s="1"/>
  <c r="V101" i="2176" s="1"/>
  <c r="W101" i="2176" s="1"/>
  <c r="X101" i="2176" s="1"/>
  <c r="Y101" i="2176" s="1"/>
  <c r="E101" i="2176"/>
  <c r="F101" i="2176" s="1"/>
  <c r="C87" i="2176"/>
  <c r="D70" i="2176"/>
  <c r="D69" i="2176"/>
  <c r="D68" i="2176"/>
  <c r="C66" i="2176"/>
  <c r="D65" i="2176"/>
  <c r="C64" i="2176"/>
  <c r="D63" i="2176"/>
  <c r="C62" i="2176"/>
  <c r="D61" i="2176"/>
  <c r="C59" i="2176"/>
  <c r="D55" i="2176"/>
  <c r="D54" i="2176"/>
  <c r="D53" i="2176"/>
  <c r="D52" i="2176"/>
  <c r="C51" i="2176"/>
  <c r="D50" i="2176"/>
  <c r="D49" i="2176"/>
  <c r="D47" i="2176"/>
  <c r="D46" i="2176"/>
  <c r="C43" i="2176"/>
  <c r="C41" i="2176"/>
  <c r="D37" i="2176"/>
  <c r="C36" i="2176"/>
  <c r="D35" i="2176"/>
  <c r="C34" i="2176"/>
  <c r="D30" i="2176"/>
  <c r="E17" i="2176"/>
  <c r="E16" i="2176"/>
  <c r="E13" i="2176"/>
  <c r="E12" i="2176"/>
  <c r="D8" i="2176"/>
  <c r="D7" i="2176"/>
  <c r="D5" i="2176"/>
  <c r="A1" i="2176"/>
  <c r="B171" i="2175"/>
  <c r="B170" i="2175"/>
  <c r="B169" i="2175"/>
  <c r="B165" i="2175"/>
  <c r="B164" i="2175"/>
  <c r="B163" i="2175"/>
  <c r="C147" i="2175"/>
  <c r="AR143" i="2175"/>
  <c r="AQ143" i="2175"/>
  <c r="AP143" i="2175"/>
  <c r="AO143" i="2175"/>
  <c r="AN143" i="2175"/>
  <c r="AM143" i="2175"/>
  <c r="AL143" i="2175"/>
  <c r="AK143" i="2175"/>
  <c r="AJ143" i="2175"/>
  <c r="AI143" i="2175"/>
  <c r="AH143" i="2175"/>
  <c r="AG143" i="2175"/>
  <c r="AF143" i="2175"/>
  <c r="AE143" i="2175"/>
  <c r="AD143" i="2175"/>
  <c r="AC143" i="2175"/>
  <c r="AB143" i="2175"/>
  <c r="AA143" i="2175"/>
  <c r="Z143" i="2175"/>
  <c r="Y143" i="2175"/>
  <c r="X143" i="2175"/>
  <c r="W143" i="2175"/>
  <c r="V143" i="2175"/>
  <c r="U143" i="2175"/>
  <c r="T143" i="2175"/>
  <c r="AR141" i="2175"/>
  <c r="AQ141" i="2175"/>
  <c r="AP141" i="2175"/>
  <c r="AO141" i="2175"/>
  <c r="AN141" i="2175"/>
  <c r="AM141" i="2175"/>
  <c r="AL141" i="2175"/>
  <c r="AK141" i="2175"/>
  <c r="AJ141" i="2175"/>
  <c r="AI141" i="2175"/>
  <c r="AH141" i="2175"/>
  <c r="AG141" i="2175"/>
  <c r="AF141" i="2175"/>
  <c r="AE141" i="2175"/>
  <c r="AD141" i="2175"/>
  <c r="AC141" i="2175"/>
  <c r="AB141" i="2175"/>
  <c r="AA141" i="2175"/>
  <c r="Z141" i="2175"/>
  <c r="Y141" i="2175"/>
  <c r="X141" i="2175"/>
  <c r="W141" i="2175"/>
  <c r="V141" i="2175"/>
  <c r="U141" i="2175"/>
  <c r="T141" i="2175"/>
  <c r="C141" i="2175"/>
  <c r="AR132" i="2175"/>
  <c r="AQ132" i="2175"/>
  <c r="AP132" i="2175"/>
  <c r="AO132" i="2175"/>
  <c r="AN132" i="2175"/>
  <c r="AM132" i="2175"/>
  <c r="AL132" i="2175"/>
  <c r="AK132" i="2175"/>
  <c r="AJ132" i="2175"/>
  <c r="AI132" i="2175"/>
  <c r="AH132" i="2175"/>
  <c r="AG132" i="2175"/>
  <c r="AF132" i="2175"/>
  <c r="AE132" i="2175"/>
  <c r="AD132" i="2175"/>
  <c r="AC132" i="2175"/>
  <c r="AB132" i="2175"/>
  <c r="AA132" i="2175"/>
  <c r="Z132" i="2175"/>
  <c r="Y132" i="2175"/>
  <c r="X132" i="2175"/>
  <c r="W132" i="2175"/>
  <c r="V132" i="2175"/>
  <c r="U132" i="2175"/>
  <c r="T132" i="2175"/>
  <c r="AR131" i="2175"/>
  <c r="AR133" i="2175" s="1"/>
  <c r="AQ131" i="2175"/>
  <c r="AQ133" i="2175" s="1"/>
  <c r="AP131" i="2175"/>
  <c r="AO131" i="2175"/>
  <c r="AO133" i="2175" s="1"/>
  <c r="AN131" i="2175"/>
  <c r="AN133" i="2175" s="1"/>
  <c r="AM131" i="2175"/>
  <c r="AL131" i="2175"/>
  <c r="AL133" i="2175" s="1"/>
  <c r="AK131" i="2175"/>
  <c r="AK133" i="2175" s="1"/>
  <c r="AJ131" i="2175"/>
  <c r="AJ133" i="2175" s="1"/>
  <c r="AI131" i="2175"/>
  <c r="AI133" i="2175" s="1"/>
  <c r="AH131" i="2175"/>
  <c r="AH133" i="2175" s="1"/>
  <c r="AG131" i="2175"/>
  <c r="AG133" i="2175" s="1"/>
  <c r="AF131" i="2175"/>
  <c r="AF133" i="2175" s="1"/>
  <c r="AE131" i="2175"/>
  <c r="AE133" i="2175" s="1"/>
  <c r="AD131" i="2175"/>
  <c r="AD133" i="2175" s="1"/>
  <c r="AC131" i="2175"/>
  <c r="AB131" i="2175"/>
  <c r="AB133" i="2175" s="1"/>
  <c r="AA131" i="2175"/>
  <c r="AA133" i="2175" s="1"/>
  <c r="Z131" i="2175"/>
  <c r="Y131" i="2175"/>
  <c r="Y133" i="2175" s="1"/>
  <c r="X131" i="2175"/>
  <c r="X133" i="2175" s="1"/>
  <c r="W131" i="2175"/>
  <c r="W133" i="2175" s="1"/>
  <c r="V131" i="2175"/>
  <c r="V133" i="2175" s="1"/>
  <c r="U131" i="2175"/>
  <c r="U133" i="2175" s="1"/>
  <c r="T131" i="2175"/>
  <c r="T133" i="2175" s="1"/>
  <c r="AR130" i="2175"/>
  <c r="AQ130" i="2175"/>
  <c r="AP130" i="2175"/>
  <c r="AO130" i="2175"/>
  <c r="AN130" i="2175"/>
  <c r="AM130" i="2175"/>
  <c r="AL130" i="2175"/>
  <c r="AK130" i="2175"/>
  <c r="AJ130" i="2175"/>
  <c r="AI130" i="2175"/>
  <c r="AH130" i="2175"/>
  <c r="AG130" i="2175"/>
  <c r="AF130" i="2175"/>
  <c r="AE130" i="2175"/>
  <c r="AD130" i="2175"/>
  <c r="AC130" i="2175"/>
  <c r="AB130" i="2175"/>
  <c r="AA130" i="2175"/>
  <c r="Z130" i="2175"/>
  <c r="Y130" i="2175"/>
  <c r="X130" i="2175"/>
  <c r="W130" i="2175"/>
  <c r="V130" i="2175"/>
  <c r="U130" i="2175"/>
  <c r="T130" i="2175"/>
  <c r="AR121" i="2175"/>
  <c r="AQ121" i="2175"/>
  <c r="AP121" i="2175"/>
  <c r="AO121" i="2175"/>
  <c r="AN121" i="2175"/>
  <c r="AM121" i="2175"/>
  <c r="AL121" i="2175"/>
  <c r="AK121" i="2175"/>
  <c r="AJ121" i="2175"/>
  <c r="AI121" i="2175"/>
  <c r="AH121" i="2175"/>
  <c r="AG121" i="2175"/>
  <c r="AF121" i="2175"/>
  <c r="AE121" i="2175"/>
  <c r="AD121" i="2175"/>
  <c r="AC121" i="2175"/>
  <c r="AB121" i="2175"/>
  <c r="AA121" i="2175"/>
  <c r="Z121" i="2175"/>
  <c r="Y121" i="2175"/>
  <c r="X121" i="2175"/>
  <c r="W121" i="2175"/>
  <c r="V121" i="2175"/>
  <c r="U121" i="2175"/>
  <c r="T121" i="2175"/>
  <c r="S121" i="2175"/>
  <c r="R121" i="2175"/>
  <c r="Q121" i="2175"/>
  <c r="P121" i="2175"/>
  <c r="O121" i="2175"/>
  <c r="N121" i="2175"/>
  <c r="M121" i="2175"/>
  <c r="L121" i="2175"/>
  <c r="K121" i="2175"/>
  <c r="J121" i="2175"/>
  <c r="I121" i="2175"/>
  <c r="H121" i="2175"/>
  <c r="G121" i="2175"/>
  <c r="F121" i="2175"/>
  <c r="E121" i="2175"/>
  <c r="C121" i="2175"/>
  <c r="AR120" i="2175"/>
  <c r="AQ120" i="2175"/>
  <c r="AP120" i="2175"/>
  <c r="AO120" i="2175"/>
  <c r="AN120" i="2175"/>
  <c r="AM120" i="2175"/>
  <c r="AL120" i="2175"/>
  <c r="AK120" i="2175"/>
  <c r="AJ120" i="2175"/>
  <c r="AI120" i="2175"/>
  <c r="AH120" i="2175"/>
  <c r="AG120" i="2175"/>
  <c r="AF120" i="2175"/>
  <c r="AE120" i="2175"/>
  <c r="AD120" i="2175"/>
  <c r="AC120" i="2175"/>
  <c r="AB120" i="2175"/>
  <c r="AA120" i="2175"/>
  <c r="Z120" i="2175"/>
  <c r="Y120" i="2175"/>
  <c r="X120" i="2175"/>
  <c r="W120" i="2175"/>
  <c r="V120" i="2175"/>
  <c r="U120" i="2175"/>
  <c r="T120" i="2175"/>
  <c r="S120" i="2175"/>
  <c r="R120" i="2175"/>
  <c r="Q120" i="2175"/>
  <c r="P120" i="2175"/>
  <c r="O120" i="2175"/>
  <c r="N120" i="2175"/>
  <c r="M120" i="2175"/>
  <c r="L120" i="2175"/>
  <c r="K120" i="2175"/>
  <c r="J120" i="2175"/>
  <c r="I120" i="2175"/>
  <c r="H120" i="2175"/>
  <c r="G120" i="2175"/>
  <c r="F120" i="2175"/>
  <c r="E120" i="2175"/>
  <c r="C120" i="2175"/>
  <c r="AR119" i="2175"/>
  <c r="AQ119" i="2175"/>
  <c r="AP119" i="2175"/>
  <c r="AO119" i="2175"/>
  <c r="AN119" i="2175"/>
  <c r="AM119" i="2175"/>
  <c r="AL119" i="2175"/>
  <c r="AK119" i="2175"/>
  <c r="AJ119" i="2175"/>
  <c r="AI119" i="2175"/>
  <c r="AH119" i="2175"/>
  <c r="AG119" i="2175"/>
  <c r="AF119" i="2175"/>
  <c r="AE119" i="2175"/>
  <c r="AD119" i="2175"/>
  <c r="AC119" i="2175"/>
  <c r="AB119" i="2175"/>
  <c r="AA119" i="2175"/>
  <c r="Z119" i="2175"/>
  <c r="Y119" i="2175"/>
  <c r="X119" i="2175"/>
  <c r="W119" i="2175"/>
  <c r="V119" i="2175"/>
  <c r="U119" i="2175"/>
  <c r="T119" i="2175"/>
  <c r="S119" i="2175"/>
  <c r="R119" i="2175"/>
  <c r="Q119" i="2175"/>
  <c r="P119" i="2175"/>
  <c r="O119" i="2175"/>
  <c r="N119" i="2175"/>
  <c r="M119" i="2175"/>
  <c r="L119" i="2175"/>
  <c r="K119" i="2175"/>
  <c r="J119" i="2175"/>
  <c r="I119" i="2175"/>
  <c r="H119" i="2175"/>
  <c r="G119" i="2175"/>
  <c r="F119" i="2175"/>
  <c r="E119" i="2175"/>
  <c r="AR118" i="2175"/>
  <c r="AQ118" i="2175"/>
  <c r="AP118" i="2175"/>
  <c r="AO118" i="2175"/>
  <c r="AN118" i="2175"/>
  <c r="AM118" i="2175"/>
  <c r="AL118" i="2175"/>
  <c r="AK118" i="2175"/>
  <c r="AJ118" i="2175"/>
  <c r="AI118" i="2175"/>
  <c r="AH118" i="2175"/>
  <c r="AG118" i="2175"/>
  <c r="AF118" i="2175"/>
  <c r="AE118" i="2175"/>
  <c r="AD118" i="2175"/>
  <c r="AC118" i="2175"/>
  <c r="AB118" i="2175"/>
  <c r="AA118" i="2175"/>
  <c r="Z118" i="2175"/>
  <c r="Y118" i="2175"/>
  <c r="S118" i="2175"/>
  <c r="R118" i="2175"/>
  <c r="Q118" i="2175"/>
  <c r="P118" i="2175"/>
  <c r="O118" i="2175"/>
  <c r="N118" i="2175"/>
  <c r="M118" i="2175"/>
  <c r="L118" i="2175"/>
  <c r="K118" i="2175"/>
  <c r="J118" i="2175"/>
  <c r="I118" i="2175"/>
  <c r="H118" i="2175"/>
  <c r="G118" i="2175"/>
  <c r="F118" i="2175"/>
  <c r="E118" i="2175"/>
  <c r="AR117" i="2175"/>
  <c r="AQ117" i="2175"/>
  <c r="AP117" i="2175"/>
  <c r="AO117" i="2175"/>
  <c r="AN117" i="2175"/>
  <c r="AM117" i="2175"/>
  <c r="AL117" i="2175"/>
  <c r="AK117" i="2175"/>
  <c r="AJ117" i="2175"/>
  <c r="AI117" i="2175"/>
  <c r="AH117" i="2175"/>
  <c r="AG117" i="2175"/>
  <c r="AF117" i="2175"/>
  <c r="AE117" i="2175"/>
  <c r="AD117" i="2175"/>
  <c r="AC117" i="2175"/>
  <c r="AB117" i="2175"/>
  <c r="AA117" i="2175"/>
  <c r="Z117" i="2175"/>
  <c r="Y117" i="2175"/>
  <c r="X117" i="2175"/>
  <c r="W117" i="2175"/>
  <c r="V117" i="2175"/>
  <c r="U117" i="2175"/>
  <c r="T117" i="2175"/>
  <c r="S117" i="2175"/>
  <c r="R117" i="2175"/>
  <c r="Q117" i="2175"/>
  <c r="P117" i="2175"/>
  <c r="O117" i="2175"/>
  <c r="N117" i="2175"/>
  <c r="M117" i="2175"/>
  <c r="L117" i="2175"/>
  <c r="K117" i="2175"/>
  <c r="J117" i="2175"/>
  <c r="I117" i="2175"/>
  <c r="H117" i="2175"/>
  <c r="G117" i="2175"/>
  <c r="F117" i="2175"/>
  <c r="E117" i="2175"/>
  <c r="AR116" i="2175"/>
  <c r="AR127" i="2175" s="1"/>
  <c r="AQ116" i="2175"/>
  <c r="AQ127" i="2175" s="1"/>
  <c r="AP116" i="2175"/>
  <c r="AP127" i="2175" s="1"/>
  <c r="AO116" i="2175"/>
  <c r="AO127" i="2175" s="1"/>
  <c r="AN116" i="2175"/>
  <c r="AN127" i="2175" s="1"/>
  <c r="AM116" i="2175"/>
  <c r="AM127" i="2175" s="1"/>
  <c r="AL116" i="2175"/>
  <c r="AL127" i="2175" s="1"/>
  <c r="AK116" i="2175"/>
  <c r="AK127" i="2175" s="1"/>
  <c r="AJ116" i="2175"/>
  <c r="AJ127" i="2175" s="1"/>
  <c r="AI116" i="2175"/>
  <c r="AI127" i="2175" s="1"/>
  <c r="AH116" i="2175"/>
  <c r="AH127" i="2175" s="1"/>
  <c r="AG116" i="2175"/>
  <c r="AG127" i="2175" s="1"/>
  <c r="AF116" i="2175"/>
  <c r="AF127" i="2175" s="1"/>
  <c r="AE116" i="2175"/>
  <c r="AE127" i="2175" s="1"/>
  <c r="AD116" i="2175"/>
  <c r="AD127" i="2175" s="1"/>
  <c r="AC116" i="2175"/>
  <c r="AC127" i="2175" s="1"/>
  <c r="AB116" i="2175"/>
  <c r="AB127" i="2175" s="1"/>
  <c r="AA116" i="2175"/>
  <c r="AA127" i="2175" s="1"/>
  <c r="Z116" i="2175"/>
  <c r="Z127" i="2175" s="1"/>
  <c r="Y116" i="2175"/>
  <c r="Y127" i="2175" s="1"/>
  <c r="C114" i="2175"/>
  <c r="AR113" i="2175"/>
  <c r="AQ113" i="2175"/>
  <c r="AP113" i="2175"/>
  <c r="AO113" i="2175"/>
  <c r="AN113" i="2175"/>
  <c r="AM113" i="2175"/>
  <c r="AL113" i="2175"/>
  <c r="AK113" i="2175"/>
  <c r="AJ113" i="2175"/>
  <c r="AI113" i="2175"/>
  <c r="AH113" i="2175"/>
  <c r="AG113" i="2175"/>
  <c r="AF113" i="2175"/>
  <c r="AE113" i="2175"/>
  <c r="AD113" i="2175"/>
  <c r="AC113" i="2175"/>
  <c r="AB113" i="2175"/>
  <c r="AA113" i="2175"/>
  <c r="Z113" i="2175"/>
  <c r="Y113" i="2175"/>
  <c r="X113" i="2175"/>
  <c r="W113" i="2175"/>
  <c r="V113" i="2175"/>
  <c r="U113" i="2175"/>
  <c r="T113" i="2175"/>
  <c r="S113" i="2175"/>
  <c r="R113" i="2175"/>
  <c r="Q113" i="2175"/>
  <c r="P113" i="2175"/>
  <c r="O113" i="2175"/>
  <c r="N113" i="2175"/>
  <c r="M113" i="2175"/>
  <c r="L113" i="2175"/>
  <c r="K113" i="2175"/>
  <c r="J113" i="2175"/>
  <c r="I113" i="2175"/>
  <c r="H113" i="2175"/>
  <c r="G113" i="2175"/>
  <c r="F113" i="2175"/>
  <c r="E113" i="2175"/>
  <c r="AR112" i="2175"/>
  <c r="AQ112" i="2175"/>
  <c r="AP112" i="2175"/>
  <c r="AO112" i="2175"/>
  <c r="AN112" i="2175"/>
  <c r="AM112" i="2175"/>
  <c r="AL112" i="2175"/>
  <c r="AK112" i="2175"/>
  <c r="AJ112" i="2175"/>
  <c r="AI112" i="2175"/>
  <c r="AH112" i="2175"/>
  <c r="AG112" i="2175"/>
  <c r="AF112" i="2175"/>
  <c r="AE112" i="2175"/>
  <c r="AD112" i="2175"/>
  <c r="AC112" i="2175"/>
  <c r="AB112" i="2175"/>
  <c r="AA112" i="2175"/>
  <c r="Z112" i="2175"/>
  <c r="Y112" i="2175"/>
  <c r="X112" i="2175"/>
  <c r="W112" i="2175"/>
  <c r="V112" i="2175"/>
  <c r="U112" i="2175"/>
  <c r="T112" i="2175"/>
  <c r="S112" i="2175"/>
  <c r="R112" i="2175"/>
  <c r="Q112" i="2175"/>
  <c r="P112" i="2175"/>
  <c r="O112" i="2175"/>
  <c r="N112" i="2175"/>
  <c r="M112" i="2175"/>
  <c r="L112" i="2175"/>
  <c r="K112" i="2175"/>
  <c r="J112" i="2175"/>
  <c r="I112" i="2175"/>
  <c r="H112" i="2175"/>
  <c r="G112" i="2175"/>
  <c r="F112" i="2175"/>
  <c r="E112" i="2175"/>
  <c r="C112" i="2175"/>
  <c r="C111" i="2175"/>
  <c r="AR104" i="2175"/>
  <c r="AQ104" i="2175"/>
  <c r="AP104" i="2175"/>
  <c r="AO104" i="2175"/>
  <c r="AN104" i="2175"/>
  <c r="AM104" i="2175"/>
  <c r="AL104" i="2175"/>
  <c r="AK104" i="2175"/>
  <c r="AJ104" i="2175"/>
  <c r="AI104" i="2175"/>
  <c r="AH104" i="2175"/>
  <c r="AG104" i="2175"/>
  <c r="AF104" i="2175"/>
  <c r="AE104" i="2175"/>
  <c r="AD104" i="2175"/>
  <c r="AC104" i="2175"/>
  <c r="AB104" i="2175"/>
  <c r="AA104" i="2175"/>
  <c r="Z104" i="2175"/>
  <c r="Y104" i="2175"/>
  <c r="X104" i="2175"/>
  <c r="X118" i="2175" s="1"/>
  <c r="W104" i="2175"/>
  <c r="W118" i="2175" s="1"/>
  <c r="V104" i="2175"/>
  <c r="V118" i="2175" s="1"/>
  <c r="U104" i="2175"/>
  <c r="U118" i="2175" s="1"/>
  <c r="T104" i="2175"/>
  <c r="T118" i="2175" s="1"/>
  <c r="S104" i="2175"/>
  <c r="R104" i="2175"/>
  <c r="Q104" i="2175"/>
  <c r="P104" i="2175"/>
  <c r="O104" i="2175"/>
  <c r="N104" i="2175"/>
  <c r="M104" i="2175"/>
  <c r="L104" i="2175"/>
  <c r="K104" i="2175"/>
  <c r="J104" i="2175"/>
  <c r="I104" i="2175"/>
  <c r="H104" i="2175"/>
  <c r="G104" i="2175"/>
  <c r="F104" i="2175"/>
  <c r="E104" i="2175"/>
  <c r="E101" i="2175"/>
  <c r="F101" i="2175" s="1"/>
  <c r="G101" i="2175" s="1"/>
  <c r="H101" i="2175" s="1"/>
  <c r="I101" i="2175" s="1"/>
  <c r="J101" i="2175" s="1"/>
  <c r="K101" i="2175" s="1"/>
  <c r="L101" i="2175" s="1"/>
  <c r="M101" i="2175" s="1"/>
  <c r="N101" i="2175" s="1"/>
  <c r="O101" i="2175" s="1"/>
  <c r="P101" i="2175" s="1"/>
  <c r="Q101" i="2175" s="1"/>
  <c r="R101" i="2175" s="1"/>
  <c r="S101" i="2175" s="1"/>
  <c r="T101" i="2175" s="1"/>
  <c r="U101" i="2175" s="1"/>
  <c r="V101" i="2175" s="1"/>
  <c r="W101" i="2175" s="1"/>
  <c r="X101" i="2175" s="1"/>
  <c r="Y101" i="2175" s="1"/>
  <c r="C87" i="2175"/>
  <c r="D150" i="2175" s="1"/>
  <c r="D70" i="2175"/>
  <c r="D69" i="2175"/>
  <c r="D68" i="2175"/>
  <c r="C66" i="2175"/>
  <c r="D65" i="2175"/>
  <c r="C64" i="2175"/>
  <c r="D63" i="2175"/>
  <c r="C62" i="2175"/>
  <c r="D61" i="2175"/>
  <c r="C59" i="2175"/>
  <c r="D55" i="2175"/>
  <c r="D54" i="2175"/>
  <c r="D53" i="2175"/>
  <c r="D52" i="2175"/>
  <c r="C51" i="2175"/>
  <c r="D50" i="2175"/>
  <c r="D49" i="2175"/>
  <c r="C48" i="2175"/>
  <c r="D148" i="2175" s="1"/>
  <c r="P130" i="2175" s="1"/>
  <c r="D47" i="2175"/>
  <c r="D46" i="2175"/>
  <c r="C43" i="2175"/>
  <c r="C42" i="2175"/>
  <c r="AM111" i="2175" s="1"/>
  <c r="AM114" i="2175" s="1"/>
  <c r="C41" i="2175"/>
  <c r="D37" i="2175"/>
  <c r="C36" i="2175"/>
  <c r="D35" i="2175"/>
  <c r="C34" i="2175"/>
  <c r="D30" i="2175"/>
  <c r="E17" i="2175"/>
  <c r="E16" i="2175"/>
  <c r="E13" i="2175"/>
  <c r="E12" i="2175"/>
  <c r="D8" i="2175"/>
  <c r="D7" i="2175"/>
  <c r="D5" i="2175"/>
  <c r="A1" i="2175"/>
  <c r="B171" i="2174"/>
  <c r="B170" i="2174"/>
  <c r="B169" i="2174"/>
  <c r="B165" i="2174"/>
  <c r="B164" i="2174"/>
  <c r="B163" i="2174"/>
  <c r="C147" i="2174"/>
  <c r="AR143" i="2174"/>
  <c r="AQ143" i="2174"/>
  <c r="AP143" i="2174"/>
  <c r="AO143" i="2174"/>
  <c r="AN143" i="2174"/>
  <c r="AM143" i="2174"/>
  <c r="AL143" i="2174"/>
  <c r="AK143" i="2174"/>
  <c r="AJ143" i="2174"/>
  <c r="AI143" i="2174"/>
  <c r="AH143" i="2174"/>
  <c r="AG143" i="2174"/>
  <c r="AF143" i="2174"/>
  <c r="AE143" i="2174"/>
  <c r="AD143" i="2174"/>
  <c r="AC143" i="2174"/>
  <c r="AB143" i="2174"/>
  <c r="AA143" i="2174"/>
  <c r="Z143" i="2174"/>
  <c r="Y143" i="2174"/>
  <c r="X143" i="2174"/>
  <c r="W143" i="2174"/>
  <c r="V143" i="2174"/>
  <c r="U143" i="2174"/>
  <c r="T143" i="2174"/>
  <c r="AR141" i="2174"/>
  <c r="AQ141" i="2174"/>
  <c r="AP141" i="2174"/>
  <c r="AO141" i="2174"/>
  <c r="AN141" i="2174"/>
  <c r="AM141" i="2174"/>
  <c r="AL141" i="2174"/>
  <c r="AK141" i="2174"/>
  <c r="AJ141" i="2174"/>
  <c r="AI141" i="2174"/>
  <c r="AH141" i="2174"/>
  <c r="AG141" i="2174"/>
  <c r="AF141" i="2174"/>
  <c r="AE141" i="2174"/>
  <c r="AD141" i="2174"/>
  <c r="AC141" i="2174"/>
  <c r="AB141" i="2174"/>
  <c r="AA141" i="2174"/>
  <c r="Z141" i="2174"/>
  <c r="Y141" i="2174"/>
  <c r="X141" i="2174"/>
  <c r="W141" i="2174"/>
  <c r="V141" i="2174"/>
  <c r="U141" i="2174"/>
  <c r="T141" i="2174"/>
  <c r="C141" i="2174"/>
  <c r="AR132" i="2174"/>
  <c r="AQ132" i="2174"/>
  <c r="AP132" i="2174"/>
  <c r="AO132" i="2174"/>
  <c r="AN132" i="2174"/>
  <c r="AM132" i="2174"/>
  <c r="AL132" i="2174"/>
  <c r="AK132" i="2174"/>
  <c r="AJ132" i="2174"/>
  <c r="AI132" i="2174"/>
  <c r="AH132" i="2174"/>
  <c r="AG132" i="2174"/>
  <c r="AF132" i="2174"/>
  <c r="AE132" i="2174"/>
  <c r="AD132" i="2174"/>
  <c r="AC132" i="2174"/>
  <c r="AB132" i="2174"/>
  <c r="AA132" i="2174"/>
  <c r="Z132" i="2174"/>
  <c r="Y132" i="2174"/>
  <c r="X132" i="2174"/>
  <c r="W132" i="2174"/>
  <c r="V132" i="2174"/>
  <c r="U132" i="2174"/>
  <c r="T132" i="2174"/>
  <c r="AR131" i="2174"/>
  <c r="AQ131" i="2174"/>
  <c r="AQ133" i="2174" s="1"/>
  <c r="AP131" i="2174"/>
  <c r="AO131" i="2174"/>
  <c r="AO133" i="2174" s="1"/>
  <c r="AN131" i="2174"/>
  <c r="AN133" i="2174" s="1"/>
  <c r="AM131" i="2174"/>
  <c r="AM133" i="2174" s="1"/>
  <c r="AL131" i="2174"/>
  <c r="AL133" i="2174" s="1"/>
  <c r="AK131" i="2174"/>
  <c r="AK133" i="2174" s="1"/>
  <c r="AJ131" i="2174"/>
  <c r="AJ133" i="2174" s="1"/>
  <c r="AI131" i="2174"/>
  <c r="AI133" i="2174" s="1"/>
  <c r="AH131" i="2174"/>
  <c r="AH133" i="2174" s="1"/>
  <c r="AG131" i="2174"/>
  <c r="AG133" i="2174" s="1"/>
  <c r="AF131" i="2174"/>
  <c r="AF133" i="2174" s="1"/>
  <c r="AE131" i="2174"/>
  <c r="AE133" i="2174" s="1"/>
  <c r="AD131" i="2174"/>
  <c r="AC131" i="2174"/>
  <c r="AB131" i="2174"/>
  <c r="AA131" i="2174"/>
  <c r="AA133" i="2174" s="1"/>
  <c r="Z131" i="2174"/>
  <c r="Y131" i="2174"/>
  <c r="Y133" i="2174" s="1"/>
  <c r="X131" i="2174"/>
  <c r="X133" i="2174" s="1"/>
  <c r="W131" i="2174"/>
  <c r="W133" i="2174" s="1"/>
  <c r="V131" i="2174"/>
  <c r="V133" i="2174" s="1"/>
  <c r="U131" i="2174"/>
  <c r="T131" i="2174"/>
  <c r="T133" i="2174" s="1"/>
  <c r="AR130" i="2174"/>
  <c r="AQ130" i="2174"/>
  <c r="AP130" i="2174"/>
  <c r="AO130" i="2174"/>
  <c r="AN130" i="2174"/>
  <c r="AM130" i="2174"/>
  <c r="AL130" i="2174"/>
  <c r="AK130" i="2174"/>
  <c r="AJ130" i="2174"/>
  <c r="AI130" i="2174"/>
  <c r="AH130" i="2174"/>
  <c r="AG130" i="2174"/>
  <c r="AF130" i="2174"/>
  <c r="AE130" i="2174"/>
  <c r="AD130" i="2174"/>
  <c r="AC130" i="2174"/>
  <c r="AB130" i="2174"/>
  <c r="AA130" i="2174"/>
  <c r="Z130" i="2174"/>
  <c r="Y130" i="2174"/>
  <c r="X130" i="2174"/>
  <c r="W130" i="2174"/>
  <c r="V130" i="2174"/>
  <c r="U130" i="2174"/>
  <c r="T130" i="2174"/>
  <c r="AR121" i="2174"/>
  <c r="AQ121" i="2174"/>
  <c r="AP121" i="2174"/>
  <c r="AO121" i="2174"/>
  <c r="AN121" i="2174"/>
  <c r="AM121" i="2174"/>
  <c r="AL121" i="2174"/>
  <c r="AK121" i="2174"/>
  <c r="AJ121" i="2174"/>
  <c r="AI121" i="2174"/>
  <c r="AH121" i="2174"/>
  <c r="AG121" i="2174"/>
  <c r="AF121" i="2174"/>
  <c r="AE121" i="2174"/>
  <c r="AD121" i="2174"/>
  <c r="AC121" i="2174"/>
  <c r="AB121" i="2174"/>
  <c r="AA121" i="2174"/>
  <c r="Z121" i="2174"/>
  <c r="Y121" i="2174"/>
  <c r="X121" i="2174"/>
  <c r="W121" i="2174"/>
  <c r="V121" i="2174"/>
  <c r="U121" i="2174"/>
  <c r="T121" i="2174"/>
  <c r="S121" i="2174"/>
  <c r="R121" i="2174"/>
  <c r="Q121" i="2174"/>
  <c r="P121" i="2174"/>
  <c r="O121" i="2174"/>
  <c r="N121" i="2174"/>
  <c r="M121" i="2174"/>
  <c r="L121" i="2174"/>
  <c r="K121" i="2174"/>
  <c r="J121" i="2174"/>
  <c r="I121" i="2174"/>
  <c r="H121" i="2174"/>
  <c r="G121" i="2174"/>
  <c r="F121" i="2174"/>
  <c r="E121" i="2174"/>
  <c r="C121" i="2174"/>
  <c r="AR120" i="2174"/>
  <c r="AQ120" i="2174"/>
  <c r="AP120" i="2174"/>
  <c r="AO120" i="2174"/>
  <c r="AN120" i="2174"/>
  <c r="AM120" i="2174"/>
  <c r="AL120" i="2174"/>
  <c r="AK120" i="2174"/>
  <c r="AJ120" i="2174"/>
  <c r="AI120" i="2174"/>
  <c r="AH120" i="2174"/>
  <c r="AG120" i="2174"/>
  <c r="AF120" i="2174"/>
  <c r="AE120" i="2174"/>
  <c r="AD120" i="2174"/>
  <c r="AC120" i="2174"/>
  <c r="AB120" i="2174"/>
  <c r="AA120" i="2174"/>
  <c r="Z120" i="2174"/>
  <c r="Y120" i="2174"/>
  <c r="X120" i="2174"/>
  <c r="W120" i="2174"/>
  <c r="V120" i="2174"/>
  <c r="U120" i="2174"/>
  <c r="T120" i="2174"/>
  <c r="S120" i="2174"/>
  <c r="R120" i="2174"/>
  <c r="Q120" i="2174"/>
  <c r="P120" i="2174"/>
  <c r="O120" i="2174"/>
  <c r="N120" i="2174"/>
  <c r="M120" i="2174"/>
  <c r="L120" i="2174"/>
  <c r="K120" i="2174"/>
  <c r="J120" i="2174"/>
  <c r="I120" i="2174"/>
  <c r="H120" i="2174"/>
  <c r="G120" i="2174"/>
  <c r="F120" i="2174"/>
  <c r="E120" i="2174"/>
  <c r="C120" i="2174"/>
  <c r="AR119" i="2174"/>
  <c r="AQ119" i="2174"/>
  <c r="AP119" i="2174"/>
  <c r="AO119" i="2174"/>
  <c r="AN119" i="2174"/>
  <c r="AM119" i="2174"/>
  <c r="AL119" i="2174"/>
  <c r="AK119" i="2174"/>
  <c r="AJ119" i="2174"/>
  <c r="AI119" i="2174"/>
  <c r="AH119" i="2174"/>
  <c r="AG119" i="2174"/>
  <c r="AF119" i="2174"/>
  <c r="AE119" i="2174"/>
  <c r="AD119" i="2174"/>
  <c r="AC119" i="2174"/>
  <c r="AB119" i="2174"/>
  <c r="AA119" i="2174"/>
  <c r="Z119" i="2174"/>
  <c r="Y119" i="2174"/>
  <c r="X119" i="2174"/>
  <c r="W119" i="2174"/>
  <c r="V119" i="2174"/>
  <c r="U119" i="2174"/>
  <c r="T119" i="2174"/>
  <c r="S119" i="2174"/>
  <c r="R119" i="2174"/>
  <c r="Q119" i="2174"/>
  <c r="P119" i="2174"/>
  <c r="O119" i="2174"/>
  <c r="N119" i="2174"/>
  <c r="M119" i="2174"/>
  <c r="L119" i="2174"/>
  <c r="K119" i="2174"/>
  <c r="J119" i="2174"/>
  <c r="I119" i="2174"/>
  <c r="H119" i="2174"/>
  <c r="G119" i="2174"/>
  <c r="F119" i="2174"/>
  <c r="E119" i="2174"/>
  <c r="AR118" i="2174"/>
  <c r="AQ118" i="2174"/>
  <c r="AP118" i="2174"/>
  <c r="AO118" i="2174"/>
  <c r="AN118" i="2174"/>
  <c r="AM118" i="2174"/>
  <c r="AL118" i="2174"/>
  <c r="AK118" i="2174"/>
  <c r="AJ118" i="2174"/>
  <c r="AI118" i="2174"/>
  <c r="AH118" i="2174"/>
  <c r="AG118" i="2174"/>
  <c r="AF118" i="2174"/>
  <c r="AE118" i="2174"/>
  <c r="AD118" i="2174"/>
  <c r="AC118" i="2174"/>
  <c r="AB118" i="2174"/>
  <c r="AA118" i="2174"/>
  <c r="Z118" i="2174"/>
  <c r="Y118" i="2174"/>
  <c r="S118" i="2174"/>
  <c r="R118" i="2174"/>
  <c r="Q118" i="2174"/>
  <c r="P118" i="2174"/>
  <c r="O118" i="2174"/>
  <c r="N118" i="2174"/>
  <c r="M118" i="2174"/>
  <c r="L118" i="2174"/>
  <c r="K118" i="2174"/>
  <c r="J118" i="2174"/>
  <c r="I118" i="2174"/>
  <c r="H118" i="2174"/>
  <c r="G118" i="2174"/>
  <c r="F118" i="2174"/>
  <c r="E118" i="2174"/>
  <c r="AR117" i="2174"/>
  <c r="AQ117" i="2174"/>
  <c r="AP117" i="2174"/>
  <c r="AO117" i="2174"/>
  <c r="AN117" i="2174"/>
  <c r="AM117" i="2174"/>
  <c r="AL117" i="2174"/>
  <c r="AK117" i="2174"/>
  <c r="AJ117" i="2174"/>
  <c r="AI117" i="2174"/>
  <c r="AH117" i="2174"/>
  <c r="AG117" i="2174"/>
  <c r="AF117" i="2174"/>
  <c r="AE117" i="2174"/>
  <c r="AD117" i="2174"/>
  <c r="AC117" i="2174"/>
  <c r="AB117" i="2174"/>
  <c r="AA117" i="2174"/>
  <c r="Z117" i="2174"/>
  <c r="Y117" i="2174"/>
  <c r="X117" i="2174"/>
  <c r="W117" i="2174"/>
  <c r="V117" i="2174"/>
  <c r="U117" i="2174"/>
  <c r="T117" i="2174"/>
  <c r="S117" i="2174"/>
  <c r="R117" i="2174"/>
  <c r="Q117" i="2174"/>
  <c r="P117" i="2174"/>
  <c r="O117" i="2174"/>
  <c r="N117" i="2174"/>
  <c r="M117" i="2174"/>
  <c r="L117" i="2174"/>
  <c r="K117" i="2174"/>
  <c r="J117" i="2174"/>
  <c r="I117" i="2174"/>
  <c r="H117" i="2174"/>
  <c r="G117" i="2174"/>
  <c r="F117" i="2174"/>
  <c r="E117" i="2174"/>
  <c r="AR116" i="2174"/>
  <c r="AR127" i="2174" s="1"/>
  <c r="AQ116" i="2174"/>
  <c r="AQ127" i="2174" s="1"/>
  <c r="AP116" i="2174"/>
  <c r="AP127" i="2174" s="1"/>
  <c r="AO116" i="2174"/>
  <c r="AO127" i="2174" s="1"/>
  <c r="AN116" i="2174"/>
  <c r="AN127" i="2174" s="1"/>
  <c r="AM116" i="2174"/>
  <c r="AM127" i="2174" s="1"/>
  <c r="AL116" i="2174"/>
  <c r="AL127" i="2174" s="1"/>
  <c r="AK116" i="2174"/>
  <c r="AK127" i="2174" s="1"/>
  <c r="AJ116" i="2174"/>
  <c r="AJ127" i="2174" s="1"/>
  <c r="AI116" i="2174"/>
  <c r="AI127" i="2174" s="1"/>
  <c r="AH116" i="2174"/>
  <c r="AH127" i="2174" s="1"/>
  <c r="AG116" i="2174"/>
  <c r="AG127" i="2174" s="1"/>
  <c r="AF116" i="2174"/>
  <c r="AF127" i="2174" s="1"/>
  <c r="AE116" i="2174"/>
  <c r="AE127" i="2174" s="1"/>
  <c r="AD116" i="2174"/>
  <c r="AD127" i="2174" s="1"/>
  <c r="AC116" i="2174"/>
  <c r="AC127" i="2174" s="1"/>
  <c r="AB116" i="2174"/>
  <c r="AB127" i="2174" s="1"/>
  <c r="AA116" i="2174"/>
  <c r="AA127" i="2174" s="1"/>
  <c r="Z116" i="2174"/>
  <c r="Z127" i="2174" s="1"/>
  <c r="Y116" i="2174"/>
  <c r="Y127" i="2174" s="1"/>
  <c r="C114" i="2174"/>
  <c r="AR113" i="2174"/>
  <c r="AQ113" i="2174"/>
  <c r="AP113" i="2174"/>
  <c r="AO113" i="2174"/>
  <c r="AN113" i="2174"/>
  <c r="AM113" i="2174"/>
  <c r="AL113" i="2174"/>
  <c r="AK113" i="2174"/>
  <c r="AJ113" i="2174"/>
  <c r="AI113" i="2174"/>
  <c r="AH113" i="2174"/>
  <c r="AG113" i="2174"/>
  <c r="AF113" i="2174"/>
  <c r="AE113" i="2174"/>
  <c r="AD113" i="2174"/>
  <c r="AC113" i="2174"/>
  <c r="AB113" i="2174"/>
  <c r="AA113" i="2174"/>
  <c r="Z113" i="2174"/>
  <c r="Y113" i="2174"/>
  <c r="X113" i="2174"/>
  <c r="W113" i="2174"/>
  <c r="V113" i="2174"/>
  <c r="U113" i="2174"/>
  <c r="T113" i="2174"/>
  <c r="S113" i="2174"/>
  <c r="R113" i="2174"/>
  <c r="Q113" i="2174"/>
  <c r="P113" i="2174"/>
  <c r="O113" i="2174"/>
  <c r="N113" i="2174"/>
  <c r="M113" i="2174"/>
  <c r="L113" i="2174"/>
  <c r="K113" i="2174"/>
  <c r="J113" i="2174"/>
  <c r="I113" i="2174"/>
  <c r="H113" i="2174"/>
  <c r="G113" i="2174"/>
  <c r="F113" i="2174"/>
  <c r="E113" i="2174"/>
  <c r="AR112" i="2174"/>
  <c r="AQ112" i="2174"/>
  <c r="AP112" i="2174"/>
  <c r="AO112" i="2174"/>
  <c r="AN112" i="2174"/>
  <c r="AM112" i="2174"/>
  <c r="AL112" i="2174"/>
  <c r="AK112" i="2174"/>
  <c r="AJ112" i="2174"/>
  <c r="AI112" i="2174"/>
  <c r="AH112" i="2174"/>
  <c r="AG112" i="2174"/>
  <c r="AF112" i="2174"/>
  <c r="AE112" i="2174"/>
  <c r="AD112" i="2174"/>
  <c r="AC112" i="2174"/>
  <c r="AB112" i="2174"/>
  <c r="AA112" i="2174"/>
  <c r="Z112" i="2174"/>
  <c r="Y112" i="2174"/>
  <c r="X112" i="2174"/>
  <c r="W112" i="2174"/>
  <c r="V112" i="2174"/>
  <c r="U112" i="2174"/>
  <c r="T112" i="2174"/>
  <c r="S112" i="2174"/>
  <c r="R112" i="2174"/>
  <c r="Q112" i="2174"/>
  <c r="P112" i="2174"/>
  <c r="O112" i="2174"/>
  <c r="N112" i="2174"/>
  <c r="M112" i="2174"/>
  <c r="L112" i="2174"/>
  <c r="K112" i="2174"/>
  <c r="J112" i="2174"/>
  <c r="I112" i="2174"/>
  <c r="H112" i="2174"/>
  <c r="G112" i="2174"/>
  <c r="F112" i="2174"/>
  <c r="E112" i="2174"/>
  <c r="C112" i="2174"/>
  <c r="C111" i="2174"/>
  <c r="AR104" i="2174"/>
  <c r="AQ104" i="2174"/>
  <c r="AP104" i="2174"/>
  <c r="AO104" i="2174"/>
  <c r="AN104" i="2174"/>
  <c r="AM104" i="2174"/>
  <c r="AL104" i="2174"/>
  <c r="AK104" i="2174"/>
  <c r="AJ104" i="2174"/>
  <c r="AI104" i="2174"/>
  <c r="AH104" i="2174"/>
  <c r="AG104" i="2174"/>
  <c r="AF104" i="2174"/>
  <c r="AE104" i="2174"/>
  <c r="AD104" i="2174"/>
  <c r="AC104" i="2174"/>
  <c r="AB104" i="2174"/>
  <c r="AA104" i="2174"/>
  <c r="Z104" i="2174"/>
  <c r="Y104" i="2174"/>
  <c r="X104" i="2174"/>
  <c r="X118" i="2174" s="1"/>
  <c r="W104" i="2174"/>
  <c r="W118" i="2174" s="1"/>
  <c r="V104" i="2174"/>
  <c r="V118" i="2174" s="1"/>
  <c r="U104" i="2174"/>
  <c r="U118" i="2174" s="1"/>
  <c r="T104" i="2174"/>
  <c r="T118" i="2174" s="1"/>
  <c r="S104" i="2174"/>
  <c r="R104" i="2174"/>
  <c r="Q104" i="2174"/>
  <c r="P104" i="2174"/>
  <c r="O104" i="2174"/>
  <c r="N104" i="2174"/>
  <c r="M104" i="2174"/>
  <c r="L104" i="2174"/>
  <c r="K104" i="2174"/>
  <c r="J104" i="2174"/>
  <c r="I104" i="2174"/>
  <c r="H104" i="2174"/>
  <c r="G104" i="2174"/>
  <c r="F104" i="2174"/>
  <c r="E104" i="2174"/>
  <c r="E101" i="2174"/>
  <c r="F101" i="2174" s="1"/>
  <c r="G101" i="2174" s="1"/>
  <c r="H101" i="2174" s="1"/>
  <c r="I101" i="2174" s="1"/>
  <c r="J101" i="2174" s="1"/>
  <c r="K101" i="2174" s="1"/>
  <c r="L101" i="2174" s="1"/>
  <c r="M101" i="2174" s="1"/>
  <c r="N101" i="2174" s="1"/>
  <c r="O101" i="2174" s="1"/>
  <c r="P101" i="2174" s="1"/>
  <c r="Q101" i="2174" s="1"/>
  <c r="R101" i="2174" s="1"/>
  <c r="S101" i="2174" s="1"/>
  <c r="T101" i="2174" s="1"/>
  <c r="U101" i="2174" s="1"/>
  <c r="V101" i="2174" s="1"/>
  <c r="W101" i="2174" s="1"/>
  <c r="X101" i="2174" s="1"/>
  <c r="Y101" i="2174" s="1"/>
  <c r="C87" i="2174"/>
  <c r="D150" i="2174" s="1"/>
  <c r="D70" i="2174"/>
  <c r="D69" i="2174"/>
  <c r="D68" i="2174"/>
  <c r="C66" i="2174"/>
  <c r="D65" i="2174"/>
  <c r="C64" i="2174"/>
  <c r="D63" i="2174"/>
  <c r="C62" i="2174"/>
  <c r="D61" i="2174"/>
  <c r="C59" i="2174"/>
  <c r="D55" i="2174"/>
  <c r="D54" i="2174"/>
  <c r="D53" i="2174"/>
  <c r="D52" i="2174"/>
  <c r="C51" i="2174"/>
  <c r="D50" i="2174"/>
  <c r="D49" i="2174"/>
  <c r="C48" i="2174"/>
  <c r="D148" i="2174" s="1"/>
  <c r="D47" i="2174"/>
  <c r="D46" i="2174"/>
  <c r="C43" i="2174"/>
  <c r="C41" i="2174"/>
  <c r="D37" i="2174"/>
  <c r="C36" i="2174"/>
  <c r="D35" i="2174"/>
  <c r="C34" i="2174"/>
  <c r="D30" i="2174"/>
  <c r="E17" i="2174"/>
  <c r="E16" i="2174"/>
  <c r="E13" i="2174"/>
  <c r="E12" i="2174"/>
  <c r="D8" i="2174"/>
  <c r="D7" i="2174"/>
  <c r="D5" i="2174"/>
  <c r="A1" i="2174"/>
  <c r="U23" i="65"/>
  <c r="W25" i="65"/>
  <c r="D10" i="65"/>
  <c r="U9" i="65"/>
  <c r="V23" i="65"/>
  <c r="W22" i="65"/>
  <c r="U25" i="65"/>
  <c r="B23" i="65"/>
  <c r="D24" i="65"/>
  <c r="W27" i="65"/>
  <c r="U24" i="65"/>
  <c r="B22" i="65"/>
  <c r="V20" i="65"/>
  <c r="V25" i="65"/>
  <c r="V24" i="65"/>
  <c r="T21" i="65"/>
  <c r="U11" i="65"/>
  <c r="B8" i="65"/>
  <c r="B7" i="65"/>
  <c r="C22" i="65"/>
  <c r="C11" i="65"/>
  <c r="T7" i="65"/>
  <c r="C9" i="65"/>
  <c r="B20" i="65"/>
  <c r="U21" i="65"/>
  <c r="B10" i="65"/>
  <c r="C20" i="65"/>
  <c r="T20" i="65"/>
  <c r="T25" i="65"/>
  <c r="C10" i="65"/>
  <c r="T9" i="65"/>
  <c r="W21" i="65"/>
  <c r="W24" i="65"/>
  <c r="C25" i="65"/>
  <c r="D22" i="65"/>
  <c r="U20" i="65"/>
  <c r="D27" i="65"/>
  <c r="B25" i="65"/>
  <c r="T8" i="65"/>
  <c r="D25" i="65"/>
  <c r="C23" i="65"/>
  <c r="B9" i="65"/>
  <c r="C24" i="65"/>
  <c r="B21" i="65"/>
  <c r="B11" i="65"/>
  <c r="U7" i="65"/>
  <c r="D23" i="65"/>
  <c r="T22" i="65"/>
  <c r="V21" i="65"/>
  <c r="T10" i="65"/>
  <c r="B27" i="65"/>
  <c r="D20" i="65"/>
  <c r="U22" i="65"/>
  <c r="D11" i="65"/>
  <c r="C7" i="65"/>
  <c r="C21" i="65"/>
  <c r="C27" i="65"/>
  <c r="U8" i="65"/>
  <c r="T11" i="65"/>
  <c r="W20" i="65"/>
  <c r="D21" i="65"/>
  <c r="D8" i="65"/>
  <c r="D9" i="65"/>
  <c r="B24" i="65"/>
  <c r="D7" i="65"/>
  <c r="U27" i="65"/>
  <c r="T24" i="65"/>
  <c r="V22" i="65"/>
  <c r="T23" i="65"/>
  <c r="T27" i="65"/>
  <c r="W23" i="65"/>
  <c r="C8" i="65"/>
  <c r="V27" i="65"/>
  <c r="U10" i="65"/>
  <c r="U118" i="2187" l="1"/>
  <c r="AA127" i="2187"/>
  <c r="AD127" i="2187"/>
  <c r="AM127" i="2187"/>
  <c r="AP127" i="2187"/>
  <c r="AJ133" i="2187"/>
  <c r="AM133" i="2187"/>
  <c r="W118" i="2192"/>
  <c r="AJ127" i="2192"/>
  <c r="AA127" i="2190"/>
  <c r="AG127" i="2190"/>
  <c r="AM127" i="2190"/>
  <c r="Y127" i="2189"/>
  <c r="AB127" i="2189"/>
  <c r="AH127" i="2189"/>
  <c r="AK127" i="2189"/>
  <c r="AN127" i="2189"/>
  <c r="AQ133" i="2189"/>
  <c r="Y127" i="2185"/>
  <c r="AB127" i="2185"/>
  <c r="AE127" i="2185"/>
  <c r="AH127" i="2185"/>
  <c r="AK127" i="2185"/>
  <c r="AN127" i="2185"/>
  <c r="AQ127" i="2185"/>
  <c r="U133" i="2185"/>
  <c r="X133" i="2185"/>
  <c r="AD133" i="2185"/>
  <c r="AJ133" i="2185"/>
  <c r="AM133" i="2185"/>
  <c r="AP133" i="2185"/>
  <c r="C42" i="2184"/>
  <c r="AD111" i="2184" s="1"/>
  <c r="AD114" i="2184" s="1"/>
  <c r="Z127" i="2183"/>
  <c r="AC127" i="2183"/>
  <c r="AF127" i="2183"/>
  <c r="AI127" i="2183"/>
  <c r="AL127" i="2183"/>
  <c r="AO127" i="2183"/>
  <c r="AR127" i="2183"/>
  <c r="Z127" i="2182"/>
  <c r="AC127" i="2182"/>
  <c r="AF127" i="2182"/>
  <c r="AI127" i="2182"/>
  <c r="AL127" i="2182"/>
  <c r="AO127" i="2182"/>
  <c r="AR127" i="2182"/>
  <c r="AD133" i="2182"/>
  <c r="AG133" i="2182"/>
  <c r="H111" i="2179"/>
  <c r="P111" i="2179"/>
  <c r="X111" i="2179"/>
  <c r="X114" i="2179" s="1"/>
  <c r="AF111" i="2179"/>
  <c r="AF114" i="2179" s="1"/>
  <c r="AN111" i="2179"/>
  <c r="I111" i="2179"/>
  <c r="I114" i="2179" s="1"/>
  <c r="I141" i="2179" s="1"/>
  <c r="Q111" i="2179"/>
  <c r="Q114" i="2179" s="1"/>
  <c r="Q141" i="2179" s="1"/>
  <c r="Y111" i="2179"/>
  <c r="Y114" i="2179" s="1"/>
  <c r="AG111" i="2179"/>
  <c r="AG114" i="2179" s="1"/>
  <c r="AO111" i="2179"/>
  <c r="AO114" i="2179" s="1"/>
  <c r="J111" i="2179"/>
  <c r="J114" i="2179" s="1"/>
  <c r="J141" i="2179" s="1"/>
  <c r="R111" i="2179"/>
  <c r="R114" i="2179" s="1"/>
  <c r="R141" i="2179" s="1"/>
  <c r="Z111" i="2179"/>
  <c r="Z114" i="2179" s="1"/>
  <c r="AH111" i="2179"/>
  <c r="AH114" i="2179" s="1"/>
  <c r="AP111" i="2179"/>
  <c r="AP114" i="2179" s="1"/>
  <c r="AM133" i="2179"/>
  <c r="AD133" i="2178"/>
  <c r="AP133" i="2178"/>
  <c r="AM133" i="2176"/>
  <c r="AL111" i="2175"/>
  <c r="AL114" i="2175" s="1"/>
  <c r="W111" i="2175"/>
  <c r="W114" i="2175" s="1"/>
  <c r="W124" i="2175" s="1"/>
  <c r="G111" i="2175"/>
  <c r="G114" i="2175" s="1"/>
  <c r="G141" i="2175" s="1"/>
  <c r="AM133" i="2175"/>
  <c r="O111" i="2175"/>
  <c r="O114" i="2175" s="1"/>
  <c r="O141" i="2175" s="1"/>
  <c r="AL124" i="2175"/>
  <c r="AC133" i="2174"/>
  <c r="U111" i="2174"/>
  <c r="U114" i="2174" s="1"/>
  <c r="U124" i="2174" s="1"/>
  <c r="C42" i="2174"/>
  <c r="AO111" i="2174" s="1"/>
  <c r="AO114" i="2174" s="1"/>
  <c r="E111" i="2174"/>
  <c r="D155" i="2174" s="1"/>
  <c r="S111" i="2174"/>
  <c r="S114" i="2174" s="1"/>
  <c r="Z111" i="2174"/>
  <c r="Z114" i="2174" s="1"/>
  <c r="Z124" i="2174" s="1"/>
  <c r="AJ111" i="2174"/>
  <c r="AJ123" i="2174" s="1"/>
  <c r="AQ111" i="2174"/>
  <c r="AQ114" i="2174" s="1"/>
  <c r="C48" i="2181"/>
  <c r="D148" i="2181" s="1"/>
  <c r="M130" i="2181" s="1"/>
  <c r="D150" i="2183"/>
  <c r="C48" i="2183"/>
  <c r="D148" i="2183" s="1"/>
  <c r="AE133" i="2181"/>
  <c r="AB133" i="2179"/>
  <c r="AN133" i="2179"/>
  <c r="T133" i="2180"/>
  <c r="AR133" i="2180"/>
  <c r="D150" i="2182"/>
  <c r="C48" i="2182"/>
  <c r="D148" i="2182" s="1"/>
  <c r="D153" i="2182" s="1"/>
  <c r="J132" i="2182" s="1"/>
  <c r="AN133" i="2184"/>
  <c r="D150" i="2179"/>
  <c r="AP133" i="2179"/>
  <c r="D150" i="2180"/>
  <c r="V133" i="2182"/>
  <c r="C48" i="2185"/>
  <c r="AC133" i="2181"/>
  <c r="T133" i="2179"/>
  <c r="AF133" i="2179"/>
  <c r="AR133" i="2179"/>
  <c r="AJ133" i="2180"/>
  <c r="Y133" i="2181"/>
  <c r="X133" i="2182"/>
  <c r="AJ133" i="2182"/>
  <c r="AC133" i="2183"/>
  <c r="AO133" i="2183"/>
  <c r="AQ133" i="2184"/>
  <c r="Z133" i="2185"/>
  <c r="AL133" i="2185"/>
  <c r="C48" i="2184"/>
  <c r="AL133" i="2182"/>
  <c r="AD133" i="2183"/>
  <c r="W133" i="2179"/>
  <c r="AI133" i="2179"/>
  <c r="AA133" i="2180"/>
  <c r="AM133" i="2180"/>
  <c r="AB133" i="2181"/>
  <c r="D150" i="2181"/>
  <c r="T133" i="2183"/>
  <c r="AF133" i="2183"/>
  <c r="AR133" i="2183"/>
  <c r="AH133" i="2184"/>
  <c r="AF133" i="2178"/>
  <c r="AC127" i="2178"/>
  <c r="AI133" i="2178"/>
  <c r="C42" i="2178"/>
  <c r="J111" i="2178" s="1"/>
  <c r="J114" i="2178" s="1"/>
  <c r="J141" i="2178" s="1"/>
  <c r="AR111" i="2178"/>
  <c r="AR114" i="2178" s="1"/>
  <c r="C42" i="2177"/>
  <c r="I111" i="2177"/>
  <c r="I114" i="2177" s="1"/>
  <c r="I141" i="2177" s="1"/>
  <c r="M111" i="2177"/>
  <c r="M114" i="2177" s="1"/>
  <c r="AE133" i="2177"/>
  <c r="Q111" i="2177"/>
  <c r="Q114" i="2177" s="1"/>
  <c r="Q141" i="2177" s="1"/>
  <c r="R111" i="2177"/>
  <c r="R114" i="2177" s="1"/>
  <c r="R141" i="2177" s="1"/>
  <c r="AG133" i="2177"/>
  <c r="Z111" i="2177"/>
  <c r="Z114" i="2177" s="1"/>
  <c r="AC111" i="2177"/>
  <c r="AC114" i="2177" s="1"/>
  <c r="AC124" i="2177" s="1"/>
  <c r="AK133" i="2177"/>
  <c r="Y133" i="2176"/>
  <c r="AO133" i="2176"/>
  <c r="Z133" i="2176"/>
  <c r="AP133" i="2176"/>
  <c r="Z133" i="2175"/>
  <c r="AP133" i="2175"/>
  <c r="AC133" i="2175"/>
  <c r="Z133" i="2174"/>
  <c r="AP133" i="2174"/>
  <c r="AB133" i="2174"/>
  <c r="AR133" i="2174"/>
  <c r="AD133" i="2174"/>
  <c r="Z133" i="2186"/>
  <c r="AP133" i="2186"/>
  <c r="Y133" i="2190"/>
  <c r="AG133" i="2190"/>
  <c r="AO133" i="2190"/>
  <c r="AI127" i="2187"/>
  <c r="AR133" i="2187"/>
  <c r="AH127" i="2192"/>
  <c r="AE133" i="2191"/>
  <c r="W133" i="2191"/>
  <c r="AQ127" i="2190"/>
  <c r="Y127" i="2190"/>
  <c r="AD133" i="2190"/>
  <c r="AP133" i="2190"/>
  <c r="AK127" i="2190"/>
  <c r="AN133" i="2189"/>
  <c r="AB127" i="2188"/>
  <c r="AN127" i="2188"/>
  <c r="AC127" i="2188"/>
  <c r="AO127" i="2188"/>
  <c r="AQ127" i="2188"/>
  <c r="AI127" i="2188"/>
  <c r="AF127" i="2188"/>
  <c r="AR127" i="2188"/>
  <c r="AG127" i="2188"/>
  <c r="AR127" i="2187"/>
  <c r="AJ127" i="2187"/>
  <c r="AE127" i="2187"/>
  <c r="AQ127" i="2187"/>
  <c r="Y127" i="2187"/>
  <c r="AN127" i="2192"/>
  <c r="AA127" i="2192"/>
  <c r="AM127" i="2192"/>
  <c r="AP127" i="2192"/>
  <c r="AE127" i="2192"/>
  <c r="AQ127" i="2192"/>
  <c r="AF127" i="2192"/>
  <c r="AR127" i="2192"/>
  <c r="AG127" i="2192"/>
  <c r="AB127" i="2191"/>
  <c r="AN127" i="2191"/>
  <c r="AM127" i="2191"/>
  <c r="AC127" i="2191"/>
  <c r="AO127" i="2191"/>
  <c r="Z127" i="2190"/>
  <c r="AL127" i="2190"/>
  <c r="AJ127" i="2190"/>
  <c r="AD127" i="2190"/>
  <c r="AP127" i="2190"/>
  <c r="AH127" i="2190"/>
  <c r="AI127" i="2190"/>
  <c r="AG127" i="2189"/>
  <c r="AE127" i="2189"/>
  <c r="AQ127" i="2189"/>
  <c r="AF127" i="2189"/>
  <c r="AR127" i="2189"/>
  <c r="AD127" i="2188"/>
  <c r="AP127" i="2188"/>
  <c r="T133" i="2189"/>
  <c r="AB133" i="2189"/>
  <c r="AJ133" i="2189"/>
  <c r="AR133" i="2189"/>
  <c r="X133" i="2192"/>
  <c r="AH133" i="2188"/>
  <c r="D150" i="2189"/>
  <c r="C48" i="2189"/>
  <c r="D148" i="2189" s="1"/>
  <c r="D109" i="2189" s="1"/>
  <c r="D142" i="2189" s="1"/>
  <c r="AG133" i="2189"/>
  <c r="AH133" i="2191"/>
  <c r="D150" i="2190"/>
  <c r="C48" i="2190"/>
  <c r="D148" i="2190" s="1"/>
  <c r="D153" i="2190" s="1"/>
  <c r="D150" i="2192"/>
  <c r="D150" i="2187"/>
  <c r="C48" i="2187"/>
  <c r="D148" i="2187" s="1"/>
  <c r="D154" i="2187" s="1"/>
  <c r="V118" i="2187"/>
  <c r="AC127" i="2187"/>
  <c r="AK127" i="2187"/>
  <c r="AD127" i="2192"/>
  <c r="AQ133" i="2192"/>
  <c r="AC133" i="2185"/>
  <c r="AG133" i="2184"/>
  <c r="W133" i="2184"/>
  <c r="AE133" i="2184"/>
  <c r="AM133" i="2184"/>
  <c r="AM133" i="2181"/>
  <c r="Y133" i="2179"/>
  <c r="AG133" i="2179"/>
  <c r="AO133" i="2179"/>
  <c r="V133" i="2179"/>
  <c r="AD133" i="2179"/>
  <c r="AL133" i="2179"/>
  <c r="AC133" i="2179"/>
  <c r="AK133" i="2179"/>
  <c r="W133" i="2192"/>
  <c r="Z133" i="2192"/>
  <c r="AH133" i="2192"/>
  <c r="AA133" i="2192"/>
  <c r="AI133" i="2192"/>
  <c r="U133" i="2192"/>
  <c r="AC133" i="2192"/>
  <c r="AK133" i="2192"/>
  <c r="AR133" i="2192"/>
  <c r="U133" i="2191"/>
  <c r="AC133" i="2191"/>
  <c r="AK133" i="2191"/>
  <c r="Y133" i="2191"/>
  <c r="AG133" i="2191"/>
  <c r="AO133" i="2191"/>
  <c r="AO133" i="2189"/>
  <c r="AE127" i="2188"/>
  <c r="AK133" i="2185"/>
  <c r="Y133" i="2185"/>
  <c r="AG133" i="2185"/>
  <c r="AO133" i="2185"/>
  <c r="AA133" i="2185"/>
  <c r="AQ133" i="2185"/>
  <c r="Y133" i="2184"/>
  <c r="AO133" i="2184"/>
  <c r="F111" i="2184"/>
  <c r="F114" i="2184" s="1"/>
  <c r="F141" i="2184" s="1"/>
  <c r="F122" i="2184"/>
  <c r="AA133" i="2184"/>
  <c r="Z133" i="2184"/>
  <c r="AE111" i="2184"/>
  <c r="AE114" i="2184" s="1"/>
  <c r="U133" i="2184"/>
  <c r="AC133" i="2184"/>
  <c r="AK133" i="2184"/>
  <c r="V133" i="2184"/>
  <c r="AD133" i="2184"/>
  <c r="AL133" i="2184"/>
  <c r="Z133" i="2183"/>
  <c r="AH133" i="2183"/>
  <c r="AP133" i="2183"/>
  <c r="AA133" i="2183"/>
  <c r="AI133" i="2183"/>
  <c r="AQ133" i="2183"/>
  <c r="AA133" i="2182"/>
  <c r="U133" i="2182"/>
  <c r="AC133" i="2182"/>
  <c r="AK133" i="2182"/>
  <c r="AE133" i="2182"/>
  <c r="Y133" i="2182"/>
  <c r="Z133" i="2182"/>
  <c r="AH133" i="2182"/>
  <c r="AP133" i="2182"/>
  <c r="W133" i="2181"/>
  <c r="AF111" i="2181"/>
  <c r="AF114" i="2181" s="1"/>
  <c r="AF124" i="2181" s="1"/>
  <c r="C42" i="2181"/>
  <c r="R111" i="2181" s="1"/>
  <c r="R114" i="2181" s="1"/>
  <c r="AG111" i="2181"/>
  <c r="AG114" i="2181" s="1"/>
  <c r="AF133" i="2181"/>
  <c r="AN133" i="2181"/>
  <c r="E130" i="2181"/>
  <c r="Z133" i="2181"/>
  <c r="AH133" i="2181"/>
  <c r="AP133" i="2181"/>
  <c r="U133" i="2181"/>
  <c r="AK133" i="2181"/>
  <c r="X133" i="2180"/>
  <c r="AF133" i="2180"/>
  <c r="AN133" i="2180"/>
  <c r="X133" i="2187"/>
  <c r="AF133" i="2187"/>
  <c r="AN133" i="2187"/>
  <c r="Y133" i="2187"/>
  <c r="AA133" i="2187"/>
  <c r="AI133" i="2187"/>
  <c r="AQ133" i="2187"/>
  <c r="AG127" i="2187"/>
  <c r="V133" i="2187"/>
  <c r="AD133" i="2187"/>
  <c r="AL133" i="2187"/>
  <c r="AF133" i="2192"/>
  <c r="AP133" i="2192"/>
  <c r="AA127" i="2191"/>
  <c r="AN133" i="2191"/>
  <c r="Z133" i="2191"/>
  <c r="AP133" i="2191"/>
  <c r="AA133" i="2191"/>
  <c r="AI133" i="2191"/>
  <c r="AQ133" i="2191"/>
  <c r="X133" i="2190"/>
  <c r="AF133" i="2190"/>
  <c r="AN133" i="2190"/>
  <c r="U133" i="2190"/>
  <c r="AC133" i="2190"/>
  <c r="V133" i="2189"/>
  <c r="AD133" i="2189"/>
  <c r="AL133" i="2189"/>
  <c r="Z133" i="2189"/>
  <c r="AH133" i="2189"/>
  <c r="AP133" i="2189"/>
  <c r="AI133" i="2189"/>
  <c r="V133" i="2188"/>
  <c r="AD133" i="2188"/>
  <c r="AL133" i="2188"/>
  <c r="W133" i="2188"/>
  <c r="AE133" i="2188"/>
  <c r="AA133" i="2188"/>
  <c r="AI133" i="2188"/>
  <c r="AQ133" i="2188"/>
  <c r="AM133" i="2188"/>
  <c r="AG133" i="2188"/>
  <c r="AO133" i="2188"/>
  <c r="Q111" i="2187"/>
  <c r="Q114" i="2187" s="1"/>
  <c r="Q141" i="2187" s="1"/>
  <c r="I111" i="2187"/>
  <c r="I114" i="2187" s="1"/>
  <c r="I141" i="2187" s="1"/>
  <c r="AO111" i="2187"/>
  <c r="AO114" i="2187" s="1"/>
  <c r="AO124" i="2187" s="1"/>
  <c r="AM111" i="2187"/>
  <c r="AM114" i="2187" s="1"/>
  <c r="AM124" i="2187" s="1"/>
  <c r="AG111" i="2187"/>
  <c r="AG114" i="2187" s="1"/>
  <c r="AG122" i="2187" s="1"/>
  <c r="AN111" i="2187"/>
  <c r="AN114" i="2187" s="1"/>
  <c r="AN122" i="2187" s="1"/>
  <c r="Y111" i="2187"/>
  <c r="Y114" i="2187" s="1"/>
  <c r="Y122" i="2187" s="1"/>
  <c r="AG133" i="2187"/>
  <c r="AO133" i="2187"/>
  <c r="Z133" i="2187"/>
  <c r="AH133" i="2187"/>
  <c r="AP133" i="2187"/>
  <c r="AO127" i="2187"/>
  <c r="U133" i="2187"/>
  <c r="AC133" i="2187"/>
  <c r="AK133" i="2187"/>
  <c r="AL111" i="2192"/>
  <c r="AL123" i="2192" s="1"/>
  <c r="S111" i="2192"/>
  <c r="S114" i="2192" s="1"/>
  <c r="S122" i="2192" s="1"/>
  <c r="AK111" i="2192"/>
  <c r="AK114" i="2192" s="1"/>
  <c r="AK124" i="2192" s="1"/>
  <c r="R111" i="2192"/>
  <c r="R114" i="2192" s="1"/>
  <c r="AH111" i="2192"/>
  <c r="AH114" i="2192" s="1"/>
  <c r="AH124" i="2192" s="1"/>
  <c r="P111" i="2192"/>
  <c r="P114" i="2192" s="1"/>
  <c r="P124" i="2192" s="1"/>
  <c r="AB111" i="2192"/>
  <c r="AB114" i="2192" s="1"/>
  <c r="L111" i="2192"/>
  <c r="L114" i="2192" s="1"/>
  <c r="L141" i="2192" s="1"/>
  <c r="AA111" i="2192"/>
  <c r="AA114" i="2192" s="1"/>
  <c r="AA122" i="2192" s="1"/>
  <c r="K111" i="2192"/>
  <c r="K114" i="2192" s="1"/>
  <c r="K141" i="2192" s="1"/>
  <c r="AO111" i="2192"/>
  <c r="AO114" i="2192" s="1"/>
  <c r="AO124" i="2192" s="1"/>
  <c r="Z111" i="2192"/>
  <c r="Z114" i="2192" s="1"/>
  <c r="Z122" i="2192" s="1"/>
  <c r="J111" i="2192"/>
  <c r="J114" i="2192" s="1"/>
  <c r="J116" i="2192" s="1"/>
  <c r="J127" i="2192" s="1"/>
  <c r="AG111" i="2192"/>
  <c r="AG114" i="2192" s="1"/>
  <c r="AG122" i="2192" s="1"/>
  <c r="X111" i="2192"/>
  <c r="X114" i="2192" s="1"/>
  <c r="X124" i="2192" s="1"/>
  <c r="H111" i="2192"/>
  <c r="H114" i="2192" s="1"/>
  <c r="H122" i="2192" s="1"/>
  <c r="AP111" i="2192"/>
  <c r="AP114" i="2192" s="1"/>
  <c r="AP124" i="2192" s="1"/>
  <c r="T111" i="2192"/>
  <c r="T114" i="2192" s="1"/>
  <c r="T122" i="2192" s="1"/>
  <c r="AE133" i="2192"/>
  <c r="AM133" i="2192"/>
  <c r="E130" i="2192"/>
  <c r="Y133" i="2192"/>
  <c r="AG133" i="2192"/>
  <c r="AO133" i="2192"/>
  <c r="AN133" i="2192"/>
  <c r="F130" i="2192"/>
  <c r="D109" i="2192"/>
  <c r="D142" i="2192" s="1"/>
  <c r="T133" i="2192"/>
  <c r="AB133" i="2192"/>
  <c r="AJ133" i="2192"/>
  <c r="T133" i="2191"/>
  <c r="AB133" i="2191"/>
  <c r="AJ133" i="2191"/>
  <c r="AR133" i="2191"/>
  <c r="X133" i="2191"/>
  <c r="AF133" i="2191"/>
  <c r="AA133" i="2190"/>
  <c r="AI133" i="2190"/>
  <c r="AQ133" i="2190"/>
  <c r="Z133" i="2190"/>
  <c r="T133" i="2190"/>
  <c r="AB133" i="2190"/>
  <c r="AJ133" i="2190"/>
  <c r="AR133" i="2190"/>
  <c r="AK133" i="2190"/>
  <c r="W133" i="2190"/>
  <c r="AE133" i="2190"/>
  <c r="AM133" i="2190"/>
  <c r="U133" i="2189"/>
  <c r="AC133" i="2189"/>
  <c r="AK133" i="2189"/>
  <c r="W133" i="2189"/>
  <c r="AE133" i="2189"/>
  <c r="AM133" i="2189"/>
  <c r="Y133" i="2189"/>
  <c r="L116" i="2192"/>
  <c r="L127" i="2192" s="1"/>
  <c r="Y133" i="2188"/>
  <c r="X133" i="2188"/>
  <c r="AF133" i="2188"/>
  <c r="AN133" i="2188"/>
  <c r="AP133" i="2188"/>
  <c r="T133" i="2188"/>
  <c r="AB133" i="2188"/>
  <c r="AJ133" i="2188"/>
  <c r="AR133" i="2188"/>
  <c r="U133" i="2188"/>
  <c r="AC133" i="2188"/>
  <c r="AK133" i="2188"/>
  <c r="J111" i="2187"/>
  <c r="J114" i="2187" s="1"/>
  <c r="J124" i="2187" s="1"/>
  <c r="R111" i="2187"/>
  <c r="R114" i="2187" s="1"/>
  <c r="R124" i="2187" s="1"/>
  <c r="Z111" i="2187"/>
  <c r="Z114" i="2187" s="1"/>
  <c r="Z122" i="2187" s="1"/>
  <c r="AH111" i="2187"/>
  <c r="AH114" i="2187" s="1"/>
  <c r="AH122" i="2187" s="1"/>
  <c r="AP111" i="2187"/>
  <c r="AP114" i="2187" s="1"/>
  <c r="AP122" i="2187" s="1"/>
  <c r="D150" i="2188"/>
  <c r="C48" i="2188"/>
  <c r="D148" i="2188" s="1"/>
  <c r="U118" i="2189"/>
  <c r="K111" i="2187"/>
  <c r="S111" i="2187"/>
  <c r="AA111" i="2187"/>
  <c r="AI111" i="2187"/>
  <c r="AQ111" i="2187"/>
  <c r="N130" i="2189"/>
  <c r="I130" i="2189"/>
  <c r="V118" i="2189"/>
  <c r="L111" i="2187"/>
  <c r="L114" i="2187" s="1"/>
  <c r="L141" i="2187" s="1"/>
  <c r="T111" i="2187"/>
  <c r="T114" i="2187" s="1"/>
  <c r="T124" i="2187" s="1"/>
  <c r="AB111" i="2187"/>
  <c r="AB114" i="2187" s="1"/>
  <c r="AB124" i="2187" s="1"/>
  <c r="AJ111" i="2187"/>
  <c r="AJ114" i="2187" s="1"/>
  <c r="AJ124" i="2187" s="1"/>
  <c r="AR111" i="2187"/>
  <c r="AR114" i="2187" s="1"/>
  <c r="AR124" i="2187" s="1"/>
  <c r="E111" i="2187"/>
  <c r="M111" i="2187"/>
  <c r="U111" i="2187"/>
  <c r="AC111" i="2187"/>
  <c r="AK111" i="2187"/>
  <c r="C42" i="2188"/>
  <c r="AQ111" i="2188" s="1"/>
  <c r="F111" i="2187"/>
  <c r="N111" i="2187"/>
  <c r="V111" i="2187"/>
  <c r="V114" i="2187" s="1"/>
  <c r="V124" i="2187" s="1"/>
  <c r="AD111" i="2187"/>
  <c r="AL111" i="2187"/>
  <c r="T118" i="2188"/>
  <c r="G111" i="2187"/>
  <c r="G114" i="2187" s="1"/>
  <c r="G124" i="2187" s="1"/>
  <c r="O111" i="2187"/>
  <c r="O114" i="2187" s="1"/>
  <c r="W111" i="2187"/>
  <c r="W114" i="2187" s="1"/>
  <c r="W116" i="2187" s="1"/>
  <c r="W127" i="2187" s="1"/>
  <c r="AE111" i="2187"/>
  <c r="AE114" i="2187" s="1"/>
  <c r="AE124" i="2187" s="1"/>
  <c r="AD111" i="2189"/>
  <c r="H111" i="2187"/>
  <c r="H114" i="2187" s="1"/>
  <c r="H124" i="2187" s="1"/>
  <c r="P111" i="2187"/>
  <c r="P114" i="2187" s="1"/>
  <c r="P124" i="2187" s="1"/>
  <c r="X111" i="2187"/>
  <c r="X114" i="2187" s="1"/>
  <c r="X116" i="2187" s="1"/>
  <c r="X127" i="2187" s="1"/>
  <c r="AF111" i="2187"/>
  <c r="AF114" i="2187" s="1"/>
  <c r="AF124" i="2187" s="1"/>
  <c r="V111" i="2189"/>
  <c r="V114" i="2189" s="1"/>
  <c r="V124" i="2189" s="1"/>
  <c r="V111" i="2190"/>
  <c r="V114" i="2190" s="1"/>
  <c r="V116" i="2190" s="1"/>
  <c r="V127" i="2190" s="1"/>
  <c r="AO111" i="2189"/>
  <c r="AO114" i="2189" s="1"/>
  <c r="AO124" i="2189" s="1"/>
  <c r="Q111" i="2189"/>
  <c r="Q114" i="2189" s="1"/>
  <c r="I111" i="2189"/>
  <c r="I114" i="2189" s="1"/>
  <c r="AF111" i="2189"/>
  <c r="P111" i="2189"/>
  <c r="P114" i="2189" s="1"/>
  <c r="AE111" i="2189"/>
  <c r="W111" i="2189"/>
  <c r="W114" i="2189" s="1"/>
  <c r="W124" i="2189" s="1"/>
  <c r="G111" i="2189"/>
  <c r="AL111" i="2189"/>
  <c r="AK111" i="2189"/>
  <c r="AK114" i="2189" s="1"/>
  <c r="AK124" i="2189" s="1"/>
  <c r="M111" i="2189"/>
  <c r="M114" i="2189" s="1"/>
  <c r="M141" i="2189" s="1"/>
  <c r="E111" i="2189"/>
  <c r="E123" i="2189" s="1"/>
  <c r="AH111" i="2189"/>
  <c r="AH114" i="2189" s="1"/>
  <c r="AH124" i="2189" s="1"/>
  <c r="AL111" i="2190"/>
  <c r="U118" i="2190"/>
  <c r="D148" i="2191"/>
  <c r="D150" i="2191"/>
  <c r="AR111" i="2190"/>
  <c r="AR114" i="2190" s="1"/>
  <c r="AR122" i="2190" s="1"/>
  <c r="T111" i="2190"/>
  <c r="T114" i="2190" s="1"/>
  <c r="T116" i="2190" s="1"/>
  <c r="T127" i="2190" s="1"/>
  <c r="L111" i="2190"/>
  <c r="L114" i="2190" s="1"/>
  <c r="L122" i="2190" s="1"/>
  <c r="AH111" i="2190"/>
  <c r="Z111" i="2190"/>
  <c r="R111" i="2190"/>
  <c r="AG111" i="2190"/>
  <c r="AG114" i="2190" s="1"/>
  <c r="AG124" i="2190" s="1"/>
  <c r="Y111" i="2190"/>
  <c r="Y114" i="2190" s="1"/>
  <c r="Y124" i="2190" s="1"/>
  <c r="I111" i="2190"/>
  <c r="I114" i="2190" s="1"/>
  <c r="I122" i="2190" s="1"/>
  <c r="AN111" i="2190"/>
  <c r="AN114" i="2190" s="1"/>
  <c r="AN122" i="2190" s="1"/>
  <c r="AF111" i="2190"/>
  <c r="AF114" i="2190" s="1"/>
  <c r="AF124" i="2190" s="1"/>
  <c r="H111" i="2190"/>
  <c r="H114" i="2190" s="1"/>
  <c r="H141" i="2190" s="1"/>
  <c r="AM111" i="2190"/>
  <c r="W111" i="2190"/>
  <c r="W114" i="2190" s="1"/>
  <c r="O111" i="2190"/>
  <c r="G111" i="2190"/>
  <c r="AB111" i="2190"/>
  <c r="W118" i="2190"/>
  <c r="E111" i="2190"/>
  <c r="AA111" i="2190"/>
  <c r="AA114" i="2190" s="1"/>
  <c r="AA122" i="2190" s="1"/>
  <c r="X118" i="2190"/>
  <c r="AC111" i="2190"/>
  <c r="W118" i="2191"/>
  <c r="T118" i="2192"/>
  <c r="R123" i="2192"/>
  <c r="U118" i="2192"/>
  <c r="V133" i="2191"/>
  <c r="AD133" i="2191"/>
  <c r="AL133" i="2191"/>
  <c r="V118" i="2192"/>
  <c r="X122" i="2192"/>
  <c r="AP123" i="2192"/>
  <c r="R130" i="2192"/>
  <c r="AQ111" i="2191"/>
  <c r="AQ114" i="2191" s="1"/>
  <c r="AQ122" i="2191" s="1"/>
  <c r="AI111" i="2191"/>
  <c r="AI114" i="2191" s="1"/>
  <c r="AI122" i="2191" s="1"/>
  <c r="AA111" i="2191"/>
  <c r="AA114" i="2191" s="1"/>
  <c r="AA122" i="2191" s="1"/>
  <c r="S111" i="2191"/>
  <c r="S114" i="2191" s="1"/>
  <c r="S122" i="2191" s="1"/>
  <c r="AO111" i="2191"/>
  <c r="AG111" i="2191"/>
  <c r="Q111" i="2191"/>
  <c r="I111" i="2191"/>
  <c r="AN111" i="2191"/>
  <c r="AN114" i="2191" s="1"/>
  <c r="AN124" i="2191" s="1"/>
  <c r="AF111" i="2191"/>
  <c r="AF114" i="2191" s="1"/>
  <c r="AF124" i="2191" s="1"/>
  <c r="P111" i="2191"/>
  <c r="P114" i="2191" s="1"/>
  <c r="H111" i="2191"/>
  <c r="H114" i="2191" s="1"/>
  <c r="AE111" i="2191"/>
  <c r="AE114" i="2191" s="1"/>
  <c r="AE122" i="2191" s="1"/>
  <c r="W111" i="2191"/>
  <c r="W114" i="2191" s="1"/>
  <c r="W124" i="2191" s="1"/>
  <c r="O111" i="2191"/>
  <c r="O114" i="2191" s="1"/>
  <c r="O141" i="2191" s="1"/>
  <c r="G111" i="2191"/>
  <c r="G114" i="2191" s="1"/>
  <c r="G141" i="2191" s="1"/>
  <c r="T111" i="2191"/>
  <c r="T114" i="2191" s="1"/>
  <c r="T116" i="2191" s="1"/>
  <c r="T127" i="2191" s="1"/>
  <c r="AJ111" i="2191"/>
  <c r="AJ114" i="2191" s="1"/>
  <c r="AJ124" i="2191" s="1"/>
  <c r="H123" i="2192"/>
  <c r="V118" i="2191"/>
  <c r="E111" i="2191"/>
  <c r="AK111" i="2191"/>
  <c r="D154" i="2192"/>
  <c r="Q130" i="2192"/>
  <c r="I130" i="2192"/>
  <c r="P130" i="2192"/>
  <c r="G130" i="2192"/>
  <c r="M130" i="2192"/>
  <c r="D153" i="2192"/>
  <c r="L130" i="2192"/>
  <c r="O130" i="2192"/>
  <c r="N130" i="2192"/>
  <c r="K130" i="2192"/>
  <c r="J130" i="2192"/>
  <c r="H130" i="2192"/>
  <c r="X116" i="2192"/>
  <c r="X127" i="2192" s="1"/>
  <c r="H141" i="2192"/>
  <c r="H124" i="2192"/>
  <c r="L111" i="2191"/>
  <c r="L114" i="2191" s="1"/>
  <c r="L122" i="2191" s="1"/>
  <c r="AR111" i="2191"/>
  <c r="AR114" i="2191" s="1"/>
  <c r="AR122" i="2191" s="1"/>
  <c r="S124" i="2191"/>
  <c r="H116" i="2192"/>
  <c r="H127" i="2192" s="1"/>
  <c r="E111" i="2192"/>
  <c r="M111" i="2192"/>
  <c r="U111" i="2192"/>
  <c r="U114" i="2192" s="1"/>
  <c r="AC111" i="2192"/>
  <c r="AQ111" i="2192"/>
  <c r="AQ114" i="2192" s="1"/>
  <c r="AQ122" i="2192" s="1"/>
  <c r="AI111" i="2192"/>
  <c r="AI114" i="2192" s="1"/>
  <c r="AI124" i="2192" s="1"/>
  <c r="AN111" i="2192"/>
  <c r="AN114" i="2192" s="1"/>
  <c r="AF111" i="2192"/>
  <c r="AM111" i="2192"/>
  <c r="AM114" i="2192" s="1"/>
  <c r="AM124" i="2192" s="1"/>
  <c r="AE111" i="2192"/>
  <c r="AE114" i="2192" s="1"/>
  <c r="AE122" i="2192" s="1"/>
  <c r="F111" i="2192"/>
  <c r="N111" i="2192"/>
  <c r="V111" i="2192"/>
  <c r="V114" i="2192" s="1"/>
  <c r="V122" i="2192" s="1"/>
  <c r="AD111" i="2192"/>
  <c r="AR111" i="2192"/>
  <c r="AR114" i="2192" s="1"/>
  <c r="AR122" i="2192" s="1"/>
  <c r="V133" i="2192"/>
  <c r="AD133" i="2192"/>
  <c r="AL133" i="2192"/>
  <c r="G111" i="2192"/>
  <c r="G114" i="2192" s="1"/>
  <c r="O111" i="2192"/>
  <c r="O114" i="2192" s="1"/>
  <c r="O124" i="2192" s="1"/>
  <c r="W111" i="2192"/>
  <c r="W114" i="2192" s="1"/>
  <c r="W116" i="2192" s="1"/>
  <c r="W127" i="2192" s="1"/>
  <c r="AB123" i="2192"/>
  <c r="K124" i="2192"/>
  <c r="AA124" i="2192"/>
  <c r="K123" i="2192"/>
  <c r="L124" i="2192"/>
  <c r="T124" i="2192"/>
  <c r="AB124" i="2192"/>
  <c r="I111" i="2192"/>
  <c r="Q111" i="2192"/>
  <c r="Y111" i="2192"/>
  <c r="AJ111" i="2192"/>
  <c r="AJ114" i="2192" s="1"/>
  <c r="AJ124" i="2192" s="1"/>
  <c r="L123" i="2192"/>
  <c r="L122" i="2192"/>
  <c r="AB122" i="2192"/>
  <c r="AC133" i="2178"/>
  <c r="AG133" i="2178"/>
  <c r="AI133" i="2177"/>
  <c r="D154" i="2175"/>
  <c r="K130" i="2175"/>
  <c r="U133" i="2174"/>
  <c r="I11" i="65"/>
  <c r="I10" i="65"/>
  <c r="I9" i="65"/>
  <c r="I8" i="65"/>
  <c r="I7" i="65"/>
  <c r="C164" i="2185"/>
  <c r="Z122" i="2174"/>
  <c r="S141" i="2174"/>
  <c r="S116" i="2174"/>
  <c r="S127" i="2174" s="1"/>
  <c r="U122" i="2174"/>
  <c r="S122" i="2174"/>
  <c r="S130" i="2174"/>
  <c r="K130" i="2174"/>
  <c r="D154" i="2174"/>
  <c r="D153" i="2174"/>
  <c r="Q130" i="2174"/>
  <c r="I130" i="2174"/>
  <c r="P130" i="2174"/>
  <c r="H130" i="2174"/>
  <c r="O130" i="2174"/>
  <c r="G130" i="2174"/>
  <c r="N130" i="2174"/>
  <c r="F130" i="2174"/>
  <c r="E130" i="2174"/>
  <c r="R130" i="2174"/>
  <c r="M130" i="2174"/>
  <c r="L130" i="2174"/>
  <c r="D109" i="2174"/>
  <c r="D142" i="2174" s="1"/>
  <c r="J130" i="2174"/>
  <c r="AO123" i="2174"/>
  <c r="AK123" i="2175"/>
  <c r="AO124" i="2174"/>
  <c r="G116" i="2175"/>
  <c r="G127" i="2175" s="1"/>
  <c r="S123" i="2174"/>
  <c r="AQ123" i="2174"/>
  <c r="AO122" i="2174"/>
  <c r="C172" i="2174"/>
  <c r="AM123" i="2175"/>
  <c r="F111" i="2174"/>
  <c r="F114" i="2174" s="1"/>
  <c r="F141" i="2174" s="1"/>
  <c r="N111" i="2174"/>
  <c r="N114" i="2174" s="1"/>
  <c r="N141" i="2174" s="1"/>
  <c r="V111" i="2174"/>
  <c r="V114" i="2174" s="1"/>
  <c r="V122" i="2174" s="1"/>
  <c r="AD111" i="2174"/>
  <c r="AD114" i="2174" s="1"/>
  <c r="AL111" i="2174"/>
  <c r="AL114" i="2174" s="1"/>
  <c r="AL122" i="2174" s="1"/>
  <c r="AJ114" i="2174"/>
  <c r="AJ122" i="2174" s="1"/>
  <c r="S124" i="2174"/>
  <c r="AQ124" i="2174"/>
  <c r="AE111" i="2175"/>
  <c r="AE114" i="2175" s="1"/>
  <c r="AE122" i="2175" s="1"/>
  <c r="G124" i="2175"/>
  <c r="O124" i="2175"/>
  <c r="AM124" i="2175"/>
  <c r="AL122" i="2175"/>
  <c r="G111" i="2174"/>
  <c r="G114" i="2174" s="1"/>
  <c r="G141" i="2174" s="1"/>
  <c r="O111" i="2174"/>
  <c r="O114" i="2174" s="1"/>
  <c r="O141" i="2174" s="1"/>
  <c r="W111" i="2174"/>
  <c r="W114" i="2174" s="1"/>
  <c r="W122" i="2174" s="1"/>
  <c r="AE111" i="2174"/>
  <c r="AE114" i="2174" s="1"/>
  <c r="AE122" i="2174" s="1"/>
  <c r="AM111" i="2174"/>
  <c r="AM114" i="2174" s="1"/>
  <c r="AM122" i="2174" s="1"/>
  <c r="E114" i="2174"/>
  <c r="E122" i="2174" s="1"/>
  <c r="U116" i="2174"/>
  <c r="U127" i="2174" s="1"/>
  <c r="AQ122" i="2174"/>
  <c r="AQ126" i="2174" s="1"/>
  <c r="AQ128" i="2174" s="1"/>
  <c r="G122" i="2175"/>
  <c r="O122" i="2175"/>
  <c r="AM122" i="2175"/>
  <c r="H111" i="2174"/>
  <c r="H114" i="2174" s="1"/>
  <c r="P111" i="2174"/>
  <c r="P114" i="2174" s="1"/>
  <c r="P122" i="2174" s="1"/>
  <c r="X111" i="2174"/>
  <c r="X114" i="2174" s="1"/>
  <c r="X116" i="2174" s="1"/>
  <c r="X127" i="2174" s="1"/>
  <c r="AF111" i="2174"/>
  <c r="AF114" i="2174" s="1"/>
  <c r="AF122" i="2174" s="1"/>
  <c r="F123" i="2174"/>
  <c r="N123" i="2174"/>
  <c r="AD123" i="2174"/>
  <c r="G123" i="2175"/>
  <c r="O123" i="2175"/>
  <c r="I111" i="2174"/>
  <c r="I114" i="2174" s="1"/>
  <c r="I124" i="2174" s="1"/>
  <c r="Q111" i="2174"/>
  <c r="Q114" i="2174" s="1"/>
  <c r="Q124" i="2174" s="1"/>
  <c r="Y111" i="2174"/>
  <c r="Y114" i="2174" s="1"/>
  <c r="Y122" i="2174" s="1"/>
  <c r="AG111" i="2174"/>
  <c r="AG114" i="2174" s="1"/>
  <c r="AG122" i="2174" s="1"/>
  <c r="W116" i="2174"/>
  <c r="W127" i="2174" s="1"/>
  <c r="O123" i="2174"/>
  <c r="F124" i="2174"/>
  <c r="V124" i="2174"/>
  <c r="AD124" i="2174"/>
  <c r="AL124" i="2174"/>
  <c r="H123" i="2174"/>
  <c r="P123" i="2174"/>
  <c r="G124" i="2174"/>
  <c r="O124" i="2174"/>
  <c r="W124" i="2174"/>
  <c r="AE124" i="2174"/>
  <c r="AD122" i="2174"/>
  <c r="D150" i="2176"/>
  <c r="C48" i="2176"/>
  <c r="D148" i="2176" s="1"/>
  <c r="H111" i="2175"/>
  <c r="P111" i="2175"/>
  <c r="X111" i="2175"/>
  <c r="X114" i="2175" s="1"/>
  <c r="X124" i="2175" s="1"/>
  <c r="AF111" i="2175"/>
  <c r="AN111" i="2175"/>
  <c r="N130" i="2175"/>
  <c r="I111" i="2175"/>
  <c r="I114" i="2175" s="1"/>
  <c r="I141" i="2175" s="1"/>
  <c r="Q111" i="2175"/>
  <c r="Q114" i="2175" s="1"/>
  <c r="Q141" i="2175" s="1"/>
  <c r="Y111" i="2175"/>
  <c r="Y114" i="2175" s="1"/>
  <c r="Y124" i="2175" s="1"/>
  <c r="AG111" i="2175"/>
  <c r="AG114" i="2175" s="1"/>
  <c r="AG122" i="2175" s="1"/>
  <c r="AO111" i="2175"/>
  <c r="AO114" i="2175" s="1"/>
  <c r="AO124" i="2175" s="1"/>
  <c r="W116" i="2175"/>
  <c r="W127" i="2175" s="1"/>
  <c r="O130" i="2175"/>
  <c r="J111" i="2175"/>
  <c r="J114" i="2175" s="1"/>
  <c r="J122" i="2175" s="1"/>
  <c r="R111" i="2175"/>
  <c r="R114" i="2175" s="1"/>
  <c r="Z111" i="2175"/>
  <c r="Z114" i="2175" s="1"/>
  <c r="Z124" i="2175" s="1"/>
  <c r="AH111" i="2175"/>
  <c r="AH114" i="2175" s="1"/>
  <c r="AH124" i="2175" s="1"/>
  <c r="AP111" i="2175"/>
  <c r="AP114" i="2175" s="1"/>
  <c r="AP124" i="2175" s="1"/>
  <c r="T118" i="2176"/>
  <c r="M130" i="2175"/>
  <c r="E130" i="2175"/>
  <c r="L130" i="2175"/>
  <c r="D153" i="2175"/>
  <c r="Q130" i="2175"/>
  <c r="I130" i="2175"/>
  <c r="D109" i="2175"/>
  <c r="D142" i="2175" s="1"/>
  <c r="K111" i="2175"/>
  <c r="S111" i="2175"/>
  <c r="AA111" i="2175"/>
  <c r="AI111" i="2175"/>
  <c r="AQ111" i="2175"/>
  <c r="F130" i="2175"/>
  <c r="R130" i="2175"/>
  <c r="L111" i="2175"/>
  <c r="L114" i="2175" s="1"/>
  <c r="L124" i="2175" s="1"/>
  <c r="T111" i="2175"/>
  <c r="T114" i="2175" s="1"/>
  <c r="T116" i="2175" s="1"/>
  <c r="T127" i="2175" s="1"/>
  <c r="AB111" i="2175"/>
  <c r="AB114" i="2175" s="1"/>
  <c r="AB124" i="2175" s="1"/>
  <c r="AJ111" i="2175"/>
  <c r="AJ114" i="2175" s="1"/>
  <c r="AJ124" i="2175" s="1"/>
  <c r="AR111" i="2175"/>
  <c r="AR114" i="2175" s="1"/>
  <c r="AR122" i="2175" s="1"/>
  <c r="G130" i="2175"/>
  <c r="S130" i="2175"/>
  <c r="E111" i="2175"/>
  <c r="M111" i="2175"/>
  <c r="M114" i="2175" s="1"/>
  <c r="U111" i="2175"/>
  <c r="U114" i="2175" s="1"/>
  <c r="AC111" i="2175"/>
  <c r="AC114" i="2175" s="1"/>
  <c r="AC124" i="2175" s="1"/>
  <c r="AK111" i="2175"/>
  <c r="AK114" i="2175" s="1"/>
  <c r="AK124" i="2175" s="1"/>
  <c r="H130" i="2175"/>
  <c r="W118" i="2176"/>
  <c r="F111" i="2175"/>
  <c r="F114" i="2175" s="1"/>
  <c r="F141" i="2175" s="1"/>
  <c r="N111" i="2175"/>
  <c r="N114" i="2175" s="1"/>
  <c r="N141" i="2175" s="1"/>
  <c r="V111" i="2175"/>
  <c r="V114" i="2175" s="1"/>
  <c r="V124" i="2175" s="1"/>
  <c r="AD111" i="2175"/>
  <c r="AD114" i="2175" s="1"/>
  <c r="AD124" i="2175" s="1"/>
  <c r="J130" i="2175"/>
  <c r="M141" i="2177"/>
  <c r="M116" i="2177"/>
  <c r="M127" i="2177" s="1"/>
  <c r="M124" i="2177"/>
  <c r="M122" i="2177"/>
  <c r="D150" i="2177"/>
  <c r="C48" i="2177"/>
  <c r="D148" i="2177" s="1"/>
  <c r="I116" i="2177"/>
  <c r="I127" i="2177" s="1"/>
  <c r="Q116" i="2177"/>
  <c r="Q127" i="2177" s="1"/>
  <c r="I122" i="2177"/>
  <c r="Q123" i="2177"/>
  <c r="I124" i="2177"/>
  <c r="Z123" i="2177"/>
  <c r="K111" i="2176"/>
  <c r="K114" i="2176" s="1"/>
  <c r="AA111" i="2176"/>
  <c r="AA114" i="2176" s="1"/>
  <c r="AA124" i="2176" s="1"/>
  <c r="O111" i="2177"/>
  <c r="O114" i="2177" s="1"/>
  <c r="O124" i="2177" s="1"/>
  <c r="AE111" i="2177"/>
  <c r="AE114" i="2177" s="1"/>
  <c r="AE122" i="2177" s="1"/>
  <c r="R124" i="2177"/>
  <c r="Z124" i="2177"/>
  <c r="T118" i="2177"/>
  <c r="Z122" i="2177"/>
  <c r="I123" i="2177"/>
  <c r="Q124" i="2177"/>
  <c r="AD111" i="2176"/>
  <c r="AD114" i="2176" s="1"/>
  <c r="AD124" i="2176" s="1"/>
  <c r="AL111" i="2176"/>
  <c r="AL114" i="2176" s="1"/>
  <c r="AL124" i="2176" s="1"/>
  <c r="E111" i="2177"/>
  <c r="U111" i="2177"/>
  <c r="AK111" i="2177"/>
  <c r="AK114" i="2177" s="1"/>
  <c r="AK124" i="2177" s="1"/>
  <c r="C42" i="2176"/>
  <c r="N111" i="2176" s="1"/>
  <c r="G111" i="2176"/>
  <c r="G114" i="2176" s="1"/>
  <c r="G141" i="2176" s="1"/>
  <c r="W111" i="2176"/>
  <c r="W114" i="2176" s="1"/>
  <c r="W122" i="2176" s="1"/>
  <c r="AE111" i="2176"/>
  <c r="AE114" i="2176" s="1"/>
  <c r="AE122" i="2176" s="1"/>
  <c r="G111" i="2177"/>
  <c r="G114" i="2177" s="1"/>
  <c r="G122" i="2177" s="1"/>
  <c r="W111" i="2177"/>
  <c r="W114" i="2177" s="1"/>
  <c r="W116" i="2177" s="1"/>
  <c r="W127" i="2177" s="1"/>
  <c r="M130" i="2178"/>
  <c r="E130" i="2178"/>
  <c r="L130" i="2178"/>
  <c r="S130" i="2178"/>
  <c r="K130" i="2178"/>
  <c r="D154" i="2178"/>
  <c r="R130" i="2178"/>
  <c r="J130" i="2178"/>
  <c r="D153" i="2178"/>
  <c r="Q130" i="2178"/>
  <c r="I130" i="2178"/>
  <c r="P130" i="2178"/>
  <c r="H130" i="2178"/>
  <c r="J116" i="2178"/>
  <c r="J127" i="2178" s="1"/>
  <c r="X124" i="2179"/>
  <c r="X116" i="2179"/>
  <c r="X127" i="2179" s="1"/>
  <c r="X122" i="2179"/>
  <c r="AF123" i="2179"/>
  <c r="K111" i="2177"/>
  <c r="K114" i="2177" s="1"/>
  <c r="S111" i="2177"/>
  <c r="S114" i="2177" s="1"/>
  <c r="S116" i="2177" s="1"/>
  <c r="S127" i="2177" s="1"/>
  <c r="AA111" i="2177"/>
  <c r="AA114" i="2177" s="1"/>
  <c r="AI111" i="2177"/>
  <c r="AI114" i="2177" s="1"/>
  <c r="AI124" i="2177" s="1"/>
  <c r="AQ111" i="2177"/>
  <c r="AQ114" i="2177" s="1"/>
  <c r="S130" i="2179"/>
  <c r="K130" i="2179"/>
  <c r="D154" i="2179"/>
  <c r="R130" i="2179"/>
  <c r="J130" i="2179"/>
  <c r="D153" i="2179"/>
  <c r="Q130" i="2179"/>
  <c r="I130" i="2179"/>
  <c r="O130" i="2179"/>
  <c r="G130" i="2179"/>
  <c r="N130" i="2179"/>
  <c r="F130" i="2179"/>
  <c r="P130" i="2179"/>
  <c r="M130" i="2179"/>
  <c r="L130" i="2179"/>
  <c r="D109" i="2179"/>
  <c r="D142" i="2179" s="1"/>
  <c r="H130" i="2179"/>
  <c r="E130" i="2179"/>
  <c r="L111" i="2177"/>
  <c r="L114" i="2177" s="1"/>
  <c r="L141" i="2177" s="1"/>
  <c r="T111" i="2177"/>
  <c r="T114" i="2177" s="1"/>
  <c r="T124" i="2177" s="1"/>
  <c r="AB111" i="2177"/>
  <c r="AB114" i="2177" s="1"/>
  <c r="AB124" i="2177" s="1"/>
  <c r="AJ111" i="2177"/>
  <c r="AJ114" i="2177" s="1"/>
  <c r="AJ122" i="2177" s="1"/>
  <c r="AR111" i="2177"/>
  <c r="AR114" i="2177" s="1"/>
  <c r="AR122" i="2177" s="1"/>
  <c r="T118" i="2178"/>
  <c r="J124" i="2178"/>
  <c r="F130" i="2178"/>
  <c r="H123" i="2179"/>
  <c r="H114" i="2179"/>
  <c r="U118" i="2178"/>
  <c r="D109" i="2178"/>
  <c r="D142" i="2178" s="1"/>
  <c r="AR123" i="2178"/>
  <c r="J122" i="2178"/>
  <c r="G130" i="2178"/>
  <c r="AF124" i="2179"/>
  <c r="AF122" i="2179"/>
  <c r="AF126" i="2179" s="1"/>
  <c r="AF128" i="2179" s="1"/>
  <c r="F111" i="2177"/>
  <c r="N111" i="2177"/>
  <c r="V111" i="2177"/>
  <c r="AD111" i="2177"/>
  <c r="AL111" i="2177"/>
  <c r="V118" i="2178"/>
  <c r="AR124" i="2178"/>
  <c r="N130" i="2178"/>
  <c r="X123" i="2179"/>
  <c r="J123" i="2178"/>
  <c r="AR122" i="2178"/>
  <c r="O130" i="2178"/>
  <c r="I116" i="2179"/>
  <c r="I127" i="2179" s="1"/>
  <c r="P123" i="2179"/>
  <c r="P114" i="2179"/>
  <c r="P122" i="2179" s="1"/>
  <c r="H111" i="2177"/>
  <c r="H114" i="2177" s="1"/>
  <c r="H122" i="2177" s="1"/>
  <c r="P111" i="2177"/>
  <c r="P114" i="2177" s="1"/>
  <c r="X111" i="2177"/>
  <c r="X114" i="2177" s="1"/>
  <c r="X116" i="2177" s="1"/>
  <c r="X127" i="2177" s="1"/>
  <c r="AF111" i="2177"/>
  <c r="AF114" i="2177" s="1"/>
  <c r="AF122" i="2177" s="1"/>
  <c r="J116" i="2179"/>
  <c r="J127" i="2179" s="1"/>
  <c r="R116" i="2179"/>
  <c r="R127" i="2179" s="1"/>
  <c r="AN123" i="2179"/>
  <c r="AN114" i="2179"/>
  <c r="AN124" i="2179" s="1"/>
  <c r="AM124" i="2179"/>
  <c r="Y123" i="2179"/>
  <c r="AG123" i="2179"/>
  <c r="AO123" i="2179"/>
  <c r="AM122" i="2179"/>
  <c r="Z123" i="2179"/>
  <c r="AH123" i="2179"/>
  <c r="AP123" i="2179"/>
  <c r="I124" i="2179"/>
  <c r="Q124" i="2179"/>
  <c r="Y124" i="2179"/>
  <c r="AG124" i="2179"/>
  <c r="AO124" i="2179"/>
  <c r="E111" i="2178"/>
  <c r="M111" i="2178"/>
  <c r="M114" i="2178" s="1"/>
  <c r="M141" i="2178" s="1"/>
  <c r="U111" i="2178"/>
  <c r="U114" i="2178" s="1"/>
  <c r="U116" i="2178" s="1"/>
  <c r="U127" i="2178" s="1"/>
  <c r="AC111" i="2178"/>
  <c r="AC114" i="2178" s="1"/>
  <c r="AC122" i="2178" s="1"/>
  <c r="AK111" i="2178"/>
  <c r="AK114" i="2178" s="1"/>
  <c r="AK122" i="2178" s="1"/>
  <c r="K111" i="2179"/>
  <c r="K114" i="2179" s="1"/>
  <c r="K141" i="2179" s="1"/>
  <c r="S111" i="2179"/>
  <c r="S114" i="2179" s="1"/>
  <c r="S141" i="2179" s="1"/>
  <c r="AA111" i="2179"/>
  <c r="AA114" i="2179" s="1"/>
  <c r="AA124" i="2179" s="1"/>
  <c r="AI111" i="2179"/>
  <c r="AI114" i="2179" s="1"/>
  <c r="AI124" i="2179" s="1"/>
  <c r="AQ111" i="2179"/>
  <c r="AQ114" i="2179" s="1"/>
  <c r="AQ124" i="2179" s="1"/>
  <c r="I123" i="2179"/>
  <c r="Q123" i="2179"/>
  <c r="J124" i="2179"/>
  <c r="R124" i="2179"/>
  <c r="Z124" i="2179"/>
  <c r="AH124" i="2179"/>
  <c r="AP124" i="2179"/>
  <c r="I122" i="2179"/>
  <c r="Q122" i="2179"/>
  <c r="Y122" i="2179"/>
  <c r="AG122" i="2179"/>
  <c r="AO122" i="2179"/>
  <c r="AO126" i="2179" s="1"/>
  <c r="AO128" i="2179" s="1"/>
  <c r="F111" i="2178"/>
  <c r="N111" i="2178"/>
  <c r="V111" i="2178"/>
  <c r="V114" i="2178" s="1"/>
  <c r="V124" i="2178" s="1"/>
  <c r="AD111" i="2178"/>
  <c r="AL111" i="2178"/>
  <c r="L111" i="2179"/>
  <c r="T111" i="2179"/>
  <c r="T114" i="2179" s="1"/>
  <c r="T124" i="2179" s="1"/>
  <c r="AB111" i="2179"/>
  <c r="AJ111" i="2179"/>
  <c r="AR111" i="2179"/>
  <c r="J123" i="2179"/>
  <c r="R123" i="2179"/>
  <c r="K124" i="2179"/>
  <c r="J122" i="2179"/>
  <c r="R122" i="2179"/>
  <c r="Z122" i="2179"/>
  <c r="Z126" i="2179" s="1"/>
  <c r="Z128" i="2179" s="1"/>
  <c r="AH122" i="2179"/>
  <c r="AH126" i="2179" s="1"/>
  <c r="AH128" i="2179" s="1"/>
  <c r="AP122" i="2179"/>
  <c r="G111" i="2178"/>
  <c r="O111" i="2178"/>
  <c r="W111" i="2178"/>
  <c r="W114" i="2178" s="1"/>
  <c r="W124" i="2178" s="1"/>
  <c r="AE111" i="2178"/>
  <c r="AM111" i="2178"/>
  <c r="E111" i="2179"/>
  <c r="M111" i="2179"/>
  <c r="U111" i="2179"/>
  <c r="U114" i="2179" s="1"/>
  <c r="U124" i="2179" s="1"/>
  <c r="AC111" i="2179"/>
  <c r="AC114" i="2179" s="1"/>
  <c r="AC122" i="2179" s="1"/>
  <c r="AK111" i="2179"/>
  <c r="S123" i="2179"/>
  <c r="K122" i="2179"/>
  <c r="S122" i="2179"/>
  <c r="AQ122" i="2179"/>
  <c r="C42" i="2180"/>
  <c r="H111" i="2178"/>
  <c r="H114" i="2178" s="1"/>
  <c r="H124" i="2178" s="1"/>
  <c r="P111" i="2178"/>
  <c r="P114" i="2178" s="1"/>
  <c r="P124" i="2178" s="1"/>
  <c r="X111" i="2178"/>
  <c r="X114" i="2178" s="1"/>
  <c r="X116" i="2178" s="1"/>
  <c r="X127" i="2178" s="1"/>
  <c r="AF111" i="2178"/>
  <c r="AF114" i="2178" s="1"/>
  <c r="AF124" i="2178" s="1"/>
  <c r="AN111" i="2178"/>
  <c r="AN114" i="2178" s="1"/>
  <c r="AN124" i="2178" s="1"/>
  <c r="F111" i="2179"/>
  <c r="F114" i="2179" s="1"/>
  <c r="N111" i="2179"/>
  <c r="N114" i="2179" s="1"/>
  <c r="V111" i="2179"/>
  <c r="V114" i="2179" s="1"/>
  <c r="V116" i="2179" s="1"/>
  <c r="V127" i="2179" s="1"/>
  <c r="AD111" i="2179"/>
  <c r="AD114" i="2179" s="1"/>
  <c r="AD122" i="2179" s="1"/>
  <c r="AD126" i="2179" s="1"/>
  <c r="AD128" i="2179" s="1"/>
  <c r="AL111" i="2179"/>
  <c r="AL114" i="2179" s="1"/>
  <c r="AL124" i="2179" s="1"/>
  <c r="T116" i="2179"/>
  <c r="T127" i="2179" s="1"/>
  <c r="U118" i="2179"/>
  <c r="AD123" i="2179"/>
  <c r="V133" i="2180"/>
  <c r="AD133" i="2180"/>
  <c r="AL133" i="2180"/>
  <c r="I111" i="2178"/>
  <c r="I114" i="2178" s="1"/>
  <c r="Q111" i="2178"/>
  <c r="Q114" i="2178" s="1"/>
  <c r="Y111" i="2178"/>
  <c r="Y114" i="2178" s="1"/>
  <c r="Y124" i="2178" s="1"/>
  <c r="AG111" i="2178"/>
  <c r="AG114" i="2178" s="1"/>
  <c r="AG124" i="2178" s="1"/>
  <c r="G111" i="2179"/>
  <c r="G114" i="2179" s="1"/>
  <c r="G124" i="2179" s="1"/>
  <c r="O111" i="2179"/>
  <c r="O114" i="2179" s="1"/>
  <c r="O124" i="2179" s="1"/>
  <c r="W111" i="2179"/>
  <c r="W114" i="2179" s="1"/>
  <c r="W116" i="2179" s="1"/>
  <c r="W127" i="2179" s="1"/>
  <c r="AE111" i="2179"/>
  <c r="AE114" i="2179" s="1"/>
  <c r="AE124" i="2179" s="1"/>
  <c r="AM123" i="2179"/>
  <c r="AD124" i="2179"/>
  <c r="X118" i="2180"/>
  <c r="AP111" i="2181"/>
  <c r="AE111" i="2181"/>
  <c r="Q111" i="2181"/>
  <c r="Q114" i="2181" s="1"/>
  <c r="Q141" i="2181" s="1"/>
  <c r="AO111" i="2181"/>
  <c r="AO114" i="2181" s="1"/>
  <c r="AO124" i="2181" s="1"/>
  <c r="AA111" i="2181"/>
  <c r="P111" i="2181"/>
  <c r="P114" i="2181" s="1"/>
  <c r="P122" i="2181" s="1"/>
  <c r="AN111" i="2181"/>
  <c r="AN114" i="2181" s="1"/>
  <c r="Z111" i="2181"/>
  <c r="Z114" i="2181" s="1"/>
  <c r="Z124" i="2181" s="1"/>
  <c r="O111" i="2181"/>
  <c r="O114" i="2181" s="1"/>
  <c r="O124" i="2181" s="1"/>
  <c r="AI111" i="2181"/>
  <c r="X111" i="2181"/>
  <c r="X114" i="2181" s="1"/>
  <c r="X116" i="2181" s="1"/>
  <c r="X127" i="2181" s="1"/>
  <c r="J111" i="2181"/>
  <c r="J114" i="2181" s="1"/>
  <c r="AH111" i="2181"/>
  <c r="W111" i="2181"/>
  <c r="I111" i="2181"/>
  <c r="I114" i="2181" s="1"/>
  <c r="H111" i="2181"/>
  <c r="H114" i="2181" s="1"/>
  <c r="AQ111" i="2181"/>
  <c r="O123" i="2181"/>
  <c r="AG123" i="2181"/>
  <c r="H124" i="2181"/>
  <c r="AN124" i="2181"/>
  <c r="O122" i="2181"/>
  <c r="K111" i="2181"/>
  <c r="E131" i="2182"/>
  <c r="L132" i="2182"/>
  <c r="R132" i="2182"/>
  <c r="G131" i="2182"/>
  <c r="P131" i="2182"/>
  <c r="S132" i="2182"/>
  <c r="R141" i="2181"/>
  <c r="R124" i="2181"/>
  <c r="C48" i="2180"/>
  <c r="D148" i="2180" s="1"/>
  <c r="S111" i="2181"/>
  <c r="R122" i="2181"/>
  <c r="Z122" i="2181"/>
  <c r="S130" i="2181"/>
  <c r="K130" i="2181"/>
  <c r="D154" i="2181"/>
  <c r="L130" i="2181"/>
  <c r="J130" i="2181"/>
  <c r="R130" i="2181"/>
  <c r="I130" i="2181"/>
  <c r="D153" i="2181"/>
  <c r="H130" i="2181"/>
  <c r="G130" i="2181"/>
  <c r="D109" i="2181"/>
  <c r="D142" i="2181" s="1"/>
  <c r="F130" i="2181"/>
  <c r="P130" i="2181"/>
  <c r="O130" i="2181"/>
  <c r="N130" i="2181"/>
  <c r="Q130" i="2181"/>
  <c r="Z123" i="2181"/>
  <c r="I124" i="2181"/>
  <c r="AG124" i="2181"/>
  <c r="H122" i="2181"/>
  <c r="AF122" i="2181"/>
  <c r="AN122" i="2181"/>
  <c r="R116" i="2181"/>
  <c r="R127" i="2181" s="1"/>
  <c r="R123" i="2181"/>
  <c r="I122" i="2181"/>
  <c r="AG122" i="2181"/>
  <c r="T118" i="2181"/>
  <c r="U118" i="2181"/>
  <c r="X118" i="2182"/>
  <c r="AL111" i="2181"/>
  <c r="AL114" i="2181" s="1"/>
  <c r="AL122" i="2181" s="1"/>
  <c r="O130" i="2182"/>
  <c r="L130" i="2182"/>
  <c r="I130" i="2182"/>
  <c r="AE124" i="2184"/>
  <c r="AD122" i="2184"/>
  <c r="W133" i="2182"/>
  <c r="AM133" i="2182"/>
  <c r="L111" i="2181"/>
  <c r="T111" i="2181"/>
  <c r="T114" i="2181" s="1"/>
  <c r="T116" i="2181" s="1"/>
  <c r="T127" i="2181" s="1"/>
  <c r="AB111" i="2181"/>
  <c r="AJ111" i="2181"/>
  <c r="AR111" i="2181"/>
  <c r="C42" i="2182"/>
  <c r="AK111" i="2182" s="1"/>
  <c r="AF133" i="2182"/>
  <c r="V133" i="2183"/>
  <c r="AL133" i="2183"/>
  <c r="E111" i="2181"/>
  <c r="M111" i="2181"/>
  <c r="M114" i="2181" s="1"/>
  <c r="M124" i="2181" s="1"/>
  <c r="U111" i="2181"/>
  <c r="U114" i="2181" s="1"/>
  <c r="U116" i="2181" s="1"/>
  <c r="U127" i="2181" s="1"/>
  <c r="AC111" i="2181"/>
  <c r="AK111" i="2181"/>
  <c r="O111" i="2182"/>
  <c r="W133" i="2183"/>
  <c r="AM133" i="2183"/>
  <c r="F111" i="2181"/>
  <c r="N111" i="2181"/>
  <c r="N114" i="2181" s="1"/>
  <c r="V111" i="2181"/>
  <c r="AD111" i="2181"/>
  <c r="D153" i="2183"/>
  <c r="L130" i="2183"/>
  <c r="S130" i="2183"/>
  <c r="K130" i="2183"/>
  <c r="R130" i="2183"/>
  <c r="J130" i="2183"/>
  <c r="Q130" i="2183"/>
  <c r="I130" i="2183"/>
  <c r="P130" i="2183"/>
  <c r="H130" i="2183"/>
  <c r="O130" i="2183"/>
  <c r="N130" i="2183"/>
  <c r="D154" i="2183"/>
  <c r="M130" i="2183"/>
  <c r="G130" i="2183"/>
  <c r="F130" i="2183"/>
  <c r="D109" i="2183"/>
  <c r="D142" i="2183" s="1"/>
  <c r="T118" i="2183"/>
  <c r="E130" i="2183"/>
  <c r="U118" i="2183"/>
  <c r="W118" i="2184"/>
  <c r="X118" i="2184"/>
  <c r="M111" i="2184"/>
  <c r="M114" i="2184" s="1"/>
  <c r="V111" i="2184"/>
  <c r="V114" i="2184" s="1"/>
  <c r="V116" i="2184" s="1"/>
  <c r="V127" i="2184" s="1"/>
  <c r="AC111" i="2184"/>
  <c r="AC114" i="2184" s="1"/>
  <c r="AC124" i="2184" s="1"/>
  <c r="AD123" i="2184"/>
  <c r="AE123" i="2184"/>
  <c r="F124" i="2184"/>
  <c r="AD124" i="2184"/>
  <c r="N111" i="2184"/>
  <c r="N114" i="2184" s="1"/>
  <c r="N141" i="2184" s="1"/>
  <c r="AK111" i="2184"/>
  <c r="AK114" i="2184" s="1"/>
  <c r="AK124" i="2184" s="1"/>
  <c r="F123" i="2184"/>
  <c r="AE122" i="2184"/>
  <c r="O111" i="2184"/>
  <c r="O114" i="2184" s="1"/>
  <c r="O141" i="2184" s="1"/>
  <c r="AL111" i="2184"/>
  <c r="AL114" i="2184" s="1"/>
  <c r="AL122" i="2184" s="1"/>
  <c r="O123" i="2184"/>
  <c r="D150" i="2184"/>
  <c r="D148" i="2184"/>
  <c r="U111" i="2184"/>
  <c r="U114" i="2184" s="1"/>
  <c r="U116" i="2184" s="1"/>
  <c r="U127" i="2184" s="1"/>
  <c r="AM111" i="2184"/>
  <c r="AM114" i="2184" s="1"/>
  <c r="AM122" i="2184" s="1"/>
  <c r="C42" i="2183"/>
  <c r="AR111" i="2183" s="1"/>
  <c r="W111" i="2183"/>
  <c r="AM111" i="2183"/>
  <c r="AM114" i="2183" s="1"/>
  <c r="AM122" i="2183" s="1"/>
  <c r="W111" i="2185"/>
  <c r="W114" i="2185" s="1"/>
  <c r="W122" i="2185" s="1"/>
  <c r="C42" i="2185"/>
  <c r="Y111" i="2185" s="1"/>
  <c r="T111" i="2185"/>
  <c r="T114" i="2185" s="1"/>
  <c r="T124" i="2185" s="1"/>
  <c r="AP111" i="2185"/>
  <c r="AP114" i="2185" s="1"/>
  <c r="AP124" i="2185" s="1"/>
  <c r="J111" i="2185"/>
  <c r="AL111" i="2185"/>
  <c r="AL114" i="2185" s="1"/>
  <c r="V111" i="2185"/>
  <c r="AK111" i="2185"/>
  <c r="AK114" i="2185" s="1"/>
  <c r="AK124" i="2185" s="1"/>
  <c r="U111" i="2185"/>
  <c r="U114" i="2185" s="1"/>
  <c r="U116" i="2185" s="1"/>
  <c r="U127" i="2185" s="1"/>
  <c r="E111" i="2185"/>
  <c r="AH111" i="2185"/>
  <c r="AH114" i="2185" s="1"/>
  <c r="AH124" i="2185" s="1"/>
  <c r="R111" i="2185"/>
  <c r="N111" i="2185"/>
  <c r="M111" i="2185"/>
  <c r="M114" i="2185" s="1"/>
  <c r="M141" i="2185" s="1"/>
  <c r="K111" i="2185"/>
  <c r="K114" i="2185" s="1"/>
  <c r="H111" i="2183"/>
  <c r="H114" i="2183" s="1"/>
  <c r="H124" i="2183" s="1"/>
  <c r="P111" i="2183"/>
  <c r="P114" i="2183" s="1"/>
  <c r="X111" i="2183"/>
  <c r="X114" i="2183" s="1"/>
  <c r="X116" i="2183" s="1"/>
  <c r="X127" i="2183" s="1"/>
  <c r="AF111" i="2183"/>
  <c r="AF114" i="2183" s="1"/>
  <c r="AF124" i="2183" s="1"/>
  <c r="AR111" i="2184"/>
  <c r="AR114" i="2184" s="1"/>
  <c r="AR122" i="2184" s="1"/>
  <c r="AJ111" i="2184"/>
  <c r="AJ114" i="2184" s="1"/>
  <c r="AJ124" i="2184" s="1"/>
  <c r="AB111" i="2184"/>
  <c r="AB114" i="2184" s="1"/>
  <c r="AB122" i="2184" s="1"/>
  <c r="T111" i="2184"/>
  <c r="T114" i="2184" s="1"/>
  <c r="T116" i="2184" s="1"/>
  <c r="T127" i="2184" s="1"/>
  <c r="L111" i="2184"/>
  <c r="L114" i="2184" s="1"/>
  <c r="L122" i="2184" s="1"/>
  <c r="AQ111" i="2184"/>
  <c r="AQ114" i="2184" s="1"/>
  <c r="AQ124" i="2184" s="1"/>
  <c r="AI111" i="2184"/>
  <c r="AI114" i="2184" s="1"/>
  <c r="AI124" i="2184" s="1"/>
  <c r="AA111" i="2184"/>
  <c r="S111" i="2184"/>
  <c r="S114" i="2184" s="1"/>
  <c r="S124" i="2184" s="1"/>
  <c r="K111" i="2184"/>
  <c r="K114" i="2184" s="1"/>
  <c r="AP111" i="2184"/>
  <c r="AH111" i="2184"/>
  <c r="Z111" i="2184"/>
  <c r="R111" i="2184"/>
  <c r="J111" i="2184"/>
  <c r="AO111" i="2184"/>
  <c r="AG111" i="2184"/>
  <c r="Y111" i="2184"/>
  <c r="Q111" i="2184"/>
  <c r="I111" i="2184"/>
  <c r="AN111" i="2184"/>
  <c r="AF111" i="2184"/>
  <c r="X111" i="2184"/>
  <c r="X114" i="2184" s="1"/>
  <c r="X124" i="2184" s="1"/>
  <c r="P111" i="2184"/>
  <c r="H111" i="2184"/>
  <c r="F116" i="2184"/>
  <c r="F127" i="2184" s="1"/>
  <c r="N116" i="2184"/>
  <c r="N127" i="2184" s="1"/>
  <c r="E111" i="2184"/>
  <c r="E123" i="2184" s="1"/>
  <c r="W111" i="2184"/>
  <c r="W114" i="2184" s="1"/>
  <c r="W124" i="2184" s="1"/>
  <c r="L124" i="2184"/>
  <c r="T124" i="2184"/>
  <c r="AB124" i="2184"/>
  <c r="T118" i="2185"/>
  <c r="T123" i="2185" s="1"/>
  <c r="AK123" i="2185"/>
  <c r="AL123" i="2185"/>
  <c r="AM124" i="2184"/>
  <c r="D150" i="2185"/>
  <c r="D148" i="2185"/>
  <c r="M116" i="2185"/>
  <c r="M127" i="2185" s="1"/>
  <c r="U118" i="2185"/>
  <c r="U123" i="2185" s="1"/>
  <c r="M122" i="2185"/>
  <c r="U122" i="2185"/>
  <c r="W118" i="2185"/>
  <c r="E123" i="2185"/>
  <c r="P130" i="2186"/>
  <c r="H130" i="2186"/>
  <c r="O130" i="2186"/>
  <c r="G130" i="2186"/>
  <c r="M130" i="2186"/>
  <c r="E130" i="2186"/>
  <c r="L130" i="2186"/>
  <c r="D154" i="2186"/>
  <c r="S130" i="2186"/>
  <c r="D153" i="2186"/>
  <c r="R130" i="2186"/>
  <c r="Q130" i="2186"/>
  <c r="N130" i="2186"/>
  <c r="K130" i="2186"/>
  <c r="J130" i="2186"/>
  <c r="F130" i="2186"/>
  <c r="D109" i="2186"/>
  <c r="D142" i="2186" s="1"/>
  <c r="I130" i="2186"/>
  <c r="M124" i="2185"/>
  <c r="AN111" i="2186"/>
  <c r="K111" i="2186"/>
  <c r="K114" i="2186" s="1"/>
  <c r="K141" i="2186" s="1"/>
  <c r="AA111" i="2186"/>
  <c r="C42" i="2186"/>
  <c r="AP111" i="2186" s="1"/>
  <c r="AD111" i="2186"/>
  <c r="D28" i="701"/>
  <c r="D22" i="701"/>
  <c r="D20" i="701"/>
  <c r="R7" i="65"/>
  <c r="I25" i="65"/>
  <c r="I27" i="65"/>
  <c r="I22" i="65"/>
  <c r="I23" i="65"/>
  <c r="I24" i="65"/>
  <c r="I20" i="65"/>
  <c r="I21" i="65"/>
  <c r="AI111" i="2186" l="1"/>
  <c r="AI114" i="2186" s="1"/>
  <c r="M111" i="2186"/>
  <c r="M114" i="2186" s="1"/>
  <c r="M141" i="2186" s="1"/>
  <c r="I111" i="2186"/>
  <c r="I114" i="2186" s="1"/>
  <c r="U111" i="2186"/>
  <c r="Z111" i="2186"/>
  <c r="Z114" i="2186" s="1"/>
  <c r="Z122" i="2186" s="1"/>
  <c r="P111" i="2185"/>
  <c r="AO111" i="2185"/>
  <c r="AE111" i="2185"/>
  <c r="AQ123" i="2184"/>
  <c r="L123" i="2184"/>
  <c r="G111" i="2184"/>
  <c r="V111" i="2183"/>
  <c r="V114" i="2183" s="1"/>
  <c r="V122" i="2183" s="1"/>
  <c r="AK111" i="2183"/>
  <c r="O111" i="2183"/>
  <c r="N111" i="2183"/>
  <c r="M111" i="2183"/>
  <c r="P123" i="2183"/>
  <c r="G111" i="2183"/>
  <c r="AD111" i="2183"/>
  <c r="E111" i="2183"/>
  <c r="Y111" i="2182"/>
  <c r="Y114" i="2182" s="1"/>
  <c r="Y122" i="2182" s="1"/>
  <c r="P124" i="2181"/>
  <c r="P123" i="2181"/>
  <c r="Q122" i="2181"/>
  <c r="Q124" i="2181"/>
  <c r="I123" i="2181"/>
  <c r="M123" i="2181"/>
  <c r="AL122" i="2179"/>
  <c r="Q116" i="2179"/>
  <c r="Q127" i="2179" s="1"/>
  <c r="AE123" i="2179"/>
  <c r="AL123" i="2179"/>
  <c r="I126" i="2179"/>
  <c r="W122" i="2179"/>
  <c r="W123" i="2179"/>
  <c r="T122" i="2179"/>
  <c r="AN122" i="2179"/>
  <c r="AC123" i="2178"/>
  <c r="S111" i="2176"/>
  <c r="S114" i="2176" s="1"/>
  <c r="AG124" i="2175"/>
  <c r="W122" i="2175"/>
  <c r="AG123" i="2175"/>
  <c r="AE124" i="2175"/>
  <c r="F116" i="2175"/>
  <c r="F127" i="2175" s="1"/>
  <c r="AL123" i="2175"/>
  <c r="AL126" i="2175" s="1"/>
  <c r="AL128" i="2175" s="1"/>
  <c r="AL135" i="2175" s="1"/>
  <c r="AL136" i="2175" s="1"/>
  <c r="AL139" i="2175" s="1"/>
  <c r="O116" i="2175"/>
  <c r="O127" i="2175" s="1"/>
  <c r="AR123" i="2175"/>
  <c r="W123" i="2175"/>
  <c r="X116" i="2175"/>
  <c r="X127" i="2175" s="1"/>
  <c r="Z123" i="2175"/>
  <c r="O126" i="2175"/>
  <c r="O128" i="2175" s="1"/>
  <c r="N123" i="2175"/>
  <c r="AL123" i="2174"/>
  <c r="AO126" i="2174"/>
  <c r="AO128" i="2174" s="1"/>
  <c r="AP111" i="2174"/>
  <c r="AM123" i="2174"/>
  <c r="AM124" i="2174"/>
  <c r="G123" i="2174"/>
  <c r="V116" i="2174"/>
  <c r="V127" i="2174" s="1"/>
  <c r="Y124" i="2174"/>
  <c r="X124" i="2174"/>
  <c r="X122" i="2174"/>
  <c r="F116" i="2174"/>
  <c r="F127" i="2174" s="1"/>
  <c r="S126" i="2174"/>
  <c r="E123" i="2174"/>
  <c r="AC111" i="2174"/>
  <c r="L111" i="2174"/>
  <c r="AB111" i="2174"/>
  <c r="K111" i="2174"/>
  <c r="AN111" i="2174"/>
  <c r="AA111" i="2174"/>
  <c r="J111" i="2174"/>
  <c r="O116" i="2174"/>
  <c r="O127" i="2174" s="1"/>
  <c r="O122" i="2174"/>
  <c r="D156" i="2174"/>
  <c r="U123" i="2174"/>
  <c r="U126" i="2174" s="1"/>
  <c r="U128" i="2174" s="1"/>
  <c r="AK111" i="2174"/>
  <c r="T111" i="2174"/>
  <c r="AL126" i="2174"/>
  <c r="AL128" i="2174" s="1"/>
  <c r="Y123" i="2174"/>
  <c r="Y126" i="2174" s="1"/>
  <c r="Y128" i="2174" s="1"/>
  <c r="Y135" i="2174" s="1"/>
  <c r="Y136" i="2174" s="1"/>
  <c r="Y138" i="2174" s="1"/>
  <c r="Y140" i="2174" s="1"/>
  <c r="N116" i="2174"/>
  <c r="N127" i="2174" s="1"/>
  <c r="Z123" i="2174"/>
  <c r="Z126" i="2174" s="1"/>
  <c r="Z128" i="2174" s="1"/>
  <c r="Z135" i="2174" s="1"/>
  <c r="Z136" i="2174" s="1"/>
  <c r="Z139" i="2174" s="1"/>
  <c r="AI111" i="2174"/>
  <c r="R111" i="2174"/>
  <c r="AH111" i="2174"/>
  <c r="M111" i="2174"/>
  <c r="AR111" i="2174"/>
  <c r="Q130" i="2182"/>
  <c r="S131" i="2182"/>
  <c r="S133" i="2182" s="1"/>
  <c r="Q131" i="2182"/>
  <c r="P130" i="2182"/>
  <c r="I131" i="2182"/>
  <c r="G132" i="2182"/>
  <c r="J130" i="2182"/>
  <c r="R130" i="2182"/>
  <c r="E132" i="2182"/>
  <c r="E133" i="2182" s="1"/>
  <c r="M132" i="2182"/>
  <c r="E130" i="2182"/>
  <c r="K132" i="2182"/>
  <c r="F131" i="2182"/>
  <c r="M130" i="2182"/>
  <c r="H131" i="2182"/>
  <c r="K131" i="2182"/>
  <c r="N131" i="2182"/>
  <c r="I132" i="2182"/>
  <c r="D109" i="2182"/>
  <c r="D142" i="2182" s="1"/>
  <c r="S130" i="2182"/>
  <c r="H132" i="2182"/>
  <c r="M131" i="2182"/>
  <c r="M133" i="2182" s="1"/>
  <c r="Q132" i="2182"/>
  <c r="Q133" i="2182" s="1"/>
  <c r="D154" i="2182"/>
  <c r="D139" i="2182" s="1"/>
  <c r="F130" i="2182"/>
  <c r="O132" i="2182"/>
  <c r="F132" i="2182"/>
  <c r="G130" i="2182"/>
  <c r="N130" i="2182"/>
  <c r="L131" i="2182"/>
  <c r="L133" i="2182" s="1"/>
  <c r="J131" i="2182"/>
  <c r="J133" i="2182" s="1"/>
  <c r="N132" i="2182"/>
  <c r="P132" i="2182"/>
  <c r="H130" i="2182"/>
  <c r="R131" i="2182"/>
  <c r="R133" i="2182" s="1"/>
  <c r="K130" i="2182"/>
  <c r="O131" i="2182"/>
  <c r="AQ111" i="2178"/>
  <c r="AG123" i="2178"/>
  <c r="AI111" i="2178"/>
  <c r="AI114" i="2178" s="1"/>
  <c r="AI122" i="2178" s="1"/>
  <c r="W116" i="2178"/>
  <c r="W127" i="2178" s="1"/>
  <c r="AH111" i="2178"/>
  <c r="AK124" i="2178"/>
  <c r="AG122" i="2178"/>
  <c r="AC124" i="2178"/>
  <c r="AC126" i="2178" s="1"/>
  <c r="AC128" i="2178" s="1"/>
  <c r="AC135" i="2178" s="1"/>
  <c r="AC136" i="2178" s="1"/>
  <c r="AC138" i="2178" s="1"/>
  <c r="AC140" i="2178" s="1"/>
  <c r="AB111" i="2178"/>
  <c r="W122" i="2178"/>
  <c r="AA111" i="2178"/>
  <c r="U122" i="2178"/>
  <c r="Z111" i="2178"/>
  <c r="T111" i="2178"/>
  <c r="T114" i="2178" s="1"/>
  <c r="S111" i="2178"/>
  <c r="U124" i="2178"/>
  <c r="V116" i="2178"/>
  <c r="V127" i="2178" s="1"/>
  <c r="AN122" i="2178"/>
  <c r="P122" i="2178"/>
  <c r="AI123" i="2178"/>
  <c r="H122" i="2178"/>
  <c r="P123" i="2178"/>
  <c r="AN123" i="2178"/>
  <c r="U123" i="2178"/>
  <c r="R111" i="2178"/>
  <c r="AO111" i="2178"/>
  <c r="L111" i="2178"/>
  <c r="AJ111" i="2178"/>
  <c r="K111" i="2178"/>
  <c r="AP111" i="2178"/>
  <c r="T122" i="2177"/>
  <c r="L124" i="2177"/>
  <c r="G124" i="2177"/>
  <c r="R116" i="2177"/>
  <c r="R127" i="2177" s="1"/>
  <c r="AB122" i="2177"/>
  <c r="S123" i="2177"/>
  <c r="AA123" i="2177"/>
  <c r="I126" i="2177"/>
  <c r="I128" i="2177" s="1"/>
  <c r="AJ124" i="2177"/>
  <c r="L122" i="2177"/>
  <c r="M123" i="2177"/>
  <c r="M126" i="2177" s="1"/>
  <c r="M128" i="2177" s="1"/>
  <c r="R122" i="2177"/>
  <c r="W122" i="2177"/>
  <c r="AB123" i="2177"/>
  <c r="AB126" i="2177" s="1"/>
  <c r="AB128" i="2177" s="1"/>
  <c r="G123" i="2177"/>
  <c r="G126" i="2177" s="1"/>
  <c r="AC123" i="2177"/>
  <c r="R123" i="2177"/>
  <c r="AM111" i="2177"/>
  <c r="Y111" i="2177"/>
  <c r="J111" i="2177"/>
  <c r="AP111" i="2177"/>
  <c r="AO111" i="2177"/>
  <c r="AN111" i="2177"/>
  <c r="AK122" i="2177"/>
  <c r="S122" i="2177"/>
  <c r="AH111" i="2177"/>
  <c r="AE123" i="2177"/>
  <c r="L116" i="2177"/>
  <c r="L127" i="2177" s="1"/>
  <c r="AC122" i="2177"/>
  <c r="Q122" i="2177"/>
  <c r="Q126" i="2177" s="1"/>
  <c r="Q128" i="2177" s="1"/>
  <c r="H123" i="2177"/>
  <c r="AE124" i="2177"/>
  <c r="AG111" i="2177"/>
  <c r="S128" i="2174"/>
  <c r="D109" i="2187"/>
  <c r="D142" i="2187" s="1"/>
  <c r="G130" i="2187"/>
  <c r="J130" i="2187"/>
  <c r="R130" i="2187"/>
  <c r="K122" i="2192"/>
  <c r="Q130" i="2190"/>
  <c r="R130" i="2190"/>
  <c r="F130" i="2190"/>
  <c r="J130" i="2190"/>
  <c r="L130" i="2190"/>
  <c r="G130" i="2190"/>
  <c r="O130" i="2190"/>
  <c r="M130" i="2190"/>
  <c r="H130" i="2190"/>
  <c r="D109" i="2190"/>
  <c r="D142" i="2190" s="1"/>
  <c r="P130" i="2190"/>
  <c r="N130" i="2190"/>
  <c r="K130" i="2190"/>
  <c r="I130" i="2190"/>
  <c r="D154" i="2190"/>
  <c r="S130" i="2190"/>
  <c r="E130" i="2190"/>
  <c r="Q116" i="2187"/>
  <c r="Q127" i="2187" s="1"/>
  <c r="Q123" i="2187"/>
  <c r="Q122" i="2187"/>
  <c r="AA123" i="2192"/>
  <c r="S124" i="2192"/>
  <c r="T116" i="2192"/>
  <c r="T127" i="2192" s="1"/>
  <c r="T123" i="2192"/>
  <c r="K116" i="2192"/>
  <c r="K127" i="2192" s="1"/>
  <c r="AL114" i="2192"/>
  <c r="AL122" i="2192" s="1"/>
  <c r="AO123" i="2192"/>
  <c r="Z124" i="2192"/>
  <c r="O130" i="2189"/>
  <c r="K130" i="2187"/>
  <c r="H130" i="2189"/>
  <c r="S130" i="2189"/>
  <c r="P130" i="2189"/>
  <c r="P130" i="2187"/>
  <c r="E130" i="2187"/>
  <c r="E130" i="2189"/>
  <c r="J130" i="2189"/>
  <c r="I130" i="2187"/>
  <c r="L130" i="2187"/>
  <c r="K130" i="2189"/>
  <c r="Q130" i="2189"/>
  <c r="S130" i="2187"/>
  <c r="M130" i="2189"/>
  <c r="R130" i="2189"/>
  <c r="F130" i="2187"/>
  <c r="Q130" i="2187"/>
  <c r="D153" i="2187"/>
  <c r="G130" i="2189"/>
  <c r="L130" i="2189"/>
  <c r="O130" i="2187"/>
  <c r="H130" i="2187"/>
  <c r="D153" i="2189"/>
  <c r="J131" i="2189" s="1"/>
  <c r="F130" i="2189"/>
  <c r="D154" i="2189"/>
  <c r="N130" i="2187"/>
  <c r="M130" i="2187"/>
  <c r="I122" i="2187"/>
  <c r="I123" i="2187"/>
  <c r="AO123" i="2187"/>
  <c r="AO122" i="2187"/>
  <c r="P122" i="2192"/>
  <c r="AK123" i="2192"/>
  <c r="P123" i="2192"/>
  <c r="P116" i="2192"/>
  <c r="P127" i="2192" s="1"/>
  <c r="P141" i="2192"/>
  <c r="AG123" i="2192"/>
  <c r="I133" i="2182"/>
  <c r="AP123" i="2185"/>
  <c r="W116" i="2185"/>
  <c r="W127" i="2185" s="1"/>
  <c r="S111" i="2185"/>
  <c r="L111" i="2185"/>
  <c r="L114" i="2185" s="1"/>
  <c r="H111" i="2185"/>
  <c r="H114" i="2185" s="1"/>
  <c r="H124" i="2185" s="1"/>
  <c r="AP122" i="2185"/>
  <c r="AJ111" i="2185"/>
  <c r="AN111" i="2185"/>
  <c r="AH122" i="2185"/>
  <c r="AR111" i="2185"/>
  <c r="I111" i="2185"/>
  <c r="I114" i="2185" s="1"/>
  <c r="AH123" i="2185"/>
  <c r="Q111" i="2185"/>
  <c r="Q114" i="2185" s="1"/>
  <c r="O111" i="2185"/>
  <c r="AG111" i="2185"/>
  <c r="AG114" i="2185" s="1"/>
  <c r="F126" i="2184"/>
  <c r="F128" i="2184" s="1"/>
  <c r="AQ122" i="2184"/>
  <c r="AB123" i="2184"/>
  <c r="AB126" i="2184" s="1"/>
  <c r="AB128" i="2184" s="1"/>
  <c r="T122" i="2184"/>
  <c r="L126" i="2184"/>
  <c r="X116" i="2184"/>
  <c r="X127" i="2184" s="1"/>
  <c r="AC122" i="2184"/>
  <c r="AL123" i="2184"/>
  <c r="AD126" i="2184"/>
  <c r="AD128" i="2184" s="1"/>
  <c r="S123" i="2184"/>
  <c r="W116" i="2184"/>
  <c r="W127" i="2184" s="1"/>
  <c r="AL124" i="2184"/>
  <c r="AL126" i="2184" s="1"/>
  <c r="AL128" i="2184" s="1"/>
  <c r="AL135" i="2184" s="1"/>
  <c r="AL136" i="2184" s="1"/>
  <c r="AL139" i="2184" s="1"/>
  <c r="W122" i="2184"/>
  <c r="AM123" i="2184"/>
  <c r="W123" i="2184"/>
  <c r="AJ111" i="2183"/>
  <c r="H123" i="2183"/>
  <c r="AB111" i="2183"/>
  <c r="T111" i="2183"/>
  <c r="T114" i="2183" s="1"/>
  <c r="AM123" i="2183"/>
  <c r="AC111" i="2183"/>
  <c r="O133" i="2182"/>
  <c r="T111" i="2182"/>
  <c r="T114" i="2182" s="1"/>
  <c r="AL123" i="2181"/>
  <c r="U123" i="2181"/>
  <c r="AF123" i="2181"/>
  <c r="AF126" i="2181" s="1"/>
  <c r="AF128" i="2181" s="1"/>
  <c r="AF135" i="2181" s="1"/>
  <c r="AF136" i="2181" s="1"/>
  <c r="AF138" i="2181" s="1"/>
  <c r="AF140" i="2181" s="1"/>
  <c r="AM111" i="2181"/>
  <c r="Y111" i="2181"/>
  <c r="G111" i="2181"/>
  <c r="AM123" i="2187"/>
  <c r="I124" i="2187"/>
  <c r="I126" i="2187" s="1"/>
  <c r="I116" i="2187"/>
  <c r="I127" i="2187" s="1"/>
  <c r="AM122" i="2187"/>
  <c r="AG124" i="2192"/>
  <c r="G122" i="2191"/>
  <c r="W123" i="2190"/>
  <c r="V122" i="2189"/>
  <c r="AL111" i="2188"/>
  <c r="G111" i="2188"/>
  <c r="G114" i="2188" s="1"/>
  <c r="G124" i="2188" s="1"/>
  <c r="V111" i="2188"/>
  <c r="V114" i="2188" s="1"/>
  <c r="V124" i="2188" s="1"/>
  <c r="AM111" i="2188"/>
  <c r="AM114" i="2188" s="1"/>
  <c r="AM122" i="2188" s="1"/>
  <c r="AF111" i="2188"/>
  <c r="AF114" i="2188" s="1"/>
  <c r="AF122" i="2188" s="1"/>
  <c r="K111" i="2188"/>
  <c r="K114" i="2188" s="1"/>
  <c r="K122" i="2188" s="1"/>
  <c r="AA111" i="2188"/>
  <c r="AA114" i="2188" s="1"/>
  <c r="AA124" i="2188" s="1"/>
  <c r="T111" i="2188"/>
  <c r="T114" i="2188" s="1"/>
  <c r="T116" i="2187"/>
  <c r="T127" i="2187" s="1"/>
  <c r="Y123" i="2187"/>
  <c r="L122" i="2187"/>
  <c r="Y124" i="2187"/>
  <c r="AN124" i="2187"/>
  <c r="Q124" i="2187"/>
  <c r="AG124" i="2187"/>
  <c r="AG123" i="2187"/>
  <c r="R116" i="2192"/>
  <c r="R127" i="2192" s="1"/>
  <c r="R124" i="2192"/>
  <c r="J122" i="2192"/>
  <c r="S123" i="2192"/>
  <c r="Z123" i="2192"/>
  <c r="Z126" i="2192" s="1"/>
  <c r="Z128" i="2192" s="1"/>
  <c r="Z135" i="2192" s="1"/>
  <c r="Z136" i="2192" s="1"/>
  <c r="Z138" i="2192" s="1"/>
  <c r="Z140" i="2192" s="1"/>
  <c r="L126" i="2192"/>
  <c r="L128" i="2192" s="1"/>
  <c r="J124" i="2192"/>
  <c r="AH123" i="2192"/>
  <c r="J141" i="2192"/>
  <c r="H126" i="2192"/>
  <c r="H128" i="2192" s="1"/>
  <c r="AP122" i="2192"/>
  <c r="AP126" i="2192" s="1"/>
  <c r="AP128" i="2192" s="1"/>
  <c r="AP135" i="2192" s="1"/>
  <c r="AP136" i="2192" s="1"/>
  <c r="AP138" i="2192" s="1"/>
  <c r="AP140" i="2192" s="1"/>
  <c r="AH122" i="2192"/>
  <c r="AA124" i="2191"/>
  <c r="AF122" i="2190"/>
  <c r="AH122" i="2189"/>
  <c r="Z123" i="2187"/>
  <c r="R122" i="2187"/>
  <c r="AP124" i="2187"/>
  <c r="X124" i="2187"/>
  <c r="J122" i="2187"/>
  <c r="AN123" i="2187"/>
  <c r="AN126" i="2187" s="1"/>
  <c r="AN128" i="2187" s="1"/>
  <c r="W123" i="2187"/>
  <c r="J123" i="2187"/>
  <c r="V124" i="2192"/>
  <c r="AM123" i="2192"/>
  <c r="X123" i="2192"/>
  <c r="X126" i="2192" s="1"/>
  <c r="X128" i="2192" s="1"/>
  <c r="X135" i="2192" s="1"/>
  <c r="X136" i="2192" s="1"/>
  <c r="X139" i="2192" s="1"/>
  <c r="S141" i="2192"/>
  <c r="S116" i="2192"/>
  <c r="S127" i="2192" s="1"/>
  <c r="AB126" i="2192"/>
  <c r="AB128" i="2192" s="1"/>
  <c r="AB135" i="2192" s="1"/>
  <c r="AB136" i="2192" s="1"/>
  <c r="AB138" i="2192" s="1"/>
  <c r="AB140" i="2192" s="1"/>
  <c r="J123" i="2192"/>
  <c r="AJ123" i="2191"/>
  <c r="AJ122" i="2191"/>
  <c r="T122" i="2191"/>
  <c r="G123" i="2191"/>
  <c r="G116" i="2191"/>
  <c r="G127" i="2191" s="1"/>
  <c r="AQ124" i="2191"/>
  <c r="G124" i="2191"/>
  <c r="AN123" i="2190"/>
  <c r="V124" i="2190"/>
  <c r="AA124" i="2190"/>
  <c r="AO122" i="2189"/>
  <c r="W116" i="2189"/>
  <c r="W127" i="2189" s="1"/>
  <c r="AO123" i="2189"/>
  <c r="AG111" i="2188"/>
  <c r="AG114" i="2188" s="1"/>
  <c r="AB123" i="2187"/>
  <c r="AH124" i="2187"/>
  <c r="AB122" i="2187"/>
  <c r="P123" i="2187"/>
  <c r="AF122" i="2187"/>
  <c r="V116" i="2192"/>
  <c r="V127" i="2192" s="1"/>
  <c r="O122" i="2192"/>
  <c r="AI122" i="2192"/>
  <c r="AA126" i="2192"/>
  <c r="AA128" i="2192" s="1"/>
  <c r="AA135" i="2192" s="1"/>
  <c r="AA136" i="2192" s="1"/>
  <c r="AA138" i="2192" s="1"/>
  <c r="AA140" i="2192" s="1"/>
  <c r="AQ124" i="2192"/>
  <c r="AE123" i="2192"/>
  <c r="AE124" i="2192"/>
  <c r="AQ123" i="2192"/>
  <c r="U123" i="2192"/>
  <c r="O123" i="2192"/>
  <c r="O122" i="2191"/>
  <c r="O123" i="2191"/>
  <c r="O116" i="2191"/>
  <c r="O127" i="2191" s="1"/>
  <c r="W122" i="2191"/>
  <c r="AE124" i="2191"/>
  <c r="AN122" i="2191"/>
  <c r="AN123" i="2191"/>
  <c r="W116" i="2191"/>
  <c r="W127" i="2191" s="1"/>
  <c r="P123" i="2191"/>
  <c r="AI123" i="2191"/>
  <c r="T123" i="2191"/>
  <c r="L123" i="2190"/>
  <c r="AR124" i="2190"/>
  <c r="AI111" i="2188"/>
  <c r="AI114" i="2188" s="1"/>
  <c r="AI124" i="2188" s="1"/>
  <c r="W111" i="2188"/>
  <c r="W114" i="2188" s="1"/>
  <c r="W116" i="2188" s="1"/>
  <c r="W127" i="2188" s="1"/>
  <c r="AJ111" i="2188"/>
  <c r="F111" i="2188"/>
  <c r="F123" i="2188" s="1"/>
  <c r="H111" i="2188"/>
  <c r="H114" i="2188" s="1"/>
  <c r="H122" i="2188" s="1"/>
  <c r="AB114" i="2190"/>
  <c r="AB123" i="2190"/>
  <c r="AQ114" i="2188"/>
  <c r="AQ123" i="2188"/>
  <c r="AL123" i="2189"/>
  <c r="AL114" i="2189"/>
  <c r="H141" i="2191"/>
  <c r="H124" i="2191"/>
  <c r="AR123" i="2192"/>
  <c r="P141" i="2191"/>
  <c r="P124" i="2191"/>
  <c r="AE123" i="2189"/>
  <c r="AE114" i="2189"/>
  <c r="AJ123" i="2192"/>
  <c r="AK122" i="2192"/>
  <c r="W123" i="2192"/>
  <c r="Q132" i="2192"/>
  <c r="I132" i="2192"/>
  <c r="Q131" i="2192"/>
  <c r="I131" i="2192"/>
  <c r="L132" i="2192"/>
  <c r="S131" i="2192"/>
  <c r="J131" i="2192"/>
  <c r="R132" i="2192"/>
  <c r="H132" i="2192"/>
  <c r="O131" i="2192"/>
  <c r="F131" i="2192"/>
  <c r="P132" i="2192"/>
  <c r="G132" i="2192"/>
  <c r="N131" i="2192"/>
  <c r="E131" i="2192"/>
  <c r="D139" i="2192"/>
  <c r="M132" i="2192"/>
  <c r="M131" i="2192"/>
  <c r="K132" i="2192"/>
  <c r="L131" i="2192"/>
  <c r="J132" i="2192"/>
  <c r="K131" i="2192"/>
  <c r="F132" i="2192"/>
  <c r="H131" i="2192"/>
  <c r="E132" i="2192"/>
  <c r="G131" i="2192"/>
  <c r="R131" i="2192"/>
  <c r="P131" i="2192"/>
  <c r="S132" i="2192"/>
  <c r="O132" i="2192"/>
  <c r="N132" i="2192"/>
  <c r="AH111" i="2191"/>
  <c r="R111" i="2191"/>
  <c r="AL111" i="2191"/>
  <c r="F111" i="2191"/>
  <c r="AD111" i="2191"/>
  <c r="AC111" i="2191"/>
  <c r="Z111" i="2191"/>
  <c r="V111" i="2191"/>
  <c r="V114" i="2191" s="1"/>
  <c r="N111" i="2191"/>
  <c r="M111" i="2191"/>
  <c r="AP111" i="2191"/>
  <c r="J111" i="2191"/>
  <c r="X111" i="2191"/>
  <c r="K111" i="2191"/>
  <c r="V123" i="2192"/>
  <c r="AF122" i="2191"/>
  <c r="AF123" i="2191"/>
  <c r="AN124" i="2190"/>
  <c r="V122" i="2190"/>
  <c r="F111" i="2190"/>
  <c r="P111" i="2190"/>
  <c r="AO111" i="2190"/>
  <c r="D139" i="2190"/>
  <c r="S132" i="2190"/>
  <c r="K132" i="2190"/>
  <c r="S131" i="2190"/>
  <c r="K131" i="2190"/>
  <c r="P132" i="2190"/>
  <c r="H132" i="2190"/>
  <c r="P131" i="2190"/>
  <c r="H131" i="2190"/>
  <c r="O132" i="2190"/>
  <c r="G132" i="2190"/>
  <c r="O131" i="2190"/>
  <c r="G131" i="2190"/>
  <c r="R132" i="2190"/>
  <c r="E132" i="2190"/>
  <c r="I131" i="2190"/>
  <c r="Q132" i="2190"/>
  <c r="F131" i="2190"/>
  <c r="N132" i="2190"/>
  <c r="R131" i="2190"/>
  <c r="E131" i="2190"/>
  <c r="M132" i="2190"/>
  <c r="Q131" i="2190"/>
  <c r="L132" i="2190"/>
  <c r="N131" i="2190"/>
  <c r="J132" i="2190"/>
  <c r="M131" i="2190"/>
  <c r="I132" i="2190"/>
  <c r="L131" i="2190"/>
  <c r="F132" i="2190"/>
  <c r="J131" i="2190"/>
  <c r="M124" i="2189"/>
  <c r="U111" i="2189"/>
  <c r="U114" i="2189" s="1"/>
  <c r="AM111" i="2189"/>
  <c r="Y111" i="2189"/>
  <c r="N111" i="2189"/>
  <c r="AH123" i="2189"/>
  <c r="P141" i="2187"/>
  <c r="P116" i="2187"/>
  <c r="P127" i="2187" s="1"/>
  <c r="N114" i="2187"/>
  <c r="N123" i="2187"/>
  <c r="Q111" i="2188"/>
  <c r="P111" i="2188"/>
  <c r="U114" i="2187"/>
  <c r="U123" i="2187"/>
  <c r="AR122" i="2187"/>
  <c r="AR123" i="2187"/>
  <c r="Z124" i="2187"/>
  <c r="P122" i="2187"/>
  <c r="H123" i="2187"/>
  <c r="AE122" i="2187"/>
  <c r="AN122" i="2192"/>
  <c r="AN124" i="2192"/>
  <c r="E123" i="2191"/>
  <c r="D155" i="2191"/>
  <c r="E114" i="2191"/>
  <c r="AG114" i="2191"/>
  <c r="AG123" i="2191"/>
  <c r="AN123" i="2192"/>
  <c r="AM114" i="2190"/>
  <c r="AM123" i="2190"/>
  <c r="I141" i="2189"/>
  <c r="I116" i="2189"/>
  <c r="I127" i="2189" s="1"/>
  <c r="AD114" i="2187"/>
  <c r="AD123" i="2187"/>
  <c r="AK114" i="2187"/>
  <c r="AK123" i="2187"/>
  <c r="W123" i="2189"/>
  <c r="S123" i="2187"/>
  <c r="S114" i="2187"/>
  <c r="D139" i="2187"/>
  <c r="L132" i="2187"/>
  <c r="L131" i="2187"/>
  <c r="S132" i="2187"/>
  <c r="K132" i="2187"/>
  <c r="S131" i="2187"/>
  <c r="K131" i="2187"/>
  <c r="R132" i="2187"/>
  <c r="J132" i="2187"/>
  <c r="R131" i="2187"/>
  <c r="J131" i="2187"/>
  <c r="E131" i="2187"/>
  <c r="Q132" i="2187"/>
  <c r="I132" i="2187"/>
  <c r="Q131" i="2187"/>
  <c r="I131" i="2187"/>
  <c r="M132" i="2187"/>
  <c r="P132" i="2187"/>
  <c r="H132" i="2187"/>
  <c r="P131" i="2187"/>
  <c r="H131" i="2187"/>
  <c r="E132" i="2187"/>
  <c r="M131" i="2187"/>
  <c r="O132" i="2187"/>
  <c r="G132" i="2187"/>
  <c r="O131" i="2187"/>
  <c r="G131" i="2187"/>
  <c r="N132" i="2187"/>
  <c r="F132" i="2187"/>
  <c r="N131" i="2187"/>
  <c r="F131" i="2187"/>
  <c r="AO114" i="2191"/>
  <c r="AO123" i="2191"/>
  <c r="AC123" i="2190"/>
  <c r="AC114" i="2190"/>
  <c r="T122" i="2190"/>
  <c r="H123" i="2191"/>
  <c r="Q141" i="2189"/>
  <c r="Q116" i="2189"/>
  <c r="Q127" i="2189" s="1"/>
  <c r="AC114" i="2187"/>
  <c r="AC123" i="2187"/>
  <c r="K123" i="2187"/>
  <c r="K114" i="2187"/>
  <c r="D140" i="2187"/>
  <c r="X122" i="2187"/>
  <c r="V122" i="2187"/>
  <c r="Y114" i="2192"/>
  <c r="Y123" i="2192"/>
  <c r="K126" i="2192"/>
  <c r="K128" i="2192" s="1"/>
  <c r="N114" i="2192"/>
  <c r="N123" i="2192"/>
  <c r="AR123" i="2191"/>
  <c r="O124" i="2191"/>
  <c r="S141" i="2191"/>
  <c r="S116" i="2191"/>
  <c r="S127" i="2191" s="1"/>
  <c r="AE123" i="2191"/>
  <c r="AM122" i="2192"/>
  <c r="AQ123" i="2191"/>
  <c r="AQ126" i="2191" s="1"/>
  <c r="AQ128" i="2191" s="1"/>
  <c r="S123" i="2191"/>
  <c r="S126" i="2191" s="1"/>
  <c r="P116" i="2191"/>
  <c r="P127" i="2191" s="1"/>
  <c r="H122" i="2190"/>
  <c r="AI111" i="2190"/>
  <c r="M111" i="2190"/>
  <c r="AD111" i="2190"/>
  <c r="K111" i="2190"/>
  <c r="AQ111" i="2190"/>
  <c r="U111" i="2190"/>
  <c r="U114" i="2190" s="1"/>
  <c r="AK111" i="2190"/>
  <c r="N111" i="2190"/>
  <c r="X111" i="2190"/>
  <c r="X114" i="2190" s="1"/>
  <c r="J111" i="2190"/>
  <c r="AJ111" i="2190"/>
  <c r="V123" i="2190"/>
  <c r="AR124" i="2191"/>
  <c r="O130" i="2191"/>
  <c r="G130" i="2191"/>
  <c r="D109" i="2191"/>
  <c r="D142" i="2191" s="1"/>
  <c r="M130" i="2191"/>
  <c r="E130" i="2191"/>
  <c r="L130" i="2191"/>
  <c r="S130" i="2191"/>
  <c r="K130" i="2191"/>
  <c r="J130" i="2191"/>
  <c r="I130" i="2191"/>
  <c r="D154" i="2191"/>
  <c r="H130" i="2191"/>
  <c r="D153" i="2191"/>
  <c r="F130" i="2191"/>
  <c r="R130" i="2191"/>
  <c r="Q130" i="2191"/>
  <c r="P130" i="2191"/>
  <c r="N130" i="2191"/>
  <c r="H123" i="2190"/>
  <c r="AC111" i="2189"/>
  <c r="H111" i="2189"/>
  <c r="AG111" i="2189"/>
  <c r="Q122" i="2189"/>
  <c r="AA123" i="2190"/>
  <c r="H141" i="2187"/>
  <c r="H116" i="2187"/>
  <c r="H127" i="2187" s="1"/>
  <c r="W122" i="2189"/>
  <c r="M123" i="2189"/>
  <c r="F114" i="2187"/>
  <c r="F123" i="2187"/>
  <c r="AK122" i="2189"/>
  <c r="AK111" i="2188"/>
  <c r="U111" i="2188"/>
  <c r="E111" i="2188"/>
  <c r="AH111" i="2188"/>
  <c r="R111" i="2188"/>
  <c r="AO111" i="2188"/>
  <c r="Y111" i="2188"/>
  <c r="AD111" i="2188"/>
  <c r="N111" i="2188"/>
  <c r="I111" i="2188"/>
  <c r="AC111" i="2188"/>
  <c r="M111" i="2188"/>
  <c r="AP111" i="2188"/>
  <c r="Z111" i="2188"/>
  <c r="J111" i="2188"/>
  <c r="X111" i="2188"/>
  <c r="L111" i="2188"/>
  <c r="M114" i="2187"/>
  <c r="M123" i="2187"/>
  <c r="V116" i="2189"/>
  <c r="V127" i="2189" s="1"/>
  <c r="M116" i="2189"/>
  <c r="M127" i="2189" s="1"/>
  <c r="AE123" i="2187"/>
  <c r="AJ122" i="2187"/>
  <c r="AJ123" i="2187"/>
  <c r="H122" i="2187"/>
  <c r="T123" i="2187"/>
  <c r="W122" i="2187"/>
  <c r="O123" i="2187"/>
  <c r="AR124" i="2192"/>
  <c r="L123" i="2191"/>
  <c r="P122" i="2191"/>
  <c r="G114" i="2190"/>
  <c r="G123" i="2190"/>
  <c r="R114" i="2190"/>
  <c r="R123" i="2190"/>
  <c r="T124" i="2190"/>
  <c r="AL123" i="2190"/>
  <c r="AL114" i="2190"/>
  <c r="D140" i="2190"/>
  <c r="P141" i="2189"/>
  <c r="P122" i="2189"/>
  <c r="P124" i="2189"/>
  <c r="P116" i="2189"/>
  <c r="P127" i="2189" s="1"/>
  <c r="Q123" i="2189"/>
  <c r="I122" i="2189"/>
  <c r="AL114" i="2188"/>
  <c r="AL123" i="2188"/>
  <c r="AD114" i="2189"/>
  <c r="AD123" i="2189"/>
  <c r="O141" i="2187"/>
  <c r="O116" i="2187"/>
  <c r="O127" i="2187" s="1"/>
  <c r="D155" i="2187"/>
  <c r="E123" i="2187"/>
  <c r="E114" i="2187"/>
  <c r="V123" i="2189"/>
  <c r="V126" i="2189" s="1"/>
  <c r="R141" i="2187"/>
  <c r="R116" i="2187"/>
  <c r="R127" i="2187" s="1"/>
  <c r="L116" i="2187"/>
  <c r="L127" i="2187" s="1"/>
  <c r="O122" i="2187"/>
  <c r="G123" i="2187"/>
  <c r="W124" i="2187"/>
  <c r="D140" i="2192"/>
  <c r="L141" i="2190"/>
  <c r="L116" i="2190"/>
  <c r="L127" i="2190" s="1"/>
  <c r="E114" i="2189"/>
  <c r="D155" i="2189"/>
  <c r="I124" i="2189"/>
  <c r="Q114" i="2192"/>
  <c r="Q123" i="2192"/>
  <c r="F114" i="2192"/>
  <c r="F123" i="2192"/>
  <c r="AC114" i="2192"/>
  <c r="AC123" i="2192"/>
  <c r="AJ122" i="2192"/>
  <c r="I114" i="2192"/>
  <c r="I123" i="2192"/>
  <c r="O141" i="2192"/>
  <c r="O116" i="2192"/>
  <c r="O127" i="2192" s="1"/>
  <c r="U124" i="2192"/>
  <c r="U122" i="2192"/>
  <c r="AO122" i="2192"/>
  <c r="AO126" i="2192" s="1"/>
  <c r="AO128" i="2192" s="1"/>
  <c r="I114" i="2191"/>
  <c r="I123" i="2191"/>
  <c r="W122" i="2192"/>
  <c r="AA123" i="2191"/>
  <c r="AA126" i="2191" s="1"/>
  <c r="AA128" i="2191" s="1"/>
  <c r="W124" i="2192"/>
  <c r="U116" i="2192"/>
  <c r="U127" i="2192" s="1"/>
  <c r="H122" i="2191"/>
  <c r="O114" i="2190"/>
  <c r="O123" i="2190"/>
  <c r="Z114" i="2190"/>
  <c r="Z123" i="2190"/>
  <c r="L124" i="2190"/>
  <c r="S111" i="2190"/>
  <c r="AR111" i="2189"/>
  <c r="AB111" i="2189"/>
  <c r="L111" i="2189"/>
  <c r="AQ111" i="2189"/>
  <c r="AA111" i="2189"/>
  <c r="K111" i="2189"/>
  <c r="AP111" i="2189"/>
  <c r="Z111" i="2189"/>
  <c r="J111" i="2189"/>
  <c r="AJ111" i="2189"/>
  <c r="AI111" i="2189"/>
  <c r="T111" i="2189"/>
  <c r="S111" i="2189"/>
  <c r="X111" i="2189"/>
  <c r="I123" i="2189"/>
  <c r="F111" i="2189"/>
  <c r="G141" i="2187"/>
  <c r="G116" i="2187"/>
  <c r="G127" i="2187" s="1"/>
  <c r="O111" i="2188"/>
  <c r="AN111" i="2188"/>
  <c r="AB111" i="2188"/>
  <c r="AQ123" i="2187"/>
  <c r="AQ114" i="2187"/>
  <c r="AG123" i="2190"/>
  <c r="J141" i="2187"/>
  <c r="J116" i="2187"/>
  <c r="J127" i="2187" s="1"/>
  <c r="T122" i="2187"/>
  <c r="R123" i="2187"/>
  <c r="G122" i="2187"/>
  <c r="O124" i="2187"/>
  <c r="AI123" i="2192"/>
  <c r="M114" i="2192"/>
  <c r="M123" i="2192"/>
  <c r="AK123" i="2191"/>
  <c r="AK114" i="2191"/>
  <c r="Q114" i="2191"/>
  <c r="Q123" i="2191"/>
  <c r="R122" i="2192"/>
  <c r="R141" i="2192"/>
  <c r="H116" i="2191"/>
  <c r="H127" i="2191" s="1"/>
  <c r="H124" i="2190"/>
  <c r="AF123" i="2190"/>
  <c r="H116" i="2190"/>
  <c r="H127" i="2190" s="1"/>
  <c r="D155" i="2190"/>
  <c r="E123" i="2190"/>
  <c r="E114" i="2190"/>
  <c r="W122" i="2190"/>
  <c r="W124" i="2190"/>
  <c r="I141" i="2190"/>
  <c r="I116" i="2190"/>
  <c r="I127" i="2190" s="1"/>
  <c r="I124" i="2190"/>
  <c r="AH114" i="2190"/>
  <c r="AH123" i="2190"/>
  <c r="T124" i="2191"/>
  <c r="G114" i="2189"/>
  <c r="G123" i="2189"/>
  <c r="AF114" i="2189"/>
  <c r="AF123" i="2189"/>
  <c r="AK123" i="2189"/>
  <c r="I123" i="2190"/>
  <c r="P123" i="2189"/>
  <c r="M122" i="2189"/>
  <c r="AF124" i="2188"/>
  <c r="AI123" i="2187"/>
  <c r="AI114" i="2187"/>
  <c r="Y123" i="2190"/>
  <c r="AP123" i="2187"/>
  <c r="AF123" i="2187"/>
  <c r="L141" i="2191"/>
  <c r="L116" i="2191"/>
  <c r="L127" i="2191" s="1"/>
  <c r="Y122" i="2190"/>
  <c r="AD114" i="2192"/>
  <c r="AD123" i="2192"/>
  <c r="G141" i="2192"/>
  <c r="G116" i="2192"/>
  <c r="G127" i="2192" s="1"/>
  <c r="T126" i="2192"/>
  <c r="T128" i="2192" s="1"/>
  <c r="AF114" i="2192"/>
  <c r="AF123" i="2192"/>
  <c r="D155" i="2192"/>
  <c r="E114" i="2192"/>
  <c r="E123" i="2192"/>
  <c r="AI124" i="2191"/>
  <c r="AB111" i="2191"/>
  <c r="U111" i="2191"/>
  <c r="AM111" i="2191"/>
  <c r="Y111" i="2191"/>
  <c r="G123" i="2192"/>
  <c r="G122" i="2192"/>
  <c r="G124" i="2192"/>
  <c r="AG126" i="2192"/>
  <c r="AG128" i="2192" s="1"/>
  <c r="W123" i="2191"/>
  <c r="T123" i="2190"/>
  <c r="W116" i="2190"/>
  <c r="W127" i="2190" s="1"/>
  <c r="AE111" i="2190"/>
  <c r="Q111" i="2190"/>
  <c r="AP111" i="2190"/>
  <c r="L124" i="2191"/>
  <c r="AR123" i="2190"/>
  <c r="AR126" i="2190" s="1"/>
  <c r="AR128" i="2190" s="1"/>
  <c r="R111" i="2189"/>
  <c r="O111" i="2189"/>
  <c r="AN111" i="2189"/>
  <c r="AG122" i="2190"/>
  <c r="Q124" i="2189"/>
  <c r="V116" i="2187"/>
  <c r="V127" i="2187" s="1"/>
  <c r="AL114" i="2187"/>
  <c r="AL123" i="2187"/>
  <c r="AE111" i="2188"/>
  <c r="S111" i="2188"/>
  <c r="AR111" i="2188"/>
  <c r="D140" i="2189"/>
  <c r="AA123" i="2187"/>
  <c r="AA114" i="2187"/>
  <c r="P130" i="2188"/>
  <c r="H130" i="2188"/>
  <c r="O130" i="2188"/>
  <c r="G130" i="2188"/>
  <c r="D109" i="2188"/>
  <c r="D142" i="2188" s="1"/>
  <c r="D154" i="2188"/>
  <c r="L130" i="2188"/>
  <c r="D153" i="2188"/>
  <c r="S130" i="2188"/>
  <c r="K130" i="2188"/>
  <c r="F130" i="2188"/>
  <c r="E130" i="2188"/>
  <c r="R130" i="2188"/>
  <c r="Q130" i="2188"/>
  <c r="N130" i="2188"/>
  <c r="I130" i="2188"/>
  <c r="M130" i="2188"/>
  <c r="J130" i="2188"/>
  <c r="L123" i="2187"/>
  <c r="L124" i="2187"/>
  <c r="V123" i="2187"/>
  <c r="AH123" i="2187"/>
  <c r="X123" i="2187"/>
  <c r="D140" i="2175"/>
  <c r="N114" i="2176"/>
  <c r="N123" i="2176"/>
  <c r="AL135" i="2174"/>
  <c r="AL136" i="2174" s="1"/>
  <c r="AL139" i="2174" s="1"/>
  <c r="AP114" i="2186"/>
  <c r="AP123" i="2186"/>
  <c r="AR114" i="2183"/>
  <c r="AR123" i="2183"/>
  <c r="Y114" i="2185"/>
  <c r="Y123" i="2185"/>
  <c r="AA123" i="2186"/>
  <c r="AA114" i="2186"/>
  <c r="AN114" i="2186"/>
  <c r="AN123" i="2186"/>
  <c r="K122" i="2186"/>
  <c r="K124" i="2186"/>
  <c r="AP126" i="2185"/>
  <c r="AP128" i="2185" s="1"/>
  <c r="Q114" i="2184"/>
  <c r="Q123" i="2184"/>
  <c r="AP114" i="2184"/>
  <c r="AP123" i="2184"/>
  <c r="K141" i="2185"/>
  <c r="K116" i="2185"/>
  <c r="K127" i="2185" s="1"/>
  <c r="D155" i="2185"/>
  <c r="E114" i="2185"/>
  <c r="O114" i="2185"/>
  <c r="O123" i="2185"/>
  <c r="AJ123" i="2184"/>
  <c r="AD114" i="2183"/>
  <c r="AD123" i="2183"/>
  <c r="M114" i="2183"/>
  <c r="M123" i="2183"/>
  <c r="AK122" i="2184"/>
  <c r="M141" i="2184"/>
  <c r="M116" i="2184"/>
  <c r="M127" i="2184" s="1"/>
  <c r="D140" i="2183"/>
  <c r="N141" i="2181"/>
  <c r="N116" i="2181"/>
  <c r="N127" i="2181" s="1"/>
  <c r="V124" i="2183"/>
  <c r="AP111" i="2182"/>
  <c r="AF111" i="2182"/>
  <c r="V111" i="2182"/>
  <c r="J111" i="2182"/>
  <c r="AO111" i="2182"/>
  <c r="Q111" i="2182"/>
  <c r="AN111" i="2182"/>
  <c r="I111" i="2182"/>
  <c r="AM111" i="2182"/>
  <c r="H111" i="2182"/>
  <c r="AE111" i="2182"/>
  <c r="G111" i="2182"/>
  <c r="AD111" i="2182"/>
  <c r="AA111" i="2182"/>
  <c r="S111" i="2182"/>
  <c r="R111" i="2182"/>
  <c r="L111" i="2182"/>
  <c r="AC111" i="2182"/>
  <c r="S114" i="2181"/>
  <c r="S123" i="2181"/>
  <c r="O126" i="2181"/>
  <c r="J124" i="2181"/>
  <c r="J141" i="2181"/>
  <c r="V123" i="2183"/>
  <c r="G111" i="2180"/>
  <c r="W111" i="2180"/>
  <c r="V111" i="2180"/>
  <c r="O111" i="2180"/>
  <c r="AK114" i="2179"/>
  <c r="AK123" i="2179"/>
  <c r="O114" i="2178"/>
  <c r="O123" i="2178"/>
  <c r="AM111" i="2180"/>
  <c r="Y111" i="2180"/>
  <c r="K111" i="2180"/>
  <c r="AJ111" i="2180"/>
  <c r="AH135" i="2179"/>
  <c r="AH136" i="2179" s="1"/>
  <c r="AH139" i="2179" s="1"/>
  <c r="AL114" i="2178"/>
  <c r="AL123" i="2178"/>
  <c r="N114" i="2177"/>
  <c r="N123" i="2177"/>
  <c r="U116" i="2179"/>
  <c r="U127" i="2179" s="1"/>
  <c r="K141" i="2177"/>
  <c r="K124" i="2177"/>
  <c r="K122" i="2177"/>
  <c r="F123" i="2179"/>
  <c r="K116" i="2179"/>
  <c r="K127" i="2179" s="1"/>
  <c r="P123" i="2177"/>
  <c r="AF124" i="2177"/>
  <c r="X123" i="2177"/>
  <c r="S123" i="2176"/>
  <c r="AA122" i="2176"/>
  <c r="AQ114" i="2175"/>
  <c r="AQ123" i="2175"/>
  <c r="D139" i="2175"/>
  <c r="M132" i="2175"/>
  <c r="E132" i="2175"/>
  <c r="M131" i="2175"/>
  <c r="E131" i="2175"/>
  <c r="E133" i="2175" s="1"/>
  <c r="L132" i="2175"/>
  <c r="L131" i="2175"/>
  <c r="Q132" i="2175"/>
  <c r="I132" i="2175"/>
  <c r="Q131" i="2175"/>
  <c r="I131" i="2175"/>
  <c r="O132" i="2175"/>
  <c r="N132" i="2175"/>
  <c r="R131" i="2175"/>
  <c r="F131" i="2175"/>
  <c r="K132" i="2175"/>
  <c r="P131" i="2175"/>
  <c r="J132" i="2175"/>
  <c r="O131" i="2175"/>
  <c r="O135" i="2175" s="1"/>
  <c r="H132" i="2175"/>
  <c r="N131" i="2175"/>
  <c r="G132" i="2175"/>
  <c r="K131" i="2175"/>
  <c r="S132" i="2175"/>
  <c r="F132" i="2175"/>
  <c r="J131" i="2175"/>
  <c r="R132" i="2175"/>
  <c r="H131" i="2175"/>
  <c r="P132" i="2175"/>
  <c r="S131" i="2175"/>
  <c r="G131" i="2175"/>
  <c r="AA123" i="2176"/>
  <c r="AQ123" i="2177"/>
  <c r="X122" i="2175"/>
  <c r="AP123" i="2175"/>
  <c r="H141" i="2174"/>
  <c r="H116" i="2174"/>
  <c r="H127" i="2174" s="1"/>
  <c r="AC122" i="2175"/>
  <c r="AJ122" i="2175"/>
  <c r="T124" i="2175"/>
  <c r="S132" i="2174"/>
  <c r="K132" i="2174"/>
  <c r="S131" i="2174"/>
  <c r="K131" i="2174"/>
  <c r="Q132" i="2174"/>
  <c r="I132" i="2174"/>
  <c r="Q131" i="2174"/>
  <c r="I131" i="2174"/>
  <c r="P132" i="2174"/>
  <c r="H132" i="2174"/>
  <c r="P131" i="2174"/>
  <c r="H131" i="2174"/>
  <c r="H133" i="2174" s="1"/>
  <c r="O132" i="2174"/>
  <c r="G132" i="2174"/>
  <c r="O131" i="2174"/>
  <c r="G131" i="2174"/>
  <c r="N132" i="2174"/>
  <c r="F132" i="2174"/>
  <c r="N131" i="2174"/>
  <c r="F131" i="2174"/>
  <c r="R132" i="2174"/>
  <c r="L131" i="2174"/>
  <c r="M132" i="2174"/>
  <c r="J131" i="2174"/>
  <c r="D139" i="2174"/>
  <c r="L132" i="2174"/>
  <c r="E131" i="2174"/>
  <c r="J132" i="2174"/>
  <c r="E132" i="2174"/>
  <c r="R131" i="2174"/>
  <c r="M131" i="2174"/>
  <c r="I122" i="2174"/>
  <c r="P132" i="2186"/>
  <c r="H132" i="2186"/>
  <c r="P131" i="2186"/>
  <c r="P133" i="2186" s="1"/>
  <c r="H131" i="2186"/>
  <c r="O132" i="2186"/>
  <c r="G132" i="2186"/>
  <c r="O131" i="2186"/>
  <c r="O133" i="2186" s="1"/>
  <c r="G131" i="2186"/>
  <c r="G133" i="2186" s="1"/>
  <c r="D139" i="2186"/>
  <c r="M132" i="2186"/>
  <c r="E132" i="2186"/>
  <c r="M131" i="2186"/>
  <c r="E131" i="2186"/>
  <c r="L132" i="2186"/>
  <c r="L131" i="2186"/>
  <c r="Q132" i="2186"/>
  <c r="R131" i="2186"/>
  <c r="N132" i="2186"/>
  <c r="Q131" i="2186"/>
  <c r="Q133" i="2186" s="1"/>
  <c r="K132" i="2186"/>
  <c r="N131" i="2186"/>
  <c r="J132" i="2186"/>
  <c r="K131" i="2186"/>
  <c r="K133" i="2186" s="1"/>
  <c r="I132" i="2186"/>
  <c r="J131" i="2186"/>
  <c r="J133" i="2186" s="1"/>
  <c r="F132" i="2186"/>
  <c r="I131" i="2186"/>
  <c r="I133" i="2186" s="1"/>
  <c r="S132" i="2186"/>
  <c r="R132" i="2186"/>
  <c r="S131" i="2186"/>
  <c r="F131" i="2186"/>
  <c r="AH126" i="2185"/>
  <c r="AH128" i="2185" s="1"/>
  <c r="K141" i="2184"/>
  <c r="K124" i="2184"/>
  <c r="K116" i="2184"/>
  <c r="K127" i="2184" s="1"/>
  <c r="I141" i="2185"/>
  <c r="I116" i="2185"/>
  <c r="I127" i="2185" s="1"/>
  <c r="V126" i="2183"/>
  <c r="E114" i="2183"/>
  <c r="D155" i="2183"/>
  <c r="E123" i="2183"/>
  <c r="F114" i="2181"/>
  <c r="F123" i="2181"/>
  <c r="O114" i="2182"/>
  <c r="O123" i="2182"/>
  <c r="AR114" i="2181"/>
  <c r="AR123" i="2181"/>
  <c r="T124" i="2182"/>
  <c r="T116" i="2182"/>
  <c r="T127" i="2182" s="1"/>
  <c r="AK114" i="2182"/>
  <c r="AK123" i="2182"/>
  <c r="T123" i="2182"/>
  <c r="D140" i="2181"/>
  <c r="Q141" i="2178"/>
  <c r="Q116" i="2178"/>
  <c r="Q127" i="2178" s="1"/>
  <c r="N141" i="2179"/>
  <c r="N116" i="2179"/>
  <c r="N127" i="2179" s="1"/>
  <c r="G114" i="2178"/>
  <c r="G123" i="2178"/>
  <c r="H111" i="2180"/>
  <c r="AG111" i="2180"/>
  <c r="S111" i="2180"/>
  <c r="AR111" i="2180"/>
  <c r="Z135" i="2179"/>
  <c r="Z136" i="2179" s="1"/>
  <c r="Z139" i="2179" s="1"/>
  <c r="AD114" i="2178"/>
  <c r="AD123" i="2178"/>
  <c r="AO135" i="2179"/>
  <c r="AO136" i="2179" s="1"/>
  <c r="AO139" i="2179" s="1"/>
  <c r="D155" i="2178"/>
  <c r="E114" i="2178"/>
  <c r="AD135" i="2179"/>
  <c r="AD136" i="2179" s="1"/>
  <c r="AD139" i="2179" s="1"/>
  <c r="AD111" i="2180"/>
  <c r="F114" i="2177"/>
  <c r="F123" i="2177"/>
  <c r="AG126" i="2178"/>
  <c r="AG128" i="2178" s="1"/>
  <c r="S141" i="2176"/>
  <c r="S116" i="2176"/>
  <c r="S127" i="2176" s="1"/>
  <c r="X124" i="2177"/>
  <c r="L130" i="2177"/>
  <c r="R130" i="2177"/>
  <c r="J130" i="2177"/>
  <c r="Q130" i="2177"/>
  <c r="I130" i="2177"/>
  <c r="P130" i="2177"/>
  <c r="H130" i="2177"/>
  <c r="D154" i="2177"/>
  <c r="O130" i="2177"/>
  <c r="G130" i="2177"/>
  <c r="D109" i="2177"/>
  <c r="D142" i="2177" s="1"/>
  <c r="D153" i="2177"/>
  <c r="M130" i="2177"/>
  <c r="E130" i="2177"/>
  <c r="S130" i="2177"/>
  <c r="N130" i="2177"/>
  <c r="K130" i="2177"/>
  <c r="F130" i="2177"/>
  <c r="K123" i="2176"/>
  <c r="U124" i="2175"/>
  <c r="U116" i="2175"/>
  <c r="U127" i="2175" s="1"/>
  <c r="S122" i="2176"/>
  <c r="S124" i="2176"/>
  <c r="AI114" i="2175"/>
  <c r="AI123" i="2175"/>
  <c r="AI123" i="2177"/>
  <c r="P123" i="2175"/>
  <c r="P114" i="2175"/>
  <c r="AE124" i="2176"/>
  <c r="AH123" i="2175"/>
  <c r="Y123" i="2175"/>
  <c r="Q116" i="2175"/>
  <c r="Q127" i="2175" s="1"/>
  <c r="U122" i="2175"/>
  <c r="AE123" i="2175"/>
  <c r="AE126" i="2175" s="1"/>
  <c r="AE128" i="2175" s="1"/>
  <c r="AO135" i="2174"/>
  <c r="AO136" i="2174" s="1"/>
  <c r="AO138" i="2174" s="1"/>
  <c r="AO140" i="2174" s="1"/>
  <c r="AB122" i="2175"/>
  <c r="AG124" i="2174"/>
  <c r="AG123" i="2174"/>
  <c r="AG126" i="2174" s="1"/>
  <c r="AG128" i="2174" s="1"/>
  <c r="D140" i="2174"/>
  <c r="I141" i="2186"/>
  <c r="I124" i="2186"/>
  <c r="AC111" i="2186"/>
  <c r="Q111" i="2186"/>
  <c r="J111" i="2186"/>
  <c r="S111" i="2186"/>
  <c r="U122" i="2184"/>
  <c r="X123" i="2184"/>
  <c r="AI123" i="2184"/>
  <c r="Y123" i="2182"/>
  <c r="O124" i="2184"/>
  <c r="T122" i="2182"/>
  <c r="T126" i="2182" s="1"/>
  <c r="T128" i="2182" s="1"/>
  <c r="Q116" i="2181"/>
  <c r="Q127" i="2181" s="1"/>
  <c r="AI114" i="2181"/>
  <c r="AI123" i="2181"/>
  <c r="AE114" i="2181"/>
  <c r="AE123" i="2181"/>
  <c r="I141" i="2178"/>
  <c r="I116" i="2178"/>
  <c r="I127" i="2178" s="1"/>
  <c r="F141" i="2179"/>
  <c r="F116" i="2179"/>
  <c r="F127" i="2179" s="1"/>
  <c r="AI122" i="2179"/>
  <c r="P111" i="2180"/>
  <c r="AO111" i="2180"/>
  <c r="AA111" i="2180"/>
  <c r="E111" i="2180"/>
  <c r="R126" i="2179"/>
  <c r="R128" i="2179" s="1"/>
  <c r="AG126" i="2179"/>
  <c r="AG128" i="2179" s="1"/>
  <c r="AM126" i="2179"/>
  <c r="AM128" i="2179" s="1"/>
  <c r="O123" i="2179"/>
  <c r="V122" i="2179"/>
  <c r="M122" i="2178"/>
  <c r="P141" i="2177"/>
  <c r="P116" i="2177"/>
  <c r="P127" i="2177" s="1"/>
  <c r="V123" i="2178"/>
  <c r="M116" i="2178"/>
  <c r="M127" i="2178" s="1"/>
  <c r="Y122" i="2178"/>
  <c r="D140" i="2179"/>
  <c r="AF123" i="2178"/>
  <c r="K141" i="2176"/>
  <c r="K116" i="2176"/>
  <c r="K127" i="2176" s="1"/>
  <c r="X122" i="2177"/>
  <c r="X126" i="2177" s="1"/>
  <c r="X128" i="2177" s="1"/>
  <c r="P124" i="2177"/>
  <c r="AE123" i="2176"/>
  <c r="AE126" i="2176" s="1"/>
  <c r="AE128" i="2176" s="1"/>
  <c r="W116" i="2176"/>
  <c r="W127" i="2176" s="1"/>
  <c r="M141" i="2175"/>
  <c r="M124" i="2175"/>
  <c r="M116" i="2175"/>
  <c r="M127" i="2175" s="1"/>
  <c r="K122" i="2176"/>
  <c r="K124" i="2176"/>
  <c r="AA114" i="2175"/>
  <c r="AA123" i="2175"/>
  <c r="H123" i="2175"/>
  <c r="H114" i="2175"/>
  <c r="W124" i="2176"/>
  <c r="D154" i="2176"/>
  <c r="D153" i="2176"/>
  <c r="S130" i="2176"/>
  <c r="K130" i="2176"/>
  <c r="R130" i="2176"/>
  <c r="J130" i="2176"/>
  <c r="Q130" i="2176"/>
  <c r="I130" i="2176"/>
  <c r="P130" i="2176"/>
  <c r="H130" i="2176"/>
  <c r="O130" i="2176"/>
  <c r="G130" i="2176"/>
  <c r="D109" i="2176"/>
  <c r="D142" i="2176" s="1"/>
  <c r="N130" i="2176"/>
  <c r="F130" i="2176"/>
  <c r="M130" i="2176"/>
  <c r="E130" i="2176"/>
  <c r="L130" i="2176"/>
  <c r="AJ123" i="2175"/>
  <c r="AM126" i="2175"/>
  <c r="AM128" i="2175" s="1"/>
  <c r="E141" i="2174"/>
  <c r="I116" i="2175"/>
  <c r="I127" i="2175" s="1"/>
  <c r="M122" i="2175"/>
  <c r="T123" i="2175"/>
  <c r="T122" i="2175"/>
  <c r="AM126" i="2174"/>
  <c r="AM128" i="2174" s="1"/>
  <c r="N122" i="2174"/>
  <c r="W123" i="2185"/>
  <c r="L123" i="2185"/>
  <c r="H123" i="2184"/>
  <c r="H114" i="2184"/>
  <c r="AG114" i="2184"/>
  <c r="AG123" i="2184"/>
  <c r="S141" i="2184"/>
  <c r="S116" i="2184"/>
  <c r="S127" i="2184" s="1"/>
  <c r="N114" i="2185"/>
  <c r="N123" i="2185"/>
  <c r="AE114" i="2185"/>
  <c r="AE123" i="2185"/>
  <c r="Q116" i="2185"/>
  <c r="Q127" i="2185" s="1"/>
  <c r="Q141" i="2185"/>
  <c r="N114" i="2183"/>
  <c r="N123" i="2183"/>
  <c r="AM126" i="2184"/>
  <c r="AM128" i="2184" s="1"/>
  <c r="AM124" i="2183"/>
  <c r="AM126" i="2183" s="1"/>
  <c r="AM128" i="2183" s="1"/>
  <c r="AL111" i="2182"/>
  <c r="AK114" i="2181"/>
  <c r="AK123" i="2181"/>
  <c r="AJ114" i="2181"/>
  <c r="AJ123" i="2181"/>
  <c r="AB111" i="2182"/>
  <c r="T123" i="2181"/>
  <c r="I126" i="2181"/>
  <c r="X122" i="2181"/>
  <c r="K116" i="2186"/>
  <c r="K127" i="2186" s="1"/>
  <c r="T111" i="2186"/>
  <c r="AK111" i="2186"/>
  <c r="Y111" i="2186"/>
  <c r="I123" i="2186"/>
  <c r="D140" i="2186"/>
  <c r="T122" i="2185"/>
  <c r="T126" i="2185" s="1"/>
  <c r="T128" i="2185" s="1"/>
  <c r="T116" i="2185"/>
  <c r="T127" i="2185" s="1"/>
  <c r="AK123" i="2184"/>
  <c r="P123" i="2184"/>
  <c r="P114" i="2184"/>
  <c r="AO114" i="2184"/>
  <c r="AO123" i="2184"/>
  <c r="AA114" i="2184"/>
  <c r="AA123" i="2184"/>
  <c r="V116" i="2183"/>
  <c r="V127" i="2183" s="1"/>
  <c r="AA111" i="2185"/>
  <c r="F111" i="2185"/>
  <c r="AB111" i="2185"/>
  <c r="AM111" i="2185"/>
  <c r="AE111" i="2183"/>
  <c r="F111" i="2183"/>
  <c r="AE126" i="2184"/>
  <c r="AE128" i="2184" s="1"/>
  <c r="M122" i="2184"/>
  <c r="T123" i="2184"/>
  <c r="T126" i="2184" s="1"/>
  <c r="T128" i="2184" s="1"/>
  <c r="U124" i="2184"/>
  <c r="O116" i="2184"/>
  <c r="O127" i="2184" s="1"/>
  <c r="Z111" i="2182"/>
  <c r="AC123" i="2181"/>
  <c r="AC114" i="2181"/>
  <c r="AB114" i="2181"/>
  <c r="AB123" i="2181"/>
  <c r="AJ111" i="2182"/>
  <c r="U123" i="2184"/>
  <c r="P126" i="2181"/>
  <c r="Q123" i="2181"/>
  <c r="Q126" i="2181" s="1"/>
  <c r="Q128" i="2181" s="1"/>
  <c r="H123" i="2181"/>
  <c r="X124" i="2181"/>
  <c r="AQ114" i="2181"/>
  <c r="AQ123" i="2181"/>
  <c r="O141" i="2181"/>
  <c r="O116" i="2181"/>
  <c r="O127" i="2181" s="1"/>
  <c r="AP123" i="2181"/>
  <c r="AP114" i="2181"/>
  <c r="AN123" i="2181"/>
  <c r="AN126" i="2181" s="1"/>
  <c r="AN128" i="2181" s="1"/>
  <c r="AA122" i="2179"/>
  <c r="M114" i="2179"/>
  <c r="M123" i="2179"/>
  <c r="X111" i="2180"/>
  <c r="X114" i="2180" s="1"/>
  <c r="J111" i="2180"/>
  <c r="AI111" i="2180"/>
  <c r="M111" i="2180"/>
  <c r="J126" i="2179"/>
  <c r="J128" i="2179" s="1"/>
  <c r="AR114" i="2179"/>
  <c r="AR123" i="2179"/>
  <c r="N114" i="2178"/>
  <c r="N123" i="2178"/>
  <c r="Y126" i="2179"/>
  <c r="Y128" i="2179" s="1"/>
  <c r="AQ123" i="2179"/>
  <c r="AQ126" i="2179" s="1"/>
  <c r="AQ128" i="2179" s="1"/>
  <c r="AE122" i="2179"/>
  <c r="AE126" i="2179" s="1"/>
  <c r="AE128" i="2179" s="1"/>
  <c r="G123" i="2179"/>
  <c r="N122" i="2179"/>
  <c r="H141" i="2177"/>
  <c r="H116" i="2177"/>
  <c r="H127" i="2177" s="1"/>
  <c r="AR126" i="2178"/>
  <c r="AR128" i="2178" s="1"/>
  <c r="M124" i="2178"/>
  <c r="Q122" i="2178"/>
  <c r="T123" i="2179"/>
  <c r="Y123" i="2178"/>
  <c r="X123" i="2178"/>
  <c r="D139" i="2178"/>
  <c r="M132" i="2178"/>
  <c r="E132" i="2178"/>
  <c r="M131" i="2178"/>
  <c r="E131" i="2178"/>
  <c r="L132" i="2178"/>
  <c r="L131" i="2178"/>
  <c r="L133" i="2178" s="1"/>
  <c r="S132" i="2178"/>
  <c r="K132" i="2178"/>
  <c r="S131" i="2178"/>
  <c r="K131" i="2178"/>
  <c r="R132" i="2178"/>
  <c r="J132" i="2178"/>
  <c r="R131" i="2178"/>
  <c r="J131" i="2178"/>
  <c r="J133" i="2178" s="1"/>
  <c r="Q132" i="2178"/>
  <c r="I132" i="2178"/>
  <c r="Q131" i="2178"/>
  <c r="I131" i="2178"/>
  <c r="I133" i="2178" s="1"/>
  <c r="P132" i="2178"/>
  <c r="H132" i="2178"/>
  <c r="P131" i="2178"/>
  <c r="H131" i="2178"/>
  <c r="N132" i="2178"/>
  <c r="G132" i="2178"/>
  <c r="F132" i="2178"/>
  <c r="O131" i="2178"/>
  <c r="N131" i="2178"/>
  <c r="G131" i="2178"/>
  <c r="O132" i="2178"/>
  <c r="F131" i="2178"/>
  <c r="O111" i="2176"/>
  <c r="L123" i="2177"/>
  <c r="L126" i="2177" s="1"/>
  <c r="V111" i="2176"/>
  <c r="Z126" i="2177"/>
  <c r="Z128" i="2177" s="1"/>
  <c r="T116" i="2177"/>
  <c r="T127" i="2177" s="1"/>
  <c r="P122" i="2177"/>
  <c r="H124" i="2177"/>
  <c r="W124" i="2177"/>
  <c r="W123" i="2177"/>
  <c r="W123" i="2176"/>
  <c r="W126" i="2176" s="1"/>
  <c r="W128" i="2176" s="1"/>
  <c r="D155" i="2175"/>
  <c r="E114" i="2175"/>
  <c r="L141" i="2175"/>
  <c r="L116" i="2175"/>
  <c r="L127" i="2175" s="1"/>
  <c r="S114" i="2175"/>
  <c r="S123" i="2175"/>
  <c r="G123" i="2176"/>
  <c r="AL122" i="2176"/>
  <c r="AB123" i="2175"/>
  <c r="AO122" i="2175"/>
  <c r="N124" i="2174"/>
  <c r="F123" i="2175"/>
  <c r="L123" i="2175"/>
  <c r="L122" i="2175"/>
  <c r="AC123" i="2175"/>
  <c r="Q123" i="2174"/>
  <c r="F122" i="2174"/>
  <c r="F126" i="2174" s="1"/>
  <c r="F128" i="2174" s="1"/>
  <c r="V123" i="2174"/>
  <c r="V126" i="2174" s="1"/>
  <c r="V128" i="2174" s="1"/>
  <c r="AI124" i="2186"/>
  <c r="AI122" i="2186"/>
  <c r="M123" i="2186"/>
  <c r="N111" i="2186"/>
  <c r="AB111" i="2186"/>
  <c r="AQ126" i="2184"/>
  <c r="AQ128" i="2184" s="1"/>
  <c r="AF122" i="2183"/>
  <c r="Y124" i="2182"/>
  <c r="U124" i="2181"/>
  <c r="U122" i="2181"/>
  <c r="T124" i="2181"/>
  <c r="T122" i="2181"/>
  <c r="AQ111" i="2182"/>
  <c r="AR111" i="2182"/>
  <c r="AD135" i="2184"/>
  <c r="AD136" i="2184" s="1"/>
  <c r="AD139" i="2184" s="1"/>
  <c r="M123" i="2184"/>
  <c r="J123" i="2181"/>
  <c r="H126" i="2181"/>
  <c r="S132" i="2181"/>
  <c r="K132" i="2181"/>
  <c r="S131" i="2181"/>
  <c r="K131" i="2181"/>
  <c r="R132" i="2181"/>
  <c r="J132" i="2181"/>
  <c r="R131" i="2181"/>
  <c r="J131" i="2181"/>
  <c r="D139" i="2181"/>
  <c r="I132" i="2181"/>
  <c r="O131" i="2181"/>
  <c r="E131" i="2181"/>
  <c r="H132" i="2181"/>
  <c r="N131" i="2181"/>
  <c r="Q132" i="2181"/>
  <c r="G132" i="2181"/>
  <c r="M131" i="2181"/>
  <c r="F132" i="2181"/>
  <c r="G131" i="2181"/>
  <c r="E132" i="2181"/>
  <c r="F131" i="2181"/>
  <c r="O132" i="2181"/>
  <c r="P131" i="2181"/>
  <c r="N132" i="2181"/>
  <c r="L131" i="2181"/>
  <c r="P132" i="2181"/>
  <c r="M132" i="2181"/>
  <c r="L132" i="2181"/>
  <c r="Q131" i="2181"/>
  <c r="I131" i="2181"/>
  <c r="H131" i="2181"/>
  <c r="P133" i="2182"/>
  <c r="K114" i="2181"/>
  <c r="K123" i="2181"/>
  <c r="H141" i="2181"/>
  <c r="H116" i="2181"/>
  <c r="H127" i="2181" s="1"/>
  <c r="X123" i="2181"/>
  <c r="O141" i="2179"/>
  <c r="O116" i="2179"/>
  <c r="O127" i="2179" s="1"/>
  <c r="U123" i="2179"/>
  <c r="F111" i="2180"/>
  <c r="D155" i="2179"/>
  <c r="E114" i="2179"/>
  <c r="AF111" i="2180"/>
  <c r="R111" i="2180"/>
  <c r="AQ111" i="2180"/>
  <c r="U111" i="2180"/>
  <c r="AJ114" i="2179"/>
  <c r="AJ123" i="2179"/>
  <c r="F114" i="2178"/>
  <c r="F123" i="2178"/>
  <c r="Q126" i="2179"/>
  <c r="Q128" i="2179" s="1"/>
  <c r="AI123" i="2179"/>
  <c r="F122" i="2179"/>
  <c r="T126" i="2179"/>
  <c r="T128" i="2179" s="1"/>
  <c r="AK123" i="2178"/>
  <c r="AK126" i="2178" s="1"/>
  <c r="AK128" i="2178" s="1"/>
  <c r="AC123" i="2179"/>
  <c r="J126" i="2178"/>
  <c r="J128" i="2178" s="1"/>
  <c r="H141" i="2179"/>
  <c r="H124" i="2179"/>
  <c r="H116" i="2179"/>
  <c r="H127" i="2179" s="1"/>
  <c r="H122" i="2179"/>
  <c r="I122" i="2178"/>
  <c r="AQ124" i="2177"/>
  <c r="AQ122" i="2177"/>
  <c r="AN126" i="2179"/>
  <c r="AN128" i="2179" s="1"/>
  <c r="M123" i="2178"/>
  <c r="AR124" i="2177"/>
  <c r="R126" i="2177"/>
  <c r="R128" i="2177" s="1"/>
  <c r="T123" i="2177"/>
  <c r="T126" i="2177" s="1"/>
  <c r="T128" i="2177" s="1"/>
  <c r="H126" i="2177"/>
  <c r="V122" i="2178"/>
  <c r="V126" i="2178" s="1"/>
  <c r="V128" i="2178" s="1"/>
  <c r="O123" i="2177"/>
  <c r="AI122" i="2177"/>
  <c r="AI126" i="2177" s="1"/>
  <c r="AI128" i="2177" s="1"/>
  <c r="K114" i="2175"/>
  <c r="K123" i="2175"/>
  <c r="R141" i="2175"/>
  <c r="R124" i="2175"/>
  <c r="R116" i="2175"/>
  <c r="R127" i="2175" s="1"/>
  <c r="K116" i="2177"/>
  <c r="K127" i="2177" s="1"/>
  <c r="AD122" i="2176"/>
  <c r="G124" i="2176"/>
  <c r="AP122" i="2175"/>
  <c r="AP126" i="2175" s="1"/>
  <c r="AP128" i="2175" s="1"/>
  <c r="Q123" i="2175"/>
  <c r="AG126" i="2175"/>
  <c r="AG128" i="2175" s="1"/>
  <c r="Q141" i="2174"/>
  <c r="Q116" i="2174"/>
  <c r="Q127" i="2174" s="1"/>
  <c r="W126" i="2175"/>
  <c r="W128" i="2175" s="1"/>
  <c r="AD122" i="2175"/>
  <c r="X123" i="2175"/>
  <c r="AD123" i="2175"/>
  <c r="R123" i="2175"/>
  <c r="AF124" i="2174"/>
  <c r="I123" i="2174"/>
  <c r="E116" i="2174"/>
  <c r="E127" i="2174" s="1"/>
  <c r="E124" i="2174"/>
  <c r="E126" i="2174" s="1"/>
  <c r="AJ124" i="2174"/>
  <c r="AJ126" i="2174" s="1"/>
  <c r="AJ128" i="2174" s="1"/>
  <c r="L111" i="2186"/>
  <c r="H111" i="2186"/>
  <c r="W126" i="2184"/>
  <c r="W128" i="2184" s="1"/>
  <c r="G133" i="2182"/>
  <c r="I116" i="2181"/>
  <c r="I127" i="2181" s="1"/>
  <c r="I141" i="2181"/>
  <c r="N123" i="2181"/>
  <c r="V124" i="2179"/>
  <c r="G141" i="2179"/>
  <c r="G116" i="2179"/>
  <c r="G127" i="2179" s="1"/>
  <c r="AM114" i="2178"/>
  <c r="AM123" i="2178"/>
  <c r="AN111" i="2180"/>
  <c r="Z111" i="2180"/>
  <c r="L111" i="2180"/>
  <c r="AC111" i="2180"/>
  <c r="AB123" i="2179"/>
  <c r="AB114" i="2179"/>
  <c r="I128" i="2179"/>
  <c r="AA123" i="2179"/>
  <c r="O122" i="2179"/>
  <c r="O126" i="2179" s="1"/>
  <c r="O128" i="2179" s="1"/>
  <c r="U122" i="2179"/>
  <c r="U126" i="2179" s="1"/>
  <c r="U128" i="2179" s="1"/>
  <c r="AC124" i="2179"/>
  <c r="AL114" i="2177"/>
  <c r="AL123" i="2177"/>
  <c r="AF135" i="2179"/>
  <c r="AF136" i="2179" s="1"/>
  <c r="AF139" i="2179" s="1"/>
  <c r="AN126" i="2178"/>
  <c r="AN128" i="2178" s="1"/>
  <c r="Q124" i="2178"/>
  <c r="X126" i="2179"/>
  <c r="X128" i="2179" s="1"/>
  <c r="E123" i="2178"/>
  <c r="AR111" i="2176"/>
  <c r="AJ111" i="2176"/>
  <c r="AP111" i="2176"/>
  <c r="AH111" i="2176"/>
  <c r="Z111" i="2176"/>
  <c r="R111" i="2176"/>
  <c r="J111" i="2176"/>
  <c r="AO111" i="2176"/>
  <c r="AG111" i="2176"/>
  <c r="Y111" i="2176"/>
  <c r="Q111" i="2176"/>
  <c r="I111" i="2176"/>
  <c r="AF111" i="2176"/>
  <c r="L111" i="2176"/>
  <c r="AC111" i="2176"/>
  <c r="H111" i="2176"/>
  <c r="AB111" i="2176"/>
  <c r="E111" i="2176"/>
  <c r="X111" i="2176"/>
  <c r="U111" i="2176"/>
  <c r="T111" i="2176"/>
  <c r="T114" i="2176" s="1"/>
  <c r="AN111" i="2176"/>
  <c r="P111" i="2176"/>
  <c r="AK111" i="2176"/>
  <c r="M111" i="2176"/>
  <c r="U114" i="2177"/>
  <c r="U123" i="2177"/>
  <c r="F111" i="2176"/>
  <c r="O141" i="2177"/>
  <c r="O116" i="2177"/>
  <c r="O127" i="2177" s="1"/>
  <c r="O122" i="2177"/>
  <c r="O126" i="2177" s="1"/>
  <c r="G116" i="2176"/>
  <c r="G127" i="2176" s="1"/>
  <c r="K123" i="2177"/>
  <c r="T123" i="2176"/>
  <c r="J141" i="2175"/>
  <c r="J124" i="2175"/>
  <c r="J116" i="2175"/>
  <c r="J127" i="2175" s="1"/>
  <c r="V116" i="2175"/>
  <c r="V127" i="2175" s="1"/>
  <c r="AH122" i="2175"/>
  <c r="AH126" i="2175" s="1"/>
  <c r="AH128" i="2175" s="1"/>
  <c r="I123" i="2175"/>
  <c r="Y122" i="2175"/>
  <c r="I141" i="2174"/>
  <c r="I116" i="2174"/>
  <c r="I127" i="2174" s="1"/>
  <c r="AQ135" i="2174"/>
  <c r="AQ136" i="2174" s="1"/>
  <c r="AQ138" i="2174" s="1"/>
  <c r="AQ140" i="2174" s="1"/>
  <c r="V122" i="2175"/>
  <c r="U123" i="2175"/>
  <c r="AR124" i="2175"/>
  <c r="AR126" i="2175" s="1"/>
  <c r="AR128" i="2175" s="1"/>
  <c r="J123" i="2175"/>
  <c r="J126" i="2175" s="1"/>
  <c r="O126" i="2174"/>
  <c r="O128" i="2174" s="1"/>
  <c r="S135" i="2174"/>
  <c r="Y114" i="2184"/>
  <c r="Y123" i="2184"/>
  <c r="AM111" i="2186"/>
  <c r="W111" i="2186"/>
  <c r="G111" i="2186"/>
  <c r="AL111" i="2186"/>
  <c r="V111" i="2186"/>
  <c r="F111" i="2186"/>
  <c r="AH111" i="2186"/>
  <c r="AE111" i="2186"/>
  <c r="R111" i="2186"/>
  <c r="O111" i="2186"/>
  <c r="I116" i="2186"/>
  <c r="I127" i="2186" s="1"/>
  <c r="J114" i="2184"/>
  <c r="J123" i="2184"/>
  <c r="R123" i="2185"/>
  <c r="R114" i="2185"/>
  <c r="W114" i="2183"/>
  <c r="W123" i="2183"/>
  <c r="L132" i="2183"/>
  <c r="L131" i="2183"/>
  <c r="D139" i="2183"/>
  <c r="S132" i="2183"/>
  <c r="K132" i="2183"/>
  <c r="S131" i="2183"/>
  <c r="K131" i="2183"/>
  <c r="R132" i="2183"/>
  <c r="J132" i="2183"/>
  <c r="R131" i="2183"/>
  <c r="R133" i="2183" s="1"/>
  <c r="J131" i="2183"/>
  <c r="Q132" i="2183"/>
  <c r="I132" i="2183"/>
  <c r="Q131" i="2183"/>
  <c r="Q133" i="2183" s="1"/>
  <c r="I131" i="2183"/>
  <c r="P132" i="2183"/>
  <c r="H132" i="2183"/>
  <c r="P131" i="2183"/>
  <c r="H131" i="2183"/>
  <c r="O131" i="2183"/>
  <c r="O132" i="2183"/>
  <c r="N131" i="2183"/>
  <c r="N132" i="2183"/>
  <c r="M131" i="2183"/>
  <c r="M132" i="2183"/>
  <c r="G131" i="2183"/>
  <c r="G132" i="2183"/>
  <c r="F132" i="2183"/>
  <c r="E132" i="2183"/>
  <c r="E131" i="2183"/>
  <c r="F131" i="2183"/>
  <c r="AJ111" i="2186"/>
  <c r="P111" i="2186"/>
  <c r="AI123" i="2186"/>
  <c r="Q122" i="2185"/>
  <c r="AG123" i="2185"/>
  <c r="D154" i="2185"/>
  <c r="R130" i="2185"/>
  <c r="J130" i="2185"/>
  <c r="Q130" i="2185"/>
  <c r="I130" i="2185"/>
  <c r="P130" i="2185"/>
  <c r="H130" i="2185"/>
  <c r="M130" i="2185"/>
  <c r="E130" i="2185"/>
  <c r="N130" i="2185"/>
  <c r="L130" i="2185"/>
  <c r="K130" i="2185"/>
  <c r="D153" i="2185"/>
  <c r="G130" i="2185"/>
  <c r="F130" i="2185"/>
  <c r="S130" i="2185"/>
  <c r="O130" i="2185"/>
  <c r="D109" i="2185"/>
  <c r="D142" i="2185" s="1"/>
  <c r="H123" i="2185"/>
  <c r="AL124" i="2185"/>
  <c r="AL122" i="2185"/>
  <c r="AL126" i="2185" s="1"/>
  <c r="AL128" i="2185" s="1"/>
  <c r="D154" i="2184"/>
  <c r="Q130" i="2184"/>
  <c r="I130" i="2184"/>
  <c r="D153" i="2184"/>
  <c r="P130" i="2184"/>
  <c r="H130" i="2184"/>
  <c r="O130" i="2184"/>
  <c r="G130" i="2184"/>
  <c r="N130" i="2184"/>
  <c r="F130" i="2184"/>
  <c r="M130" i="2184"/>
  <c r="E130" i="2184"/>
  <c r="R130" i="2184"/>
  <c r="L130" i="2184"/>
  <c r="D109" i="2184"/>
  <c r="D142" i="2184" s="1"/>
  <c r="K130" i="2184"/>
  <c r="J130" i="2184"/>
  <c r="S130" i="2184"/>
  <c r="AK114" i="2183"/>
  <c r="AK123" i="2183"/>
  <c r="O122" i="2184"/>
  <c r="AI122" i="2184"/>
  <c r="AI126" i="2184" s="1"/>
  <c r="AI128" i="2184" s="1"/>
  <c r="X122" i="2183"/>
  <c r="F111" i="2182"/>
  <c r="AH111" i="2182"/>
  <c r="AG111" i="2182"/>
  <c r="V122" i="2184"/>
  <c r="Z126" i="2181"/>
  <c r="Z128" i="2181" s="1"/>
  <c r="I122" i="2186"/>
  <c r="W124" i="2185"/>
  <c r="AK122" i="2185"/>
  <c r="AK126" i="2185" s="1"/>
  <c r="AK128" i="2185" s="1"/>
  <c r="K123" i="2185"/>
  <c r="Q123" i="2185"/>
  <c r="K122" i="2185"/>
  <c r="AR124" i="2184"/>
  <c r="D155" i="2184"/>
  <c r="E114" i="2184"/>
  <c r="AN123" i="2184"/>
  <c r="AN114" i="2184"/>
  <c r="Z114" i="2184"/>
  <c r="Z123" i="2184"/>
  <c r="L141" i="2184"/>
  <c r="L116" i="2184"/>
  <c r="L127" i="2184" s="1"/>
  <c r="L128" i="2184" s="1"/>
  <c r="P141" i="2183"/>
  <c r="P116" i="2183"/>
  <c r="P127" i="2183" s="1"/>
  <c r="J123" i="2185"/>
  <c r="J114" i="2185"/>
  <c r="AQ111" i="2185"/>
  <c r="AD111" i="2185"/>
  <c r="AC111" i="2185"/>
  <c r="X111" i="2185"/>
  <c r="G114" i="2183"/>
  <c r="G123" i="2183"/>
  <c r="X122" i="2184"/>
  <c r="X126" i="2184" s="1"/>
  <c r="X128" i="2184" s="1"/>
  <c r="AC114" i="2183"/>
  <c r="AC123" i="2183"/>
  <c r="V124" i="2184"/>
  <c r="AJ122" i="2184"/>
  <c r="AJ126" i="2184" s="1"/>
  <c r="AJ128" i="2184" s="1"/>
  <c r="S122" i="2184"/>
  <c r="S126" i="2184" s="1"/>
  <c r="P122" i="2183"/>
  <c r="AF123" i="2183"/>
  <c r="AD114" i="2181"/>
  <c r="AD123" i="2181"/>
  <c r="D155" i="2181"/>
  <c r="E114" i="2181"/>
  <c r="E123" i="2181"/>
  <c r="X111" i="2182"/>
  <c r="X114" i="2182" s="1"/>
  <c r="W111" i="2182"/>
  <c r="M111" i="2182"/>
  <c r="N122" i="2184"/>
  <c r="D140" i="2182"/>
  <c r="AO122" i="2181"/>
  <c r="J116" i="2181"/>
  <c r="J127" i="2181" s="1"/>
  <c r="R126" i="2181"/>
  <c r="R128" i="2181" s="1"/>
  <c r="D154" i="2180"/>
  <c r="L130" i="2180"/>
  <c r="S130" i="2180"/>
  <c r="K130" i="2180"/>
  <c r="R130" i="2180"/>
  <c r="J130" i="2180"/>
  <c r="P130" i="2180"/>
  <c r="H130" i="2180"/>
  <c r="Q130" i="2180"/>
  <c r="O130" i="2180"/>
  <c r="N130" i="2180"/>
  <c r="D109" i="2180"/>
  <c r="D142" i="2180" s="1"/>
  <c r="M130" i="2180"/>
  <c r="I130" i="2180"/>
  <c r="G130" i="2180"/>
  <c r="F130" i="2180"/>
  <c r="D153" i="2180"/>
  <c r="E130" i="2180"/>
  <c r="X124" i="2183"/>
  <c r="F133" i="2182"/>
  <c r="AO123" i="2181"/>
  <c r="W114" i="2181"/>
  <c r="W123" i="2181"/>
  <c r="P141" i="2181"/>
  <c r="P116" i="2181"/>
  <c r="P127" i="2181" s="1"/>
  <c r="N122" i="2181"/>
  <c r="N111" i="2180"/>
  <c r="N124" i="2179"/>
  <c r="AL124" i="2181"/>
  <c r="AL126" i="2181" s="1"/>
  <c r="AL128" i="2181" s="1"/>
  <c r="P141" i="2178"/>
  <c r="P116" i="2178"/>
  <c r="P127" i="2178" s="1"/>
  <c r="AE114" i="2178"/>
  <c r="AE123" i="2178"/>
  <c r="AL111" i="2180"/>
  <c r="I111" i="2180"/>
  <c r="AH111" i="2180"/>
  <c r="T111" i="2180"/>
  <c r="AK111" i="2180"/>
  <c r="G122" i="2179"/>
  <c r="G126" i="2179" s="1"/>
  <c r="G128" i="2179" s="1"/>
  <c r="Q123" i="2178"/>
  <c r="AD114" i="2177"/>
  <c r="AD123" i="2177"/>
  <c r="H123" i="2178"/>
  <c r="H126" i="2178" s="1"/>
  <c r="V123" i="2179"/>
  <c r="AF122" i="2178"/>
  <c r="AF126" i="2178" s="1"/>
  <c r="AF128" i="2178" s="1"/>
  <c r="I124" i="2178"/>
  <c r="AA124" i="2177"/>
  <c r="AA122" i="2177"/>
  <c r="E123" i="2179"/>
  <c r="D140" i="2178"/>
  <c r="D155" i="2177"/>
  <c r="E114" i="2177"/>
  <c r="E123" i="2177"/>
  <c r="AR123" i="2177"/>
  <c r="AR126" i="2177" s="1"/>
  <c r="AR128" i="2177" s="1"/>
  <c r="W123" i="2178"/>
  <c r="W126" i="2178" s="1"/>
  <c r="W128" i="2178" s="1"/>
  <c r="AQ111" i="2176"/>
  <c r="AL123" i="2176"/>
  <c r="AK123" i="2177"/>
  <c r="AK126" i="2177" s="1"/>
  <c r="AK128" i="2177" s="1"/>
  <c r="AN123" i="2175"/>
  <c r="AN114" i="2175"/>
  <c r="Z122" i="2175"/>
  <c r="Z126" i="2175" s="1"/>
  <c r="Z128" i="2175" s="1"/>
  <c r="AF123" i="2174"/>
  <c r="AF126" i="2174" s="1"/>
  <c r="AF128" i="2174" s="1"/>
  <c r="Q122" i="2175"/>
  <c r="AE123" i="2174"/>
  <c r="AE126" i="2174" s="1"/>
  <c r="AE128" i="2174" s="1"/>
  <c r="Q124" i="2175"/>
  <c r="G126" i="2175"/>
  <c r="G128" i="2175" s="1"/>
  <c r="N122" i="2175"/>
  <c r="M123" i="2175"/>
  <c r="N124" i="2175"/>
  <c r="V123" i="2175"/>
  <c r="P124" i="2174"/>
  <c r="P126" i="2174" s="1"/>
  <c r="G122" i="2174"/>
  <c r="G126" i="2174" s="1"/>
  <c r="W123" i="2174"/>
  <c r="W126" i="2174" s="1"/>
  <c r="W128" i="2174" s="1"/>
  <c r="AD114" i="2186"/>
  <c r="AD123" i="2186"/>
  <c r="Z124" i="2186"/>
  <c r="AG111" i="2186"/>
  <c r="L122" i="2185"/>
  <c r="AC123" i="2184"/>
  <c r="AC126" i="2184" s="1"/>
  <c r="AC128" i="2184" s="1"/>
  <c r="V114" i="2185"/>
  <c r="V123" i="2185"/>
  <c r="H141" i="2185"/>
  <c r="H116" i="2185"/>
  <c r="H127" i="2185" s="1"/>
  <c r="M124" i="2184"/>
  <c r="P111" i="2182"/>
  <c r="M124" i="2186"/>
  <c r="AO111" i="2186"/>
  <c r="H122" i="2185"/>
  <c r="H126" i="2185" s="1"/>
  <c r="M116" i="2186"/>
  <c r="M127" i="2186" s="1"/>
  <c r="L116" i="2185"/>
  <c r="L127" i="2185" s="1"/>
  <c r="AF123" i="2184"/>
  <c r="AF114" i="2184"/>
  <c r="R114" i="2184"/>
  <c r="R123" i="2184"/>
  <c r="O123" i="2183"/>
  <c r="O114" i="2183"/>
  <c r="M141" i="2181"/>
  <c r="M122" i="2181"/>
  <c r="M126" i="2181" s="1"/>
  <c r="M116" i="2181"/>
  <c r="M127" i="2181" s="1"/>
  <c r="L114" i="2181"/>
  <c r="L123" i="2181"/>
  <c r="E111" i="2182"/>
  <c r="AR111" i="2186"/>
  <c r="X111" i="2186"/>
  <c r="Q124" i="2185"/>
  <c r="I122" i="2185"/>
  <c r="M122" i="2186"/>
  <c r="M126" i="2186" s="1"/>
  <c r="M128" i="2186" s="1"/>
  <c r="AQ111" i="2186"/>
  <c r="E111" i="2186"/>
  <c r="AF111" i="2186"/>
  <c r="K123" i="2186"/>
  <c r="Z123" i="2186"/>
  <c r="Z126" i="2186" s="1"/>
  <c r="Z128" i="2186" s="1"/>
  <c r="U124" i="2185"/>
  <c r="U126" i="2185" s="1"/>
  <c r="U128" i="2185" s="1"/>
  <c r="I124" i="2185"/>
  <c r="M123" i="2185"/>
  <c r="M126" i="2185" s="1"/>
  <c r="M128" i="2185" s="1"/>
  <c r="I123" i="2185"/>
  <c r="K124" i="2185"/>
  <c r="V123" i="2184"/>
  <c r="I114" i="2184"/>
  <c r="I123" i="2184"/>
  <c r="AH114" i="2184"/>
  <c r="AH123" i="2184"/>
  <c r="H116" i="2183"/>
  <c r="H127" i="2183" s="1"/>
  <c r="H141" i="2183"/>
  <c r="AI111" i="2185"/>
  <c r="Z111" i="2185"/>
  <c r="G111" i="2185"/>
  <c r="AF111" i="2185"/>
  <c r="AR123" i="2184"/>
  <c r="AR126" i="2184" s="1"/>
  <c r="AR128" i="2184" s="1"/>
  <c r="AG111" i="2183"/>
  <c r="J111" i="2183"/>
  <c r="AA111" i="2183"/>
  <c r="I111" i="2183"/>
  <c r="AQ111" i="2183"/>
  <c r="Y111" i="2183"/>
  <c r="AI111" i="2183"/>
  <c r="AH111" i="2183"/>
  <c r="Z111" i="2183"/>
  <c r="S111" i="2183"/>
  <c r="R111" i="2183"/>
  <c r="AP111" i="2183"/>
  <c r="AO111" i="2183"/>
  <c r="Q111" i="2183"/>
  <c r="K111" i="2183"/>
  <c r="AL111" i="2183"/>
  <c r="U111" i="2183"/>
  <c r="U114" i="2183" s="1"/>
  <c r="N123" i="2184"/>
  <c r="L111" i="2183"/>
  <c r="N124" i="2184"/>
  <c r="K122" i="2184"/>
  <c r="H122" i="2183"/>
  <c r="H126" i="2183" s="1"/>
  <c r="AN111" i="2183"/>
  <c r="X123" i="2183"/>
  <c r="V114" i="2181"/>
  <c r="V123" i="2181"/>
  <c r="AI111" i="2182"/>
  <c r="N111" i="2182"/>
  <c r="K111" i="2182"/>
  <c r="U111" i="2182"/>
  <c r="K123" i="2184"/>
  <c r="AG126" i="2181"/>
  <c r="AG128" i="2181" s="1"/>
  <c r="J122" i="2181"/>
  <c r="J126" i="2181" s="1"/>
  <c r="P124" i="2183"/>
  <c r="N133" i="2182"/>
  <c r="AH123" i="2181"/>
  <c r="AH114" i="2181"/>
  <c r="AA114" i="2181"/>
  <c r="AA123" i="2181"/>
  <c r="F124" i="2179"/>
  <c r="N124" i="2181"/>
  <c r="H141" i="2178"/>
  <c r="H116" i="2178"/>
  <c r="H127" i="2178" s="1"/>
  <c r="K123" i="2179"/>
  <c r="K126" i="2179" s="1"/>
  <c r="K128" i="2179" s="1"/>
  <c r="AE111" i="2180"/>
  <c r="Q111" i="2180"/>
  <c r="AP111" i="2180"/>
  <c r="AB111" i="2180"/>
  <c r="AP126" i="2179"/>
  <c r="AP128" i="2179" s="1"/>
  <c r="S124" i="2179"/>
  <c r="S126" i="2179" s="1"/>
  <c r="L114" i="2179"/>
  <c r="L123" i="2179"/>
  <c r="W124" i="2179"/>
  <c r="W126" i="2179" s="1"/>
  <c r="W128" i="2179" s="1"/>
  <c r="P141" i="2179"/>
  <c r="P116" i="2179"/>
  <c r="P127" i="2179" s="1"/>
  <c r="P124" i="2179"/>
  <c r="P126" i="2179" s="1"/>
  <c r="I123" i="2178"/>
  <c r="V114" i="2177"/>
  <c r="V123" i="2177"/>
  <c r="S132" i="2179"/>
  <c r="K132" i="2179"/>
  <c r="S131" i="2179"/>
  <c r="K131" i="2179"/>
  <c r="R132" i="2179"/>
  <c r="J132" i="2179"/>
  <c r="R131" i="2179"/>
  <c r="J131" i="2179"/>
  <c r="Q132" i="2179"/>
  <c r="I132" i="2179"/>
  <c r="Q131" i="2179"/>
  <c r="I131" i="2179"/>
  <c r="O132" i="2179"/>
  <c r="G132" i="2179"/>
  <c r="O131" i="2179"/>
  <c r="G131" i="2179"/>
  <c r="G133" i="2179" s="1"/>
  <c r="N132" i="2179"/>
  <c r="F132" i="2179"/>
  <c r="N131" i="2179"/>
  <c r="F131" i="2179"/>
  <c r="D139" i="2179"/>
  <c r="L132" i="2179"/>
  <c r="E131" i="2179"/>
  <c r="H132" i="2179"/>
  <c r="E132" i="2179"/>
  <c r="P131" i="2179"/>
  <c r="M131" i="2179"/>
  <c r="P132" i="2179"/>
  <c r="L131" i="2179"/>
  <c r="M132" i="2179"/>
  <c r="H131" i="2179"/>
  <c r="X122" i="2178"/>
  <c r="S141" i="2177"/>
  <c r="S124" i="2177"/>
  <c r="S126" i="2177" s="1"/>
  <c r="S128" i="2177" s="1"/>
  <c r="N123" i="2179"/>
  <c r="X124" i="2178"/>
  <c r="S116" i="2179"/>
  <c r="S127" i="2179" s="1"/>
  <c r="G141" i="2177"/>
  <c r="G116" i="2177"/>
  <c r="G127" i="2177" s="1"/>
  <c r="AJ123" i="2177"/>
  <c r="AJ126" i="2177" s="1"/>
  <c r="AJ128" i="2177" s="1"/>
  <c r="AI111" i="2176"/>
  <c r="AF123" i="2177"/>
  <c r="AF126" i="2177" s="1"/>
  <c r="AF128" i="2177" s="1"/>
  <c r="AD123" i="2176"/>
  <c r="AC126" i="2177"/>
  <c r="AC128" i="2177" s="1"/>
  <c r="AM111" i="2176"/>
  <c r="G122" i="2176"/>
  <c r="AF123" i="2175"/>
  <c r="AF114" i="2175"/>
  <c r="R122" i="2175"/>
  <c r="R126" i="2175" s="1"/>
  <c r="AD126" i="2174"/>
  <c r="AD128" i="2174" s="1"/>
  <c r="X123" i="2174"/>
  <c r="X126" i="2174" s="1"/>
  <c r="X128" i="2174" s="1"/>
  <c r="I122" i="2175"/>
  <c r="I124" i="2175"/>
  <c r="P141" i="2174"/>
  <c r="P116" i="2174"/>
  <c r="P127" i="2174" s="1"/>
  <c r="AO123" i="2175"/>
  <c r="F122" i="2175"/>
  <c r="E123" i="2175"/>
  <c r="AK122" i="2175"/>
  <c r="AK126" i="2175" s="1"/>
  <c r="AK128" i="2175" s="1"/>
  <c r="F124" i="2175"/>
  <c r="N116" i="2175"/>
  <c r="N127" i="2175" s="1"/>
  <c r="H124" i="2174"/>
  <c r="H122" i="2174"/>
  <c r="G116" i="2174"/>
  <c r="G127" i="2174" s="1"/>
  <c r="Q122" i="2174"/>
  <c r="Q126" i="2174" s="1"/>
  <c r="R22" i="65"/>
  <c r="R21" i="65"/>
  <c r="R25" i="65"/>
  <c r="Q7" i="65"/>
  <c r="R24" i="65"/>
  <c r="R10" i="65"/>
  <c r="R23" i="65"/>
  <c r="R8" i="65"/>
  <c r="R11" i="65"/>
  <c r="L133" i="2186" l="1"/>
  <c r="U114" i="2186"/>
  <c r="U123" i="2186"/>
  <c r="M133" i="2192"/>
  <c r="AO114" i="2185"/>
  <c r="AO123" i="2185"/>
  <c r="K126" i="2185"/>
  <c r="K128" i="2185" s="1"/>
  <c r="P114" i="2185"/>
  <c r="P123" i="2185"/>
  <c r="G114" i="2184"/>
  <c r="G123" i="2184"/>
  <c r="I133" i="2183"/>
  <c r="T123" i="2183"/>
  <c r="K133" i="2182"/>
  <c r="AC126" i="2179"/>
  <c r="AC128" i="2179" s="1"/>
  <c r="H126" i="2179"/>
  <c r="AL126" i="2179"/>
  <c r="AL128" i="2179" s="1"/>
  <c r="AL135" i="2179" s="1"/>
  <c r="AL136" i="2179" s="1"/>
  <c r="AL138" i="2179" s="1"/>
  <c r="AL140" i="2179" s="1"/>
  <c r="I126" i="2175"/>
  <c r="I128" i="2175" s="1"/>
  <c r="V126" i="2175"/>
  <c r="N133" i="2175"/>
  <c r="F126" i="2175"/>
  <c r="F128" i="2175" s="1"/>
  <c r="L126" i="2175"/>
  <c r="AB126" i="2175"/>
  <c r="AB128" i="2175" s="1"/>
  <c r="AB135" i="2175" s="1"/>
  <c r="AB136" i="2175" s="1"/>
  <c r="AB139" i="2175" s="1"/>
  <c r="AP114" i="2174"/>
  <c r="AP123" i="2174"/>
  <c r="M123" i="2174"/>
  <c r="M114" i="2174"/>
  <c r="AI114" i="2174"/>
  <c r="AI123" i="2174"/>
  <c r="T114" i="2174"/>
  <c r="T123" i="2174"/>
  <c r="AN114" i="2174"/>
  <c r="AN123" i="2174"/>
  <c r="L114" i="2174"/>
  <c r="L123" i="2174"/>
  <c r="AH114" i="2174"/>
  <c r="AH123" i="2174"/>
  <c r="AK114" i="2174"/>
  <c r="AK123" i="2174"/>
  <c r="J114" i="2174"/>
  <c r="J123" i="2174"/>
  <c r="K114" i="2174"/>
  <c r="K123" i="2174"/>
  <c r="AC114" i="2174"/>
  <c r="AC123" i="2174"/>
  <c r="I126" i="2174"/>
  <c r="I133" i="2174"/>
  <c r="AR114" i="2174"/>
  <c r="AR123" i="2174"/>
  <c r="R114" i="2174"/>
  <c r="R123" i="2174"/>
  <c r="AA114" i="2174"/>
  <c r="AA123" i="2174"/>
  <c r="AB114" i="2174"/>
  <c r="AB123" i="2174"/>
  <c r="S128" i="2184"/>
  <c r="Q133" i="2179"/>
  <c r="H133" i="2181"/>
  <c r="G133" i="2181"/>
  <c r="R133" i="2181"/>
  <c r="N133" i="2179"/>
  <c r="S133" i="2181"/>
  <c r="H133" i="2182"/>
  <c r="K133" i="2183"/>
  <c r="E133" i="2183"/>
  <c r="P133" i="2183"/>
  <c r="S133" i="2183"/>
  <c r="E133" i="2178"/>
  <c r="G133" i="2178"/>
  <c r="K133" i="2178"/>
  <c r="S123" i="2178"/>
  <c r="S114" i="2178"/>
  <c r="T122" i="2178"/>
  <c r="T124" i="2178"/>
  <c r="T116" i="2178"/>
  <c r="T127" i="2178" s="1"/>
  <c r="Z114" i="2178"/>
  <c r="Z123" i="2178"/>
  <c r="AA123" i="2178"/>
  <c r="AA114" i="2178"/>
  <c r="U126" i="2178"/>
  <c r="U128" i="2178" s="1"/>
  <c r="U135" i="2178" s="1"/>
  <c r="U136" i="2178" s="1"/>
  <c r="U138" i="2178" s="1"/>
  <c r="U140" i="2178" s="1"/>
  <c r="AB114" i="2178"/>
  <c r="AB123" i="2178"/>
  <c r="AI126" i="2178"/>
  <c r="AI128" i="2178" s="1"/>
  <c r="AI135" i="2178" s="1"/>
  <c r="AI136" i="2178" s="1"/>
  <c r="AI139" i="2178" s="1"/>
  <c r="AH114" i="2178"/>
  <c r="AH123" i="2178"/>
  <c r="AQ114" i="2178"/>
  <c r="AQ123" i="2178"/>
  <c r="AI124" i="2178"/>
  <c r="T123" i="2178"/>
  <c r="L114" i="2178"/>
  <c r="L123" i="2178"/>
  <c r="AO114" i="2178"/>
  <c r="AO123" i="2178"/>
  <c r="R114" i="2178"/>
  <c r="R123" i="2178"/>
  <c r="F133" i="2178"/>
  <c r="P126" i="2178"/>
  <c r="P128" i="2178" s="1"/>
  <c r="P135" i="2178" s="1"/>
  <c r="AP114" i="2178"/>
  <c r="AP123" i="2178"/>
  <c r="K114" i="2178"/>
  <c r="K123" i="2178"/>
  <c r="AJ114" i="2178"/>
  <c r="AJ123" i="2178"/>
  <c r="H128" i="2177"/>
  <c r="G128" i="2177"/>
  <c r="AE126" i="2177"/>
  <c r="AE128" i="2177" s="1"/>
  <c r="AE135" i="2177" s="1"/>
  <c r="AE136" i="2177" s="1"/>
  <c r="AE138" i="2177" s="1"/>
  <c r="AE140" i="2177" s="1"/>
  <c r="W126" i="2177"/>
  <c r="W128" i="2177" s="1"/>
  <c r="AH114" i="2177"/>
  <c r="AH123" i="2177"/>
  <c r="L128" i="2177"/>
  <c r="AN114" i="2177"/>
  <c r="AN123" i="2177"/>
  <c r="AO114" i="2177"/>
  <c r="AO123" i="2177"/>
  <c r="AP114" i="2177"/>
  <c r="AP123" i="2177"/>
  <c r="J114" i="2177"/>
  <c r="J123" i="2177"/>
  <c r="Y114" i="2177"/>
  <c r="Y123" i="2177"/>
  <c r="AM114" i="2177"/>
  <c r="AM123" i="2177"/>
  <c r="AG114" i="2177"/>
  <c r="AG123" i="2177"/>
  <c r="P133" i="2175"/>
  <c r="J128" i="2175"/>
  <c r="V128" i="2175"/>
  <c r="M133" i="2174"/>
  <c r="J133" i="2174"/>
  <c r="Q133" i="2174"/>
  <c r="L133" i="2174"/>
  <c r="Y139" i="2174"/>
  <c r="R133" i="2186"/>
  <c r="Q126" i="2187"/>
  <c r="Q128" i="2187" s="1"/>
  <c r="S126" i="2192"/>
  <c r="P133" i="2192"/>
  <c r="Q132" i="2189"/>
  <c r="E132" i="2189"/>
  <c r="O131" i="2189"/>
  <c r="R131" i="2189"/>
  <c r="AO126" i="2187"/>
  <c r="AO128" i="2187" s="1"/>
  <c r="AO135" i="2187" s="1"/>
  <c r="AO136" i="2187" s="1"/>
  <c r="AO138" i="2187" s="1"/>
  <c r="AO140" i="2187" s="1"/>
  <c r="R126" i="2187"/>
  <c r="AK126" i="2192"/>
  <c r="AK128" i="2192" s="1"/>
  <c r="AL124" i="2192"/>
  <c r="AL126" i="2192" s="1"/>
  <c r="AL128" i="2192" s="1"/>
  <c r="AL135" i="2192" s="1"/>
  <c r="AL136" i="2192" s="1"/>
  <c r="AL138" i="2192" s="1"/>
  <c r="AL140" i="2192" s="1"/>
  <c r="AI126" i="2192"/>
  <c r="AI128" i="2192" s="1"/>
  <c r="AI135" i="2192" s="1"/>
  <c r="AI136" i="2192" s="1"/>
  <c r="AI139" i="2192" s="1"/>
  <c r="O126" i="2192"/>
  <c r="AF126" i="2190"/>
  <c r="AF128" i="2190" s="1"/>
  <c r="AF135" i="2190" s="1"/>
  <c r="AF136" i="2190" s="1"/>
  <c r="AF139" i="2190" s="1"/>
  <c r="AA126" i="2190"/>
  <c r="AA128" i="2190" s="1"/>
  <c r="AF123" i="2188"/>
  <c r="AF126" i="2188" s="1"/>
  <c r="AF128" i="2188" s="1"/>
  <c r="AF135" i="2188" s="1"/>
  <c r="AF136" i="2188" s="1"/>
  <c r="AF139" i="2188" s="1"/>
  <c r="M132" i="2189"/>
  <c r="Q131" i="2189"/>
  <c r="F131" i="2189"/>
  <c r="H131" i="2189"/>
  <c r="H133" i="2189" s="1"/>
  <c r="S132" i="2189"/>
  <c r="O132" i="2189"/>
  <c r="O133" i="2189" s="1"/>
  <c r="K132" i="2189"/>
  <c r="K133" i="2189" s="1"/>
  <c r="S131" i="2189"/>
  <c r="S133" i="2189" s="1"/>
  <c r="N131" i="2189"/>
  <c r="P131" i="2189"/>
  <c r="H133" i="2192"/>
  <c r="G132" i="2189"/>
  <c r="R132" i="2189"/>
  <c r="R133" i="2189" s="1"/>
  <c r="I131" i="2189"/>
  <c r="I132" i="2189"/>
  <c r="F132" i="2189"/>
  <c r="F133" i="2189" s="1"/>
  <c r="H132" i="2189"/>
  <c r="L132" i="2189"/>
  <c r="E131" i="2189"/>
  <c r="E133" i="2189" s="1"/>
  <c r="N132" i="2189"/>
  <c r="P132" i="2189"/>
  <c r="K133" i="2192"/>
  <c r="L131" i="2189"/>
  <c r="J132" i="2189"/>
  <c r="J133" i="2189" s="1"/>
  <c r="D139" i="2189"/>
  <c r="K131" i="2189"/>
  <c r="M131" i="2189"/>
  <c r="G131" i="2189"/>
  <c r="AM126" i="2187"/>
  <c r="AM128" i="2187" s="1"/>
  <c r="AM135" i="2187" s="1"/>
  <c r="AM136" i="2187" s="1"/>
  <c r="AM139" i="2187" s="1"/>
  <c r="AH126" i="2187"/>
  <c r="AH128" i="2187" s="1"/>
  <c r="AH135" i="2187" s="1"/>
  <c r="AH136" i="2187" s="1"/>
  <c r="AH138" i="2187" s="1"/>
  <c r="AH140" i="2187" s="1"/>
  <c r="I128" i="2187"/>
  <c r="AB126" i="2187"/>
  <c r="AB128" i="2187" s="1"/>
  <c r="AB135" i="2187" s="1"/>
  <c r="AB136" i="2187" s="1"/>
  <c r="AB139" i="2187" s="1"/>
  <c r="S128" i="2192"/>
  <c r="S135" i="2192" s="1"/>
  <c r="R126" i="2192"/>
  <c r="R128" i="2192" s="1"/>
  <c r="R135" i="2192" s="1"/>
  <c r="P126" i="2192"/>
  <c r="P128" i="2192" s="1"/>
  <c r="P135" i="2192" s="1"/>
  <c r="G126" i="2191"/>
  <c r="AJ126" i="2191"/>
  <c r="AJ128" i="2191" s="1"/>
  <c r="AH126" i="2189"/>
  <c r="AH128" i="2189" s="1"/>
  <c r="F114" i="2188"/>
  <c r="F122" i="2188" s="1"/>
  <c r="G141" i="2188"/>
  <c r="G116" i="2188"/>
  <c r="G127" i="2188" s="1"/>
  <c r="G122" i="2188"/>
  <c r="G123" i="2188"/>
  <c r="H128" i="2185"/>
  <c r="N133" i="2183"/>
  <c r="O133" i="2183"/>
  <c r="H133" i="2183"/>
  <c r="L133" i="2183"/>
  <c r="M128" i="2181"/>
  <c r="F133" i="2179"/>
  <c r="I133" i="2179"/>
  <c r="M133" i="2179"/>
  <c r="J133" i="2179"/>
  <c r="L133" i="2179"/>
  <c r="AL139" i="2179"/>
  <c r="K133" i="2179"/>
  <c r="Z138" i="2179"/>
  <c r="Z140" i="2179" s="1"/>
  <c r="S133" i="2179"/>
  <c r="S128" i="2179"/>
  <c r="S135" i="2179" s="1"/>
  <c r="AF138" i="2179"/>
  <c r="AF140" i="2179" s="1"/>
  <c r="P128" i="2179"/>
  <c r="H128" i="2179"/>
  <c r="N133" i="2187"/>
  <c r="S133" i="2187"/>
  <c r="Q135" i="2187"/>
  <c r="V123" i="2188"/>
  <c r="K123" i="2188"/>
  <c r="AM123" i="2188"/>
  <c r="AM124" i="2188"/>
  <c r="AJ114" i="2185"/>
  <c r="AJ123" i="2185"/>
  <c r="Q126" i="2185"/>
  <c r="Q128" i="2185" s="1"/>
  <c r="W126" i="2185"/>
  <c r="W128" i="2185" s="1"/>
  <c r="W135" i="2185" s="1"/>
  <c r="W136" i="2185" s="1"/>
  <c r="W139" i="2185" s="1"/>
  <c r="L141" i="2185"/>
  <c r="L124" i="2185"/>
  <c r="L126" i="2185" s="1"/>
  <c r="L128" i="2185" s="1"/>
  <c r="AR114" i="2185"/>
  <c r="AR123" i="2185"/>
  <c r="S114" i="2185"/>
  <c r="S123" i="2185"/>
  <c r="AG122" i="2185"/>
  <c r="AG124" i="2185"/>
  <c r="AN114" i="2185"/>
  <c r="AN123" i="2185"/>
  <c r="AB135" i="2184"/>
  <c r="AB136" i="2184" s="1"/>
  <c r="AB139" i="2184" s="1"/>
  <c r="AD138" i="2184"/>
  <c r="AD140" i="2184" s="1"/>
  <c r="N126" i="2184"/>
  <c r="N128" i="2184" s="1"/>
  <c r="J133" i="2183"/>
  <c r="T124" i="2183"/>
  <c r="T116" i="2183"/>
  <c r="T127" i="2183" s="1"/>
  <c r="T122" i="2183"/>
  <c r="T126" i="2183" s="1"/>
  <c r="AB114" i="2183"/>
  <c r="AB123" i="2183"/>
  <c r="V128" i="2183"/>
  <c r="AJ114" i="2183"/>
  <c r="AJ123" i="2183"/>
  <c r="Y126" i="2182"/>
  <c r="Y128" i="2182" s="1"/>
  <c r="K133" i="2181"/>
  <c r="G114" i="2181"/>
  <c r="G123" i="2181"/>
  <c r="O133" i="2181"/>
  <c r="Y114" i="2181"/>
  <c r="Y123" i="2181"/>
  <c r="AM114" i="2181"/>
  <c r="AM123" i="2181"/>
  <c r="X126" i="2181"/>
  <c r="X128" i="2181" s="1"/>
  <c r="X135" i="2181" s="1"/>
  <c r="X136" i="2181" s="1"/>
  <c r="X138" i="2181" s="1"/>
  <c r="X140" i="2181" s="1"/>
  <c r="J128" i="2181"/>
  <c r="I128" i="2181"/>
  <c r="P128" i="2181"/>
  <c r="T126" i="2187"/>
  <c r="T128" i="2187" s="1"/>
  <c r="T135" i="2187" s="1"/>
  <c r="T136" i="2187" s="1"/>
  <c r="T139" i="2187" s="1"/>
  <c r="I133" i="2187"/>
  <c r="F133" i="2187"/>
  <c r="Q133" i="2187"/>
  <c r="K133" i="2187"/>
  <c r="O128" i="2192"/>
  <c r="O135" i="2192" s="1"/>
  <c r="AH126" i="2192"/>
  <c r="AH128" i="2192" s="1"/>
  <c r="AH135" i="2192" s="1"/>
  <c r="AH136" i="2192" s="1"/>
  <c r="AH138" i="2192" s="1"/>
  <c r="AH140" i="2192" s="1"/>
  <c r="O126" i="2191"/>
  <c r="O128" i="2191" s="1"/>
  <c r="W126" i="2191"/>
  <c r="W128" i="2191" s="1"/>
  <c r="W135" i="2191" s="1"/>
  <c r="W136" i="2191" s="1"/>
  <c r="W138" i="2191" s="1"/>
  <c r="W140" i="2191" s="1"/>
  <c r="N133" i="2190"/>
  <c r="W126" i="2190"/>
  <c r="W128" i="2190" s="1"/>
  <c r="AN126" i="2190"/>
  <c r="AN128" i="2190" s="1"/>
  <c r="AN135" i="2190" s="1"/>
  <c r="AN136" i="2190" s="1"/>
  <c r="AN138" i="2190" s="1"/>
  <c r="AN140" i="2190" s="1"/>
  <c r="J133" i="2190"/>
  <c r="G133" i="2190"/>
  <c r="K133" i="2190"/>
  <c r="O133" i="2190"/>
  <c r="S133" i="2190"/>
  <c r="U123" i="2189"/>
  <c r="W124" i="2188"/>
  <c r="AA122" i="2188"/>
  <c r="AA123" i="2188"/>
  <c r="K116" i="2188"/>
  <c r="K127" i="2188" s="1"/>
  <c r="AI123" i="2188"/>
  <c r="W123" i="2188"/>
  <c r="K141" i="2188"/>
  <c r="AI122" i="2188"/>
  <c r="AG123" i="2188"/>
  <c r="V122" i="2188"/>
  <c r="V116" i="2188"/>
  <c r="V127" i="2188" s="1"/>
  <c r="T123" i="2188"/>
  <c r="W122" i="2188"/>
  <c r="T124" i="2188"/>
  <c r="T122" i="2188"/>
  <c r="K124" i="2188"/>
  <c r="T116" i="2188"/>
  <c r="T127" i="2188" s="1"/>
  <c r="AG126" i="2187"/>
  <c r="AG128" i="2187" s="1"/>
  <c r="AG135" i="2187" s="1"/>
  <c r="AG136" i="2187" s="1"/>
  <c r="AG139" i="2187" s="1"/>
  <c r="Z126" i="2187"/>
  <c r="Z128" i="2187" s="1"/>
  <c r="Z135" i="2187" s="1"/>
  <c r="Z136" i="2187" s="1"/>
  <c r="Z138" i="2187" s="1"/>
  <c r="Z140" i="2187" s="1"/>
  <c r="Y126" i="2187"/>
  <c r="Y128" i="2187" s="1"/>
  <c r="Y135" i="2187" s="1"/>
  <c r="Y136" i="2187" s="1"/>
  <c r="Y139" i="2187" s="1"/>
  <c r="AF126" i="2187"/>
  <c r="AF128" i="2187" s="1"/>
  <c r="AF135" i="2187" s="1"/>
  <c r="AF136" i="2187" s="1"/>
  <c r="AF139" i="2187" s="1"/>
  <c r="AP126" i="2187"/>
  <c r="AP128" i="2187" s="1"/>
  <c r="AP135" i="2187" s="1"/>
  <c r="AP136" i="2187" s="1"/>
  <c r="AP139" i="2187" s="1"/>
  <c r="U126" i="2192"/>
  <c r="U128" i="2192" s="1"/>
  <c r="J126" i="2192"/>
  <c r="J128" i="2192" s="1"/>
  <c r="J135" i="2192" s="1"/>
  <c r="J136" i="2192" s="1"/>
  <c r="J139" i="2192" s="1"/>
  <c r="AM126" i="2192"/>
  <c r="AM128" i="2192" s="1"/>
  <c r="AM135" i="2192" s="1"/>
  <c r="AM136" i="2192" s="1"/>
  <c r="AM138" i="2192" s="1"/>
  <c r="AM140" i="2192" s="1"/>
  <c r="AJ126" i="2192"/>
  <c r="AJ128" i="2192" s="1"/>
  <c r="AJ135" i="2192" s="1"/>
  <c r="AJ136" i="2192" s="1"/>
  <c r="AJ138" i="2192" s="1"/>
  <c r="AJ140" i="2192" s="1"/>
  <c r="AQ126" i="2192"/>
  <c r="AQ128" i="2192" s="1"/>
  <c r="AQ135" i="2192" s="1"/>
  <c r="AQ136" i="2192" s="1"/>
  <c r="AQ138" i="2192" s="1"/>
  <c r="AQ140" i="2192" s="1"/>
  <c r="V126" i="2192"/>
  <c r="V128" i="2192" s="1"/>
  <c r="V135" i="2192" s="1"/>
  <c r="V136" i="2192" s="1"/>
  <c r="V138" i="2192" s="1"/>
  <c r="V140" i="2192" s="1"/>
  <c r="AE126" i="2192"/>
  <c r="AE128" i="2192" s="1"/>
  <c r="AE135" i="2192" s="1"/>
  <c r="AE136" i="2192" s="1"/>
  <c r="AE138" i="2192" s="1"/>
  <c r="AE140" i="2192" s="1"/>
  <c r="T126" i="2191"/>
  <c r="T128" i="2191" s="1"/>
  <c r="G128" i="2191"/>
  <c r="P126" i="2191"/>
  <c r="P128" i="2191" s="1"/>
  <c r="AI126" i="2191"/>
  <c r="AI128" i="2191" s="1"/>
  <c r="AI135" i="2191" s="1"/>
  <c r="AI136" i="2191" s="1"/>
  <c r="AI138" i="2191" s="1"/>
  <c r="AI140" i="2191" s="1"/>
  <c r="I126" i="2190"/>
  <c r="I128" i="2190" s="1"/>
  <c r="I135" i="2190" s="1"/>
  <c r="U123" i="2190"/>
  <c r="Y126" i="2190"/>
  <c r="Y128" i="2190" s="1"/>
  <c r="Y135" i="2190" s="1"/>
  <c r="Y136" i="2190" s="1"/>
  <c r="Y139" i="2190" s="1"/>
  <c r="L126" i="2190"/>
  <c r="L128" i="2190" s="1"/>
  <c r="L135" i="2190" s="1"/>
  <c r="W126" i="2189"/>
  <c r="W128" i="2189" s="1"/>
  <c r="W135" i="2189" s="1"/>
  <c r="W136" i="2189" s="1"/>
  <c r="W139" i="2189" s="1"/>
  <c r="AO126" i="2189"/>
  <c r="AO128" i="2189" s="1"/>
  <c r="AO135" i="2189" s="1"/>
  <c r="AO136" i="2189" s="1"/>
  <c r="AO138" i="2189" s="1"/>
  <c r="AO140" i="2189" s="1"/>
  <c r="M126" i="2189"/>
  <c r="M128" i="2189" s="1"/>
  <c r="M135" i="2189" s="1"/>
  <c r="L126" i="2187"/>
  <c r="L128" i="2187" s="1"/>
  <c r="L135" i="2187" s="1"/>
  <c r="J126" i="2187"/>
  <c r="J128" i="2187" s="1"/>
  <c r="J135" i="2187" s="1"/>
  <c r="AO139" i="2187"/>
  <c r="G133" i="2187"/>
  <c r="L133" i="2187"/>
  <c r="P126" i="2187"/>
  <c r="P128" i="2187" s="1"/>
  <c r="P135" i="2187" s="1"/>
  <c r="R133" i="2192"/>
  <c r="Z139" i="2192"/>
  <c r="O133" i="2192"/>
  <c r="AB139" i="2192"/>
  <c r="AA139" i="2192"/>
  <c r="AE126" i="2191"/>
  <c r="AE128" i="2191" s="1"/>
  <c r="AE135" i="2191" s="1"/>
  <c r="AE136" i="2191" s="1"/>
  <c r="AE138" i="2191" s="1"/>
  <c r="AE140" i="2191" s="1"/>
  <c r="Q133" i="2190"/>
  <c r="L133" i="2190"/>
  <c r="H123" i="2188"/>
  <c r="G126" i="2187"/>
  <c r="G128" i="2187" s="1"/>
  <c r="G135" i="2187" s="1"/>
  <c r="H126" i="2187"/>
  <c r="H128" i="2187" s="1"/>
  <c r="R128" i="2187"/>
  <c r="R135" i="2187" s="1"/>
  <c r="V126" i="2187"/>
  <c r="V128" i="2187" s="1"/>
  <c r="V135" i="2187" s="1"/>
  <c r="V136" i="2187" s="1"/>
  <c r="V139" i="2187" s="1"/>
  <c r="X138" i="2192"/>
  <c r="X140" i="2192" s="1"/>
  <c r="AR126" i="2192"/>
  <c r="AR128" i="2192" s="1"/>
  <c r="AN126" i="2191"/>
  <c r="AN128" i="2191" s="1"/>
  <c r="L126" i="2191"/>
  <c r="L128" i="2191" s="1"/>
  <c r="H126" i="2191"/>
  <c r="H128" i="2191" s="1"/>
  <c r="S128" i="2191"/>
  <c r="AR126" i="2191"/>
  <c r="AR128" i="2191" s="1"/>
  <c r="AR135" i="2191" s="1"/>
  <c r="AR136" i="2191" s="1"/>
  <c r="AR139" i="2191" s="1"/>
  <c r="AG126" i="2190"/>
  <c r="AG128" i="2190" s="1"/>
  <c r="AG135" i="2190" s="1"/>
  <c r="AG136" i="2190" s="1"/>
  <c r="AG139" i="2190" s="1"/>
  <c r="H141" i="2188"/>
  <c r="H124" i="2188"/>
  <c r="AJ114" i="2188"/>
  <c r="AJ123" i="2188"/>
  <c r="H116" i="2188"/>
  <c r="H127" i="2188" s="1"/>
  <c r="AR135" i="2190"/>
  <c r="AR136" i="2190" s="1"/>
  <c r="AR139" i="2190" s="1"/>
  <c r="AR135" i="2192"/>
  <c r="AR136" i="2192" s="1"/>
  <c r="AR138" i="2192" s="1"/>
  <c r="AR140" i="2192" s="1"/>
  <c r="AQ135" i="2191"/>
  <c r="AQ136" i="2191" s="1"/>
  <c r="AQ138" i="2191" s="1"/>
  <c r="AQ140" i="2191" s="1"/>
  <c r="AA135" i="2191"/>
  <c r="AA136" i="2191" s="1"/>
  <c r="AA139" i="2191" s="1"/>
  <c r="AN114" i="2189"/>
  <c r="AN123" i="2189"/>
  <c r="AE114" i="2190"/>
  <c r="AE123" i="2190"/>
  <c r="Y114" i="2191"/>
  <c r="Y123" i="2191"/>
  <c r="F114" i="2189"/>
  <c r="F123" i="2189"/>
  <c r="Z114" i="2189"/>
  <c r="Z123" i="2189"/>
  <c r="S114" i="2190"/>
  <c r="S123" i="2190"/>
  <c r="C172" i="2187"/>
  <c r="D156" i="2187"/>
  <c r="G141" i="2190"/>
  <c r="G124" i="2190"/>
  <c r="G122" i="2190"/>
  <c r="G116" i="2190"/>
  <c r="G127" i="2190" s="1"/>
  <c r="M116" i="2187"/>
  <c r="M127" i="2187" s="1"/>
  <c r="M124" i="2187"/>
  <c r="M141" i="2187"/>
  <c r="M122" i="2187"/>
  <c r="I114" i="2188"/>
  <c r="I123" i="2188"/>
  <c r="U114" i="2188"/>
  <c r="U123" i="2188"/>
  <c r="D140" i="2191"/>
  <c r="N123" i="2190"/>
  <c r="N114" i="2190"/>
  <c r="H126" i="2190"/>
  <c r="H128" i="2190" s="1"/>
  <c r="Y122" i="2192"/>
  <c r="Y124" i="2192"/>
  <c r="X126" i="2187"/>
  <c r="X128" i="2187" s="1"/>
  <c r="M133" i="2187"/>
  <c r="C172" i="2191"/>
  <c r="D156" i="2191"/>
  <c r="P114" i="2188"/>
  <c r="P123" i="2188"/>
  <c r="E133" i="2190"/>
  <c r="P114" i="2190"/>
  <c r="P123" i="2190"/>
  <c r="K114" i="2191"/>
  <c r="K123" i="2191"/>
  <c r="AC123" i="2191"/>
  <c r="AC114" i="2191"/>
  <c r="N133" i="2192"/>
  <c r="S133" i="2192"/>
  <c r="AG124" i="2188"/>
  <c r="AG122" i="2188"/>
  <c r="AM138" i="2187"/>
  <c r="AM140" i="2187" s="1"/>
  <c r="AP139" i="2192"/>
  <c r="AQ124" i="2188"/>
  <c r="AQ122" i="2188"/>
  <c r="AB122" i="2190"/>
  <c r="AB124" i="2190"/>
  <c r="D156" i="2192"/>
  <c r="C172" i="2192"/>
  <c r="AH135" i="2189"/>
  <c r="AH136" i="2189" s="1"/>
  <c r="AH139" i="2189" s="1"/>
  <c r="AH122" i="2190"/>
  <c r="AH124" i="2190"/>
  <c r="AD124" i="2189"/>
  <c r="AD122" i="2189"/>
  <c r="D155" i="2188"/>
  <c r="E114" i="2188"/>
  <c r="E123" i="2188"/>
  <c r="AI114" i="2190"/>
  <c r="AI123" i="2190"/>
  <c r="AO114" i="2190"/>
  <c r="AO123" i="2190"/>
  <c r="AA124" i="2187"/>
  <c r="AA122" i="2187"/>
  <c r="AM114" i="2191"/>
  <c r="AM123" i="2191"/>
  <c r="AF124" i="2192"/>
  <c r="AF122" i="2192"/>
  <c r="AP114" i="2189"/>
  <c r="AP123" i="2189"/>
  <c r="X123" i="2190"/>
  <c r="AK123" i="2190"/>
  <c r="AK114" i="2190"/>
  <c r="Q114" i="2188"/>
  <c r="Q123" i="2188"/>
  <c r="AN135" i="2187"/>
  <c r="AN136" i="2187" s="1"/>
  <c r="AN138" i="2187" s="1"/>
  <c r="AN140" i="2187" s="1"/>
  <c r="L133" i="2189"/>
  <c r="R114" i="2189"/>
  <c r="R123" i="2189"/>
  <c r="U114" i="2191"/>
  <c r="U123" i="2191"/>
  <c r="T135" i="2192"/>
  <c r="T136" i="2192" s="1"/>
  <c r="T138" i="2192" s="1"/>
  <c r="T140" i="2192" s="1"/>
  <c r="AD124" i="2192"/>
  <c r="AD122" i="2192"/>
  <c r="AK124" i="2191"/>
  <c r="AK122" i="2191"/>
  <c r="AN114" i="2188"/>
  <c r="AN123" i="2188"/>
  <c r="X114" i="2189"/>
  <c r="X123" i="2189"/>
  <c r="K114" i="2189"/>
  <c r="K123" i="2189"/>
  <c r="W126" i="2192"/>
  <c r="W128" i="2192" s="1"/>
  <c r="V128" i="2189"/>
  <c r="I126" i="2189"/>
  <c r="I128" i="2189" s="1"/>
  <c r="AL124" i="2190"/>
  <c r="AL122" i="2190"/>
  <c r="AJ126" i="2187"/>
  <c r="AJ128" i="2187" s="1"/>
  <c r="X114" i="2188"/>
  <c r="X123" i="2188"/>
  <c r="AD114" i="2188"/>
  <c r="AD123" i="2188"/>
  <c r="U124" i="2190"/>
  <c r="U116" i="2190"/>
  <c r="U127" i="2190" s="1"/>
  <c r="U122" i="2190"/>
  <c r="AO124" i="2191"/>
  <c r="AO122" i="2191"/>
  <c r="H133" i="2187"/>
  <c r="AM124" i="2190"/>
  <c r="AM122" i="2190"/>
  <c r="Y114" i="2189"/>
  <c r="Y123" i="2189"/>
  <c r="M133" i="2190"/>
  <c r="V126" i="2190"/>
  <c r="V128" i="2190" s="1"/>
  <c r="J114" i="2191"/>
  <c r="J123" i="2191"/>
  <c r="F114" i="2191"/>
  <c r="F123" i="2191"/>
  <c r="L133" i="2192"/>
  <c r="I133" i="2192"/>
  <c r="AE124" i="2189"/>
  <c r="AE122" i="2189"/>
  <c r="AL139" i="2192"/>
  <c r="C172" i="2190"/>
  <c r="D156" i="2190"/>
  <c r="AQ124" i="2187"/>
  <c r="AQ122" i="2187"/>
  <c r="J114" i="2189"/>
  <c r="J123" i="2189"/>
  <c r="X124" i="2190"/>
  <c r="X116" i="2190"/>
  <c r="X127" i="2190" s="1"/>
  <c r="X122" i="2190"/>
  <c r="E124" i="2191"/>
  <c r="E141" i="2191"/>
  <c r="E116" i="2191"/>
  <c r="E127" i="2191" s="1"/>
  <c r="E122" i="2191"/>
  <c r="AF124" i="2189"/>
  <c r="AF122" i="2189"/>
  <c r="Q141" i="2192"/>
  <c r="Q124" i="2192"/>
  <c r="Q122" i="2192"/>
  <c r="Q116" i="2192"/>
  <c r="Q127" i="2192" s="1"/>
  <c r="N114" i="2188"/>
  <c r="N123" i="2188"/>
  <c r="I135" i="2187"/>
  <c r="D140" i="2188"/>
  <c r="AB114" i="2191"/>
  <c r="AB123" i="2191"/>
  <c r="AI124" i="2187"/>
  <c r="AI122" i="2187"/>
  <c r="G141" i="2189"/>
  <c r="G116" i="2189"/>
  <c r="G127" i="2189" s="1"/>
  <c r="G122" i="2189"/>
  <c r="G124" i="2189"/>
  <c r="O114" i="2188"/>
  <c r="O123" i="2188"/>
  <c r="S114" i="2189"/>
  <c r="S123" i="2189"/>
  <c r="AA114" i="2189"/>
  <c r="AA123" i="2189"/>
  <c r="Z122" i="2190"/>
  <c r="Z124" i="2190"/>
  <c r="W126" i="2187"/>
  <c r="W128" i="2187" s="1"/>
  <c r="J114" i="2188"/>
  <c r="J123" i="2188"/>
  <c r="Y114" i="2188"/>
  <c r="Y123" i="2188"/>
  <c r="AK126" i="2189"/>
  <c r="AK128" i="2189" s="1"/>
  <c r="AQ114" i="2190"/>
  <c r="AQ123" i="2190"/>
  <c r="K141" i="2187"/>
  <c r="K124" i="2187"/>
  <c r="K116" i="2187"/>
  <c r="K127" i="2187" s="1"/>
  <c r="K122" i="2187"/>
  <c r="T126" i="2190"/>
  <c r="T128" i="2190" s="1"/>
  <c r="P133" i="2187"/>
  <c r="E133" i="2187"/>
  <c r="AK124" i="2187"/>
  <c r="AK122" i="2187"/>
  <c r="AN126" i="2192"/>
  <c r="AN128" i="2192" s="1"/>
  <c r="AR126" i="2187"/>
  <c r="AR128" i="2187" s="1"/>
  <c r="AM123" i="2189"/>
  <c r="AM114" i="2189"/>
  <c r="F133" i="2190"/>
  <c r="AP114" i="2191"/>
  <c r="AP123" i="2191"/>
  <c r="AL114" i="2191"/>
  <c r="AL123" i="2191"/>
  <c r="F133" i="2192"/>
  <c r="Q133" i="2192"/>
  <c r="L135" i="2192"/>
  <c r="Q114" i="2190"/>
  <c r="Q123" i="2190"/>
  <c r="AR114" i="2189"/>
  <c r="AR123" i="2189"/>
  <c r="AC114" i="2189"/>
  <c r="AC123" i="2189"/>
  <c r="AC124" i="2187"/>
  <c r="AC122" i="2187"/>
  <c r="S141" i="2187"/>
  <c r="S124" i="2187"/>
  <c r="S116" i="2187"/>
  <c r="S127" i="2187" s="1"/>
  <c r="S122" i="2187"/>
  <c r="Z114" i="2191"/>
  <c r="Z123" i="2191"/>
  <c r="O114" i="2189"/>
  <c r="O123" i="2189"/>
  <c r="AB114" i="2188"/>
  <c r="AB123" i="2188"/>
  <c r="T135" i="2191"/>
  <c r="T136" i="2191" s="1"/>
  <c r="T139" i="2191" s="1"/>
  <c r="AK114" i="2188"/>
  <c r="AK123" i="2188"/>
  <c r="AD114" i="2191"/>
  <c r="AD123" i="2191"/>
  <c r="AG135" i="2192"/>
  <c r="AG136" i="2192" s="1"/>
  <c r="AG139" i="2192" s="1"/>
  <c r="AA135" i="2190"/>
  <c r="AA136" i="2190" s="1"/>
  <c r="AA138" i="2190" s="1"/>
  <c r="AA140" i="2190" s="1"/>
  <c r="AJ135" i="2191"/>
  <c r="AJ136" i="2191" s="1"/>
  <c r="AJ139" i="2191" s="1"/>
  <c r="T114" i="2189"/>
  <c r="T123" i="2189"/>
  <c r="AQ114" i="2189"/>
  <c r="AQ123" i="2189"/>
  <c r="I141" i="2191"/>
  <c r="I124" i="2191"/>
  <c r="I122" i="2191"/>
  <c r="I116" i="2191"/>
  <c r="I127" i="2191" s="1"/>
  <c r="I141" i="2192"/>
  <c r="I124" i="2192"/>
  <c r="I122" i="2192"/>
  <c r="I116" i="2192"/>
  <c r="I127" i="2192" s="1"/>
  <c r="O126" i="2187"/>
  <c r="O128" i="2187" s="1"/>
  <c r="Z114" i="2188"/>
  <c r="Z123" i="2188"/>
  <c r="AO114" i="2188"/>
  <c r="AO123" i="2188"/>
  <c r="Q126" i="2189"/>
  <c r="Q128" i="2189" s="1"/>
  <c r="K114" i="2190"/>
  <c r="K123" i="2190"/>
  <c r="AC124" i="2190"/>
  <c r="AC122" i="2190"/>
  <c r="J133" i="2187"/>
  <c r="AE126" i="2187"/>
  <c r="AE128" i="2187" s="1"/>
  <c r="N141" i="2187"/>
  <c r="N124" i="2187"/>
  <c r="N116" i="2187"/>
  <c r="N127" i="2187" s="1"/>
  <c r="N122" i="2187"/>
  <c r="U122" i="2189"/>
  <c r="U124" i="2189"/>
  <c r="U116" i="2189"/>
  <c r="U127" i="2189" s="1"/>
  <c r="H133" i="2190"/>
  <c r="M123" i="2191"/>
  <c r="M114" i="2191"/>
  <c r="R114" i="2191"/>
  <c r="R123" i="2191"/>
  <c r="G133" i="2192"/>
  <c r="H135" i="2192"/>
  <c r="AE114" i="2188"/>
  <c r="AE123" i="2188"/>
  <c r="F141" i="2192"/>
  <c r="F122" i="2192"/>
  <c r="F124" i="2192"/>
  <c r="F116" i="2192"/>
  <c r="F127" i="2192" s="1"/>
  <c r="AC114" i="2188"/>
  <c r="AC123" i="2188"/>
  <c r="R133" i="2190"/>
  <c r="N133" i="2189"/>
  <c r="AR114" i="2188"/>
  <c r="AR123" i="2188"/>
  <c r="Q136" i="2187"/>
  <c r="F141" i="2188"/>
  <c r="F124" i="2188"/>
  <c r="F116" i="2188"/>
  <c r="F127" i="2188" s="1"/>
  <c r="E141" i="2190"/>
  <c r="E124" i="2190"/>
  <c r="E122" i="2190"/>
  <c r="E116" i="2190"/>
  <c r="E127" i="2190" s="1"/>
  <c r="M141" i="2192"/>
  <c r="M124" i="2192"/>
  <c r="M116" i="2192"/>
  <c r="M127" i="2192" s="1"/>
  <c r="M122" i="2192"/>
  <c r="AI114" i="2189"/>
  <c r="AI123" i="2189"/>
  <c r="L114" i="2189"/>
  <c r="L123" i="2189"/>
  <c r="O141" i="2190"/>
  <c r="O124" i="2190"/>
  <c r="O116" i="2190"/>
  <c r="O127" i="2190" s="1"/>
  <c r="O122" i="2190"/>
  <c r="AO135" i="2192"/>
  <c r="AO136" i="2192" s="1"/>
  <c r="AO139" i="2192" s="1"/>
  <c r="AC124" i="2192"/>
  <c r="AC122" i="2192"/>
  <c r="C172" i="2189"/>
  <c r="D156" i="2189"/>
  <c r="AP114" i="2188"/>
  <c r="AP123" i="2188"/>
  <c r="R114" i="2188"/>
  <c r="R123" i="2188"/>
  <c r="F141" i="2187"/>
  <c r="F116" i="2187"/>
  <c r="F127" i="2187" s="1"/>
  <c r="F124" i="2187"/>
  <c r="F122" i="2187"/>
  <c r="AG114" i="2189"/>
  <c r="AG123" i="2189"/>
  <c r="AJ114" i="2190"/>
  <c r="AJ123" i="2190"/>
  <c r="AD123" i="2190"/>
  <c r="AD114" i="2190"/>
  <c r="N141" i="2192"/>
  <c r="N124" i="2192"/>
  <c r="N116" i="2192"/>
  <c r="N127" i="2192" s="1"/>
  <c r="N122" i="2192"/>
  <c r="O133" i="2187"/>
  <c r="R133" i="2187"/>
  <c r="AD124" i="2187"/>
  <c r="AD122" i="2187"/>
  <c r="I133" i="2190"/>
  <c r="P133" i="2190"/>
  <c r="AF126" i="2191"/>
  <c r="AF128" i="2191" s="1"/>
  <c r="N114" i="2191"/>
  <c r="N123" i="2191"/>
  <c r="AH114" i="2191"/>
  <c r="AH123" i="2191"/>
  <c r="AL122" i="2189"/>
  <c r="AL124" i="2189"/>
  <c r="U116" i="2187"/>
  <c r="U127" i="2187" s="1"/>
  <c r="U124" i="2187"/>
  <c r="U122" i="2187"/>
  <c r="P132" i="2188"/>
  <c r="H132" i="2188"/>
  <c r="P131" i="2188"/>
  <c r="H131" i="2188"/>
  <c r="O132" i="2188"/>
  <c r="G132" i="2188"/>
  <c r="O131" i="2188"/>
  <c r="G131" i="2188"/>
  <c r="D139" i="2188"/>
  <c r="L132" i="2188"/>
  <c r="L131" i="2188"/>
  <c r="S132" i="2188"/>
  <c r="K132" i="2188"/>
  <c r="S131" i="2188"/>
  <c r="K131" i="2188"/>
  <c r="R132" i="2188"/>
  <c r="E131" i="2188"/>
  <c r="E132" i="2188"/>
  <c r="Q132" i="2188"/>
  <c r="R131" i="2188"/>
  <c r="N132" i="2188"/>
  <c r="Q131" i="2188"/>
  <c r="M132" i="2188"/>
  <c r="N131" i="2188"/>
  <c r="J132" i="2188"/>
  <c r="M131" i="2188"/>
  <c r="F131" i="2188"/>
  <c r="I132" i="2188"/>
  <c r="J131" i="2188"/>
  <c r="F132" i="2188"/>
  <c r="I131" i="2188"/>
  <c r="AL124" i="2187"/>
  <c r="AL122" i="2187"/>
  <c r="Q141" i="2191"/>
  <c r="Q124" i="2191"/>
  <c r="Q116" i="2191"/>
  <c r="Q127" i="2191" s="1"/>
  <c r="Q122" i="2191"/>
  <c r="AL122" i="2188"/>
  <c r="AL124" i="2188"/>
  <c r="L114" i="2188"/>
  <c r="L123" i="2188"/>
  <c r="N114" i="2189"/>
  <c r="N123" i="2189"/>
  <c r="F123" i="2190"/>
  <c r="F114" i="2190"/>
  <c r="X114" i="2191"/>
  <c r="X123" i="2191"/>
  <c r="S114" i="2188"/>
  <c r="S123" i="2188"/>
  <c r="AP114" i="2190"/>
  <c r="AP123" i="2190"/>
  <c r="G126" i="2192"/>
  <c r="G128" i="2192" s="1"/>
  <c r="E141" i="2192"/>
  <c r="C175" i="2192"/>
  <c r="C174" i="2192"/>
  <c r="E124" i="2192"/>
  <c r="E116" i="2192"/>
  <c r="E127" i="2192" s="1"/>
  <c r="E122" i="2192"/>
  <c r="AJ114" i="2189"/>
  <c r="AJ123" i="2189"/>
  <c r="AB114" i="2189"/>
  <c r="AB123" i="2189"/>
  <c r="E141" i="2189"/>
  <c r="E122" i="2189"/>
  <c r="E116" i="2189"/>
  <c r="E127" i="2189" s="1"/>
  <c r="E124" i="2189"/>
  <c r="C174" i="2187"/>
  <c r="E124" i="2187"/>
  <c r="E116" i="2187"/>
  <c r="E127" i="2187" s="1"/>
  <c r="E141" i="2187"/>
  <c r="C175" i="2187"/>
  <c r="E122" i="2187"/>
  <c r="P126" i="2189"/>
  <c r="P128" i="2189" s="1"/>
  <c r="R141" i="2190"/>
  <c r="R122" i="2190"/>
  <c r="R124" i="2190"/>
  <c r="R116" i="2190"/>
  <c r="R127" i="2190" s="1"/>
  <c r="M114" i="2188"/>
  <c r="M123" i="2188"/>
  <c r="AH114" i="2188"/>
  <c r="AH123" i="2188"/>
  <c r="H123" i="2189"/>
  <c r="H114" i="2189"/>
  <c r="O132" i="2191"/>
  <c r="G132" i="2191"/>
  <c r="O131" i="2191"/>
  <c r="G131" i="2191"/>
  <c r="G135" i="2191" s="1"/>
  <c r="D139" i="2191"/>
  <c r="M132" i="2191"/>
  <c r="E132" i="2191"/>
  <c r="M131" i="2191"/>
  <c r="E131" i="2191"/>
  <c r="L132" i="2191"/>
  <c r="L131" i="2191"/>
  <c r="S132" i="2191"/>
  <c r="K132" i="2191"/>
  <c r="S131" i="2191"/>
  <c r="K131" i="2191"/>
  <c r="H132" i="2191"/>
  <c r="I131" i="2191"/>
  <c r="F132" i="2191"/>
  <c r="H131" i="2191"/>
  <c r="R132" i="2191"/>
  <c r="F131" i="2191"/>
  <c r="Q132" i="2191"/>
  <c r="R131" i="2191"/>
  <c r="P132" i="2191"/>
  <c r="Q131" i="2191"/>
  <c r="N132" i="2191"/>
  <c r="P131" i="2191"/>
  <c r="J132" i="2191"/>
  <c r="I132" i="2191"/>
  <c r="N131" i="2191"/>
  <c r="J131" i="2191"/>
  <c r="J114" i="2190"/>
  <c r="J123" i="2190"/>
  <c r="M123" i="2190"/>
  <c r="M114" i="2190"/>
  <c r="K135" i="2192"/>
  <c r="AG124" i="2191"/>
  <c r="AG122" i="2191"/>
  <c r="V124" i="2191"/>
  <c r="V122" i="2191"/>
  <c r="V116" i="2191"/>
  <c r="V127" i="2191" s="1"/>
  <c r="V123" i="2191"/>
  <c r="E133" i="2192"/>
  <c r="J133" i="2192"/>
  <c r="AK135" i="2192"/>
  <c r="AK136" i="2192" s="1"/>
  <c r="AK139" i="2192" s="1"/>
  <c r="P128" i="2174"/>
  <c r="I128" i="2174"/>
  <c r="I135" i="2174" s="1"/>
  <c r="E128" i="2174"/>
  <c r="R133" i="2178"/>
  <c r="H133" i="2178"/>
  <c r="AC139" i="2178"/>
  <c r="P133" i="2178"/>
  <c r="AE139" i="2177"/>
  <c r="G133" i="2175"/>
  <c r="R133" i="2175"/>
  <c r="H133" i="2175"/>
  <c r="J133" i="2175"/>
  <c r="L133" i="2175"/>
  <c r="O133" i="2174"/>
  <c r="AO139" i="2174"/>
  <c r="R133" i="2174"/>
  <c r="AQ139" i="2174"/>
  <c r="F133" i="2174"/>
  <c r="K133" i="2174"/>
  <c r="Z138" i="2174"/>
  <c r="Z140" i="2174" s="1"/>
  <c r="G133" i="2174"/>
  <c r="AC135" i="2184"/>
  <c r="AC136" i="2184" s="1"/>
  <c r="AC139" i="2184" s="1"/>
  <c r="AL135" i="2181"/>
  <c r="AL136" i="2181" s="1"/>
  <c r="AL139" i="2181" s="1"/>
  <c r="V135" i="2174"/>
  <c r="V136" i="2174" s="1"/>
  <c r="V139" i="2174" s="1"/>
  <c r="T135" i="2184"/>
  <c r="T136" i="2184" s="1"/>
  <c r="T139" i="2184" s="1"/>
  <c r="AE135" i="2176"/>
  <c r="AE136" i="2176" s="1"/>
  <c r="AE139" i="2176" s="1"/>
  <c r="W135" i="2174"/>
  <c r="W136" i="2174" s="1"/>
  <c r="W139" i="2174" s="1"/>
  <c r="Y135" i="2182"/>
  <c r="Y136" i="2182" s="1"/>
  <c r="Y139" i="2182" s="1"/>
  <c r="AJ135" i="2177"/>
  <c r="AJ136" i="2177" s="1"/>
  <c r="AJ138" i="2177" s="1"/>
  <c r="AJ140" i="2177" s="1"/>
  <c r="AK135" i="2177"/>
  <c r="AK136" i="2177" s="1"/>
  <c r="AK139" i="2177" s="1"/>
  <c r="P135" i="2174"/>
  <c r="W135" i="2176"/>
  <c r="W136" i="2176" s="1"/>
  <c r="W138" i="2176" s="1"/>
  <c r="W140" i="2176" s="1"/>
  <c r="AM135" i="2183"/>
  <c r="AM136" i="2183" s="1"/>
  <c r="AM139" i="2183" s="1"/>
  <c r="W135" i="2179"/>
  <c r="W136" i="2179" s="1"/>
  <c r="W138" i="2179" s="1"/>
  <c r="W140" i="2179" s="1"/>
  <c r="W135" i="2177"/>
  <c r="W136" i="2177" s="1"/>
  <c r="W138" i="2177" s="1"/>
  <c r="W140" i="2177" s="1"/>
  <c r="AE135" i="2175"/>
  <c r="AE136" i="2175" s="1"/>
  <c r="AE138" i="2175" s="1"/>
  <c r="AE140" i="2175" s="1"/>
  <c r="W135" i="2178"/>
  <c r="W136" i="2178" s="1"/>
  <c r="W138" i="2178" s="1"/>
  <c r="W140" i="2178" s="1"/>
  <c r="AJ135" i="2174"/>
  <c r="AJ136" i="2174" s="1"/>
  <c r="AJ138" i="2174" s="1"/>
  <c r="AJ140" i="2174" s="1"/>
  <c r="AC135" i="2179"/>
  <c r="AC136" i="2179" s="1"/>
  <c r="AC139" i="2179" s="1"/>
  <c r="Q135" i="2181"/>
  <c r="X135" i="2174"/>
  <c r="X136" i="2174" s="1"/>
  <c r="X139" i="2174" s="1"/>
  <c r="P135" i="2179"/>
  <c r="AR135" i="2184"/>
  <c r="AR136" i="2184" s="1"/>
  <c r="AR139" i="2184" s="1"/>
  <c r="U135" i="2185"/>
  <c r="U136" i="2185" s="1"/>
  <c r="U139" i="2185" s="1"/>
  <c r="AF135" i="2174"/>
  <c r="AF136" i="2174" s="1"/>
  <c r="AF139" i="2174" s="1"/>
  <c r="AR135" i="2177"/>
  <c r="AR136" i="2177" s="1"/>
  <c r="AR139" i="2177" s="1"/>
  <c r="J135" i="2175"/>
  <c r="E135" i="2174"/>
  <c r="AK135" i="2178"/>
  <c r="AK136" i="2178" s="1"/>
  <c r="AK138" i="2178" s="1"/>
  <c r="AK140" i="2178" s="1"/>
  <c r="AE135" i="2174"/>
  <c r="AE136" i="2174" s="1"/>
  <c r="AE138" i="2174" s="1"/>
  <c r="AE140" i="2174" s="1"/>
  <c r="AQ135" i="2179"/>
  <c r="AQ136" i="2179" s="1"/>
  <c r="AQ139" i="2179" s="1"/>
  <c r="AF135" i="2177"/>
  <c r="AF136" i="2177" s="1"/>
  <c r="AF139" i="2177" s="1"/>
  <c r="Z135" i="2186"/>
  <c r="Z136" i="2186" s="1"/>
  <c r="Z139" i="2186" s="1"/>
  <c r="AR135" i="2175"/>
  <c r="AR136" i="2175" s="1"/>
  <c r="AR139" i="2175" s="1"/>
  <c r="AG135" i="2174"/>
  <c r="AG136" i="2174" s="1"/>
  <c r="AG138" i="2174" s="1"/>
  <c r="AG140" i="2174" s="1"/>
  <c r="I135" i="2175"/>
  <c r="AI114" i="2182"/>
  <c r="AI123" i="2182"/>
  <c r="V124" i="2185"/>
  <c r="V122" i="2185"/>
  <c r="V126" i="2185" s="1"/>
  <c r="V116" i="2185"/>
  <c r="V127" i="2185" s="1"/>
  <c r="AD124" i="2181"/>
  <c r="AD122" i="2181"/>
  <c r="AG114" i="2182"/>
  <c r="AG123" i="2182"/>
  <c r="V135" i="2175"/>
  <c r="V136" i="2175" s="1"/>
  <c r="V139" i="2175" s="1"/>
  <c r="P114" i="2176"/>
  <c r="P123" i="2176"/>
  <c r="X135" i="2179"/>
  <c r="X136" i="2179" s="1"/>
  <c r="X139" i="2179" s="1"/>
  <c r="I135" i="2179"/>
  <c r="C175" i="2179"/>
  <c r="C174" i="2179"/>
  <c r="E141" i="2179"/>
  <c r="E124" i="2179"/>
  <c r="E122" i="2179"/>
  <c r="E116" i="2179"/>
  <c r="E127" i="2179" s="1"/>
  <c r="E133" i="2181"/>
  <c r="N114" i="2186"/>
  <c r="N123" i="2186"/>
  <c r="O114" i="2176"/>
  <c r="O123" i="2176"/>
  <c r="AI114" i="2180"/>
  <c r="AI123" i="2180"/>
  <c r="AP124" i="2181"/>
  <c r="AP122" i="2181"/>
  <c r="AP126" i="2181" s="1"/>
  <c r="AP128" i="2181" s="1"/>
  <c r="AC124" i="2181"/>
  <c r="AC122" i="2181"/>
  <c r="AA122" i="2184"/>
  <c r="AA124" i="2184"/>
  <c r="AL114" i="2182"/>
  <c r="AL123" i="2182"/>
  <c r="AE122" i="2185"/>
  <c r="AE124" i="2185"/>
  <c r="AM135" i="2174"/>
  <c r="AM136" i="2174" s="1"/>
  <c r="AM139" i="2174" s="1"/>
  <c r="AM135" i="2175"/>
  <c r="AM136" i="2175" s="1"/>
  <c r="AM138" i="2175" s="1"/>
  <c r="AM140" i="2175" s="1"/>
  <c r="AA124" i="2175"/>
  <c r="AA122" i="2175"/>
  <c r="T135" i="2182"/>
  <c r="T136" i="2182" s="1"/>
  <c r="T139" i="2182" s="1"/>
  <c r="J114" i="2186"/>
  <c r="J123" i="2186"/>
  <c r="T135" i="2177"/>
  <c r="T136" i="2177" s="1"/>
  <c r="T139" i="2177" s="1"/>
  <c r="AD114" i="2180"/>
  <c r="AD123" i="2180"/>
  <c r="C172" i="2178"/>
  <c r="D156" i="2178"/>
  <c r="AM123" i="2180"/>
  <c r="AM114" i="2180"/>
  <c r="G114" i="2180"/>
  <c r="G123" i="2180"/>
  <c r="AN135" i="2181"/>
  <c r="AN136" i="2181" s="1"/>
  <c r="AN138" i="2181" s="1"/>
  <c r="AN140" i="2181" s="1"/>
  <c r="AA114" i="2182"/>
  <c r="AA123" i="2182"/>
  <c r="Q114" i="2182"/>
  <c r="Q123" i="2182"/>
  <c r="M141" i="2183"/>
  <c r="M124" i="2183"/>
  <c r="M116" i="2183"/>
  <c r="M127" i="2183" s="1"/>
  <c r="M122" i="2183"/>
  <c r="M126" i="2183" s="1"/>
  <c r="AC135" i="2177"/>
  <c r="AC136" i="2177" s="1"/>
  <c r="AC139" i="2177" s="1"/>
  <c r="R114" i="2183"/>
  <c r="R123" i="2183"/>
  <c r="J141" i="2185"/>
  <c r="J124" i="2185"/>
  <c r="J122" i="2185"/>
  <c r="J116" i="2185"/>
  <c r="J127" i="2185" s="1"/>
  <c r="AL123" i="2186"/>
  <c r="AL114" i="2186"/>
  <c r="J114" i="2176"/>
  <c r="J123" i="2176"/>
  <c r="AM124" i="2178"/>
  <c r="AM122" i="2178"/>
  <c r="AM126" i="2178" s="1"/>
  <c r="AM128" i="2178" s="1"/>
  <c r="V135" i="2178"/>
  <c r="V136" i="2178" s="1"/>
  <c r="V138" i="2178" s="1"/>
  <c r="V140" i="2178" s="1"/>
  <c r="F114" i="2183"/>
  <c r="F123" i="2183"/>
  <c r="G133" i="2183"/>
  <c r="G114" i="2186"/>
  <c r="G123" i="2186"/>
  <c r="S136" i="2174"/>
  <c r="S139" i="2174" s="1"/>
  <c r="Y126" i="2175"/>
  <c r="Y128" i="2175" s="1"/>
  <c r="AN114" i="2176"/>
  <c r="AN123" i="2176"/>
  <c r="L114" i="2176"/>
  <c r="L123" i="2176"/>
  <c r="R114" i="2176"/>
  <c r="R123" i="2176"/>
  <c r="AL124" i="2177"/>
  <c r="AL122" i="2177"/>
  <c r="AL126" i="2177" s="1"/>
  <c r="AL128" i="2177" s="1"/>
  <c r="AB124" i="2179"/>
  <c r="AB122" i="2179"/>
  <c r="AB126" i="2179" s="1"/>
  <c r="AB128" i="2179" s="1"/>
  <c r="K135" i="2179"/>
  <c r="I126" i="2178"/>
  <c r="I128" i="2178" s="1"/>
  <c r="F141" i="2178"/>
  <c r="F124" i="2178"/>
  <c r="F122" i="2178"/>
  <c r="F116" i="2178"/>
  <c r="F127" i="2178" s="1"/>
  <c r="C172" i="2179"/>
  <c r="D156" i="2179"/>
  <c r="F135" i="2174"/>
  <c r="AL138" i="2175"/>
  <c r="AL140" i="2175" s="1"/>
  <c r="Y135" i="2179"/>
  <c r="Y136" i="2179" s="1"/>
  <c r="Y139" i="2179" s="1"/>
  <c r="J114" i="2180"/>
  <c r="J123" i="2180"/>
  <c r="P135" i="2181"/>
  <c r="AE114" i="2183"/>
  <c r="AE123" i="2183"/>
  <c r="I135" i="2181"/>
  <c r="T126" i="2175"/>
  <c r="T128" i="2175" s="1"/>
  <c r="R135" i="2179"/>
  <c r="Q114" i="2186"/>
  <c r="Q123" i="2186"/>
  <c r="S126" i="2176"/>
  <c r="S128" i="2176" s="1"/>
  <c r="H128" i="2178"/>
  <c r="AR114" i="2180"/>
  <c r="AR123" i="2180"/>
  <c r="C172" i="2183"/>
  <c r="D156" i="2183"/>
  <c r="AJ126" i="2175"/>
  <c r="AJ128" i="2175" s="1"/>
  <c r="N141" i="2177"/>
  <c r="N124" i="2177"/>
  <c r="N116" i="2177"/>
  <c r="N127" i="2177" s="1"/>
  <c r="N122" i="2177"/>
  <c r="AL124" i="2178"/>
  <c r="AL122" i="2178"/>
  <c r="X123" i="2180"/>
  <c r="AD114" i="2182"/>
  <c r="AD123" i="2182"/>
  <c r="AO114" i="2182"/>
  <c r="AO123" i="2182"/>
  <c r="AP124" i="2186"/>
  <c r="AP122" i="2186"/>
  <c r="AP126" i="2186" s="1"/>
  <c r="AP128" i="2186" s="1"/>
  <c r="L114" i="2183"/>
  <c r="L123" i="2183"/>
  <c r="AD124" i="2186"/>
  <c r="AD122" i="2186"/>
  <c r="AD126" i="2186" s="1"/>
  <c r="AD128" i="2186" s="1"/>
  <c r="M135" i="2186"/>
  <c r="AH114" i="2182"/>
  <c r="AH123" i="2182"/>
  <c r="AP135" i="2179"/>
  <c r="AP136" i="2179" s="1"/>
  <c r="AP138" i="2179" s="1"/>
  <c r="AP140" i="2179" s="1"/>
  <c r="J135" i="2181"/>
  <c r="V116" i="2181"/>
  <c r="V127" i="2181" s="1"/>
  <c r="V124" i="2181"/>
  <c r="V122" i="2181"/>
  <c r="V126" i="2181" s="1"/>
  <c r="U124" i="2183"/>
  <c r="U122" i="2183"/>
  <c r="U116" i="2183"/>
  <c r="U127" i="2183" s="1"/>
  <c r="Z114" i="2183"/>
  <c r="Z123" i="2183"/>
  <c r="AG114" i="2183"/>
  <c r="AG123" i="2183"/>
  <c r="I126" i="2185"/>
  <c r="I128" i="2185" s="1"/>
  <c r="R141" i="2184"/>
  <c r="R116" i="2184"/>
  <c r="R127" i="2184" s="1"/>
  <c r="R122" i="2184"/>
  <c r="R124" i="2184"/>
  <c r="U135" i="2174"/>
  <c r="U136" i="2174" s="1"/>
  <c r="U139" i="2174" s="1"/>
  <c r="N126" i="2175"/>
  <c r="N128" i="2175" s="1"/>
  <c r="AN124" i="2175"/>
  <c r="AN122" i="2175"/>
  <c r="C175" i="2177"/>
  <c r="C174" i="2177"/>
  <c r="E141" i="2177"/>
  <c r="E124" i="2177"/>
  <c r="E116" i="2177"/>
  <c r="E127" i="2177" s="1"/>
  <c r="E122" i="2177"/>
  <c r="AF135" i="2178"/>
  <c r="AF136" i="2178" s="1"/>
  <c r="AF138" i="2178" s="1"/>
  <c r="AF140" i="2178" s="1"/>
  <c r="AK114" i="2180"/>
  <c r="AK123" i="2180"/>
  <c r="W116" i="2181"/>
  <c r="W127" i="2181" s="1"/>
  <c r="W122" i="2181"/>
  <c r="W124" i="2181"/>
  <c r="L132" i="2180"/>
  <c r="L131" i="2180"/>
  <c r="S132" i="2180"/>
  <c r="K132" i="2180"/>
  <c r="S131" i="2180"/>
  <c r="S133" i="2180" s="1"/>
  <c r="K131" i="2180"/>
  <c r="K133" i="2180" s="1"/>
  <c r="R132" i="2180"/>
  <c r="J132" i="2180"/>
  <c r="R131" i="2180"/>
  <c r="R133" i="2180" s="1"/>
  <c r="J131" i="2180"/>
  <c r="P132" i="2180"/>
  <c r="H132" i="2180"/>
  <c r="P131" i="2180"/>
  <c r="H131" i="2180"/>
  <c r="H133" i="2180" s="1"/>
  <c r="O132" i="2180"/>
  <c r="G132" i="2180"/>
  <c r="O131" i="2180"/>
  <c r="O133" i="2180" s="1"/>
  <c r="G131" i="2180"/>
  <c r="Q131" i="2180"/>
  <c r="Q132" i="2180"/>
  <c r="N131" i="2180"/>
  <c r="N132" i="2180"/>
  <c r="M131" i="2180"/>
  <c r="D139" i="2180"/>
  <c r="M132" i="2180"/>
  <c r="I131" i="2180"/>
  <c r="I133" i="2180" s="1"/>
  <c r="I132" i="2180"/>
  <c r="F131" i="2180"/>
  <c r="F132" i="2180"/>
  <c r="E131" i="2180"/>
  <c r="E132" i="2180"/>
  <c r="D140" i="2180"/>
  <c r="W114" i="2182"/>
  <c r="W123" i="2182"/>
  <c r="P126" i="2183"/>
  <c r="P128" i="2183" s="1"/>
  <c r="Z122" i="2184"/>
  <c r="Z124" i="2184"/>
  <c r="F114" i="2182"/>
  <c r="F123" i="2182"/>
  <c r="AL135" i="2185"/>
  <c r="AL136" i="2185" s="1"/>
  <c r="AL139" i="2185" s="1"/>
  <c r="R132" i="2185"/>
  <c r="J132" i="2185"/>
  <c r="R131" i="2185"/>
  <c r="R133" i="2185" s="1"/>
  <c r="J131" i="2185"/>
  <c r="Q132" i="2185"/>
  <c r="I132" i="2185"/>
  <c r="Q131" i="2185"/>
  <c r="Q135" i="2185" s="1"/>
  <c r="I131" i="2185"/>
  <c r="P132" i="2185"/>
  <c r="H132" i="2185"/>
  <c r="P131" i="2185"/>
  <c r="P133" i="2185" s="1"/>
  <c r="H131" i="2185"/>
  <c r="D139" i="2185"/>
  <c r="M132" i="2185"/>
  <c r="E132" i="2185"/>
  <c r="M131" i="2185"/>
  <c r="E131" i="2185"/>
  <c r="N132" i="2185"/>
  <c r="N131" i="2185"/>
  <c r="L132" i="2185"/>
  <c r="L131" i="2185"/>
  <c r="L133" i="2185" s="1"/>
  <c r="K132" i="2185"/>
  <c r="K131" i="2185"/>
  <c r="G132" i="2185"/>
  <c r="G131" i="2185"/>
  <c r="F132" i="2185"/>
  <c r="F131" i="2185"/>
  <c r="O131" i="2185"/>
  <c r="S132" i="2185"/>
  <c r="S131" i="2185"/>
  <c r="O132" i="2185"/>
  <c r="P114" i="2186"/>
  <c r="P123" i="2186"/>
  <c r="O114" i="2186"/>
  <c r="O123" i="2186"/>
  <c r="W114" i="2186"/>
  <c r="W123" i="2186"/>
  <c r="T124" i="2176"/>
  <c r="T122" i="2176"/>
  <c r="T126" i="2176" s="1"/>
  <c r="T116" i="2176"/>
  <c r="T127" i="2176" s="1"/>
  <c r="AF114" i="2176"/>
  <c r="AF123" i="2176"/>
  <c r="Z114" i="2176"/>
  <c r="Z123" i="2176"/>
  <c r="AN135" i="2178"/>
  <c r="AN136" i="2178" s="1"/>
  <c r="AN139" i="2178" s="1"/>
  <c r="W135" i="2184"/>
  <c r="W136" i="2184" s="1"/>
  <c r="W139" i="2184" s="1"/>
  <c r="AG135" i="2175"/>
  <c r="AG136" i="2175" s="1"/>
  <c r="AG138" i="2175" s="1"/>
  <c r="AG140" i="2175" s="1"/>
  <c r="H135" i="2179"/>
  <c r="T135" i="2179"/>
  <c r="T136" i="2179" s="1"/>
  <c r="T138" i="2179" s="1"/>
  <c r="T140" i="2179" s="1"/>
  <c r="AR114" i="2182"/>
  <c r="AR123" i="2182"/>
  <c r="S141" i="2175"/>
  <c r="S124" i="2175"/>
  <c r="S116" i="2175"/>
  <c r="S127" i="2175" s="1"/>
  <c r="S122" i="2175"/>
  <c r="AR135" i="2178"/>
  <c r="AR136" i="2178" s="1"/>
  <c r="AR139" i="2178" s="1"/>
  <c r="X116" i="2180"/>
  <c r="X127" i="2180" s="1"/>
  <c r="X122" i="2180"/>
  <c r="X124" i="2180"/>
  <c r="Z114" i="2182"/>
  <c r="Z123" i="2182"/>
  <c r="AM114" i="2185"/>
  <c r="AM123" i="2185"/>
  <c r="AO124" i="2184"/>
  <c r="AO122" i="2184"/>
  <c r="AM135" i="2184"/>
  <c r="AM136" i="2184" s="1"/>
  <c r="AM138" i="2184" s="1"/>
  <c r="AM140" i="2184" s="1"/>
  <c r="N141" i="2185"/>
  <c r="N124" i="2185"/>
  <c r="N116" i="2185"/>
  <c r="N127" i="2185" s="1"/>
  <c r="N122" i="2185"/>
  <c r="N126" i="2185" s="1"/>
  <c r="S132" i="2176"/>
  <c r="K132" i="2176"/>
  <c r="S131" i="2176"/>
  <c r="K131" i="2176"/>
  <c r="K133" i="2176" s="1"/>
  <c r="R132" i="2176"/>
  <c r="J132" i="2176"/>
  <c r="R131" i="2176"/>
  <c r="J131" i="2176"/>
  <c r="Q132" i="2176"/>
  <c r="I132" i="2176"/>
  <c r="Q131" i="2176"/>
  <c r="I131" i="2176"/>
  <c r="I133" i="2176" s="1"/>
  <c r="P132" i="2176"/>
  <c r="H132" i="2176"/>
  <c r="P131" i="2176"/>
  <c r="H131" i="2176"/>
  <c r="O132" i="2176"/>
  <c r="G132" i="2176"/>
  <c r="O131" i="2176"/>
  <c r="G131" i="2176"/>
  <c r="N132" i="2176"/>
  <c r="F132" i="2176"/>
  <c r="N131" i="2176"/>
  <c r="F131" i="2176"/>
  <c r="D139" i="2176"/>
  <c r="M132" i="2176"/>
  <c r="E132" i="2176"/>
  <c r="M131" i="2176"/>
  <c r="M133" i="2176" s="1"/>
  <c r="E131" i="2176"/>
  <c r="L132" i="2176"/>
  <c r="L131" i="2176"/>
  <c r="K126" i="2176"/>
  <c r="K128" i="2176" s="1"/>
  <c r="X135" i="2177"/>
  <c r="X136" i="2177" s="1"/>
  <c r="X138" i="2177" s="1"/>
  <c r="X140" i="2177" s="1"/>
  <c r="D155" i="2180"/>
  <c r="E114" i="2180"/>
  <c r="E123" i="2180"/>
  <c r="AC114" i="2186"/>
  <c r="AC123" i="2186"/>
  <c r="AG135" i="2178"/>
  <c r="AG136" i="2178" s="1"/>
  <c r="AG139" i="2178" s="1"/>
  <c r="AO138" i="2179"/>
  <c r="AO140" i="2179" s="1"/>
  <c r="S114" i="2180"/>
  <c r="S123" i="2180"/>
  <c r="AF139" i="2181"/>
  <c r="E141" i="2183"/>
  <c r="E124" i="2183"/>
  <c r="E122" i="2183"/>
  <c r="E116" i="2183"/>
  <c r="E127" i="2183" s="1"/>
  <c r="AH135" i="2185"/>
  <c r="AH136" i="2185" s="1"/>
  <c r="AH138" i="2185" s="1"/>
  <c r="AH140" i="2185" s="1"/>
  <c r="AC126" i="2175"/>
  <c r="AC128" i="2175" s="1"/>
  <c r="K133" i="2175"/>
  <c r="F133" i="2175"/>
  <c r="AQ124" i="2175"/>
  <c r="AQ122" i="2175"/>
  <c r="AB135" i="2177"/>
  <c r="AB136" i="2177" s="1"/>
  <c r="AB138" i="2177" s="1"/>
  <c r="AB140" i="2177" s="1"/>
  <c r="O141" i="2178"/>
  <c r="O116" i="2178"/>
  <c r="O127" i="2178" s="1"/>
  <c r="O122" i="2178"/>
  <c r="O124" i="2178"/>
  <c r="G114" i="2182"/>
  <c r="G123" i="2182"/>
  <c r="J114" i="2182"/>
  <c r="J123" i="2182"/>
  <c r="AD124" i="2183"/>
  <c r="AD122" i="2183"/>
  <c r="Y124" i="2185"/>
  <c r="Y122" i="2185"/>
  <c r="N141" i="2176"/>
  <c r="N124" i="2176"/>
  <c r="N122" i="2176"/>
  <c r="N116" i="2176"/>
  <c r="N127" i="2176" s="1"/>
  <c r="AK135" i="2175"/>
  <c r="AK136" i="2175" s="1"/>
  <c r="AK138" i="2175" s="1"/>
  <c r="AK140" i="2175" s="1"/>
  <c r="V124" i="2177"/>
  <c r="V116" i="2177"/>
  <c r="V127" i="2177" s="1"/>
  <c r="V122" i="2177"/>
  <c r="AC122" i="2183"/>
  <c r="AC124" i="2183"/>
  <c r="J141" i="2184"/>
  <c r="J116" i="2184"/>
  <c r="J127" i="2184" s="1"/>
  <c r="J124" i="2184"/>
  <c r="J122" i="2184"/>
  <c r="AC114" i="2176"/>
  <c r="AC123" i="2176"/>
  <c r="AH114" i="2183"/>
  <c r="AH123" i="2183"/>
  <c r="AH124" i="2184"/>
  <c r="AH122" i="2184"/>
  <c r="AH126" i="2184" s="1"/>
  <c r="AH128" i="2184" s="1"/>
  <c r="AF124" i="2184"/>
  <c r="AF122" i="2184"/>
  <c r="T114" i="2180"/>
  <c r="T123" i="2180"/>
  <c r="X122" i="2182"/>
  <c r="X124" i="2182"/>
  <c r="X116" i="2182"/>
  <c r="X127" i="2182" s="1"/>
  <c r="G116" i="2183"/>
  <c r="G127" i="2183" s="1"/>
  <c r="G141" i="2183"/>
  <c r="G122" i="2183"/>
  <c r="G124" i="2183"/>
  <c r="AK135" i="2185"/>
  <c r="AK136" i="2185" s="1"/>
  <c r="AK138" i="2185" s="1"/>
  <c r="AK140" i="2185" s="1"/>
  <c r="AJ114" i="2186"/>
  <c r="AJ123" i="2186"/>
  <c r="R114" i="2186"/>
  <c r="R123" i="2186"/>
  <c r="U114" i="2176"/>
  <c r="U123" i="2176"/>
  <c r="AJ122" i="2179"/>
  <c r="AJ124" i="2179"/>
  <c r="L133" i="2181"/>
  <c r="P126" i="2177"/>
  <c r="P128" i="2177" s="1"/>
  <c r="AB114" i="2185"/>
  <c r="AB123" i="2185"/>
  <c r="P124" i="2184"/>
  <c r="P141" i="2184"/>
  <c r="P122" i="2184"/>
  <c r="P116" i="2184"/>
  <c r="P127" i="2184" s="1"/>
  <c r="AB123" i="2182"/>
  <c r="AB114" i="2182"/>
  <c r="M126" i="2175"/>
  <c r="M128" i="2175" s="1"/>
  <c r="D140" i="2176"/>
  <c r="Y126" i="2178"/>
  <c r="Y128" i="2178" s="1"/>
  <c r="AA114" i="2180"/>
  <c r="AA123" i="2180"/>
  <c r="P124" i="2175"/>
  <c r="P141" i="2175"/>
  <c r="P116" i="2175"/>
  <c r="P127" i="2175" s="1"/>
  <c r="P122" i="2175"/>
  <c r="P126" i="2175" s="1"/>
  <c r="L132" i="2177"/>
  <c r="L131" i="2177"/>
  <c r="L135" i="2177" s="1"/>
  <c r="S132" i="2177"/>
  <c r="K132" i="2177"/>
  <c r="R132" i="2177"/>
  <c r="J132" i="2177"/>
  <c r="R131" i="2177"/>
  <c r="J131" i="2177"/>
  <c r="Q132" i="2177"/>
  <c r="I132" i="2177"/>
  <c r="Q131" i="2177"/>
  <c r="Q135" i="2177" s="1"/>
  <c r="I131" i="2177"/>
  <c r="P132" i="2177"/>
  <c r="H132" i="2177"/>
  <c r="P131" i="2177"/>
  <c r="P133" i="2177" s="1"/>
  <c r="H131" i="2177"/>
  <c r="H133" i="2177" s="1"/>
  <c r="O132" i="2177"/>
  <c r="G132" i="2177"/>
  <c r="O131" i="2177"/>
  <c r="G131" i="2177"/>
  <c r="D139" i="2177"/>
  <c r="M132" i="2177"/>
  <c r="E132" i="2177"/>
  <c r="M131" i="2177"/>
  <c r="E131" i="2177"/>
  <c r="K131" i="2177"/>
  <c r="F131" i="2177"/>
  <c r="N132" i="2177"/>
  <c r="F132" i="2177"/>
  <c r="S131" i="2177"/>
  <c r="N131" i="2177"/>
  <c r="AG114" i="2180"/>
  <c r="AG123" i="2180"/>
  <c r="AR122" i="2181"/>
  <c r="AR124" i="2181"/>
  <c r="V135" i="2183"/>
  <c r="V136" i="2183" s="1"/>
  <c r="V138" i="2183" s="1"/>
  <c r="V140" i="2183" s="1"/>
  <c r="S133" i="2175"/>
  <c r="AA126" i="2176"/>
  <c r="AA128" i="2176" s="1"/>
  <c r="AH138" i="2179"/>
  <c r="AH140" i="2179" s="1"/>
  <c r="AE114" i="2182"/>
  <c r="AE123" i="2182"/>
  <c r="V114" i="2182"/>
  <c r="V123" i="2182"/>
  <c r="AP122" i="2184"/>
  <c r="AP124" i="2184"/>
  <c r="AL138" i="2174"/>
  <c r="AL140" i="2174" s="1"/>
  <c r="AA114" i="2183"/>
  <c r="AA123" i="2183"/>
  <c r="AG135" i="2179"/>
  <c r="AG136" i="2179" s="1"/>
  <c r="AG138" i="2179" s="1"/>
  <c r="AG140" i="2179" s="1"/>
  <c r="G135" i="2179"/>
  <c r="X135" i="2184"/>
  <c r="X136" i="2184" s="1"/>
  <c r="X139" i="2184" s="1"/>
  <c r="F135" i="2175"/>
  <c r="P133" i="2179"/>
  <c r="AL114" i="2183"/>
  <c r="AL123" i="2183"/>
  <c r="P114" i="2182"/>
  <c r="P123" i="2182"/>
  <c r="AM114" i="2186"/>
  <c r="AM123" i="2186"/>
  <c r="I123" i="2176"/>
  <c r="I114" i="2176"/>
  <c r="H123" i="2186"/>
  <c r="H114" i="2186"/>
  <c r="N141" i="2178"/>
  <c r="N124" i="2178"/>
  <c r="N122" i="2178"/>
  <c r="N126" i="2178" s="1"/>
  <c r="N116" i="2178"/>
  <c r="N127" i="2178" s="1"/>
  <c r="H126" i="2174"/>
  <c r="H128" i="2174" s="1"/>
  <c r="AF124" i="2175"/>
  <c r="AF122" i="2175"/>
  <c r="AI114" i="2176"/>
  <c r="AI123" i="2176"/>
  <c r="AP114" i="2180"/>
  <c r="AP123" i="2180"/>
  <c r="AN114" i="2183"/>
  <c r="AN123" i="2183"/>
  <c r="K114" i="2183"/>
  <c r="K123" i="2183"/>
  <c r="AI114" i="2183"/>
  <c r="AI123" i="2183"/>
  <c r="AF114" i="2185"/>
  <c r="AF123" i="2185"/>
  <c r="X114" i="2186"/>
  <c r="X123" i="2186"/>
  <c r="AG114" i="2186"/>
  <c r="AG123" i="2186"/>
  <c r="G128" i="2174"/>
  <c r="G135" i="2175"/>
  <c r="AH114" i="2180"/>
  <c r="AH123" i="2180"/>
  <c r="AJ135" i="2184"/>
  <c r="AJ136" i="2184" s="1"/>
  <c r="AJ139" i="2184" s="1"/>
  <c r="X114" i="2185"/>
  <c r="X123" i="2185"/>
  <c r="AI135" i="2184"/>
  <c r="AI136" i="2184" s="1"/>
  <c r="AI138" i="2184" s="1"/>
  <c r="AI140" i="2184" s="1"/>
  <c r="F133" i="2183"/>
  <c r="W116" i="2183"/>
  <c r="W127" i="2183" s="1"/>
  <c r="W124" i="2183"/>
  <c r="W122" i="2183"/>
  <c r="AE114" i="2186"/>
  <c r="AE123" i="2186"/>
  <c r="X114" i="2176"/>
  <c r="X123" i="2176"/>
  <c r="Q123" i="2176"/>
  <c r="Q114" i="2176"/>
  <c r="AP114" i="2176"/>
  <c r="AP123" i="2176"/>
  <c r="L114" i="2180"/>
  <c r="L123" i="2180"/>
  <c r="AP135" i="2175"/>
  <c r="AP136" i="2175" s="1"/>
  <c r="AP138" i="2175" s="1"/>
  <c r="AP140" i="2175" s="1"/>
  <c r="K141" i="2175"/>
  <c r="K124" i="2175"/>
  <c r="K116" i="2175"/>
  <c r="K127" i="2175" s="1"/>
  <c r="K122" i="2175"/>
  <c r="F126" i="2179"/>
  <c r="F128" i="2179" s="1"/>
  <c r="U114" i="2180"/>
  <c r="U123" i="2180"/>
  <c r="J133" i="2181"/>
  <c r="H128" i="2181"/>
  <c r="T126" i="2181"/>
  <c r="T128" i="2181" s="1"/>
  <c r="U123" i="2183"/>
  <c r="N133" i="2178"/>
  <c r="M133" i="2178"/>
  <c r="Q126" i="2178"/>
  <c r="Q128" i="2178" s="1"/>
  <c r="M141" i="2179"/>
  <c r="M122" i="2179"/>
  <c r="M124" i="2179"/>
  <c r="M116" i="2179"/>
  <c r="M127" i="2179" s="1"/>
  <c r="AJ114" i="2182"/>
  <c r="AJ123" i="2182"/>
  <c r="F114" i="2185"/>
  <c r="F123" i="2185"/>
  <c r="Y114" i="2186"/>
  <c r="Y123" i="2186"/>
  <c r="N141" i="2183"/>
  <c r="N124" i="2183"/>
  <c r="N122" i="2183"/>
  <c r="N116" i="2183"/>
  <c r="N127" i="2183" s="1"/>
  <c r="M126" i="2178"/>
  <c r="M128" i="2178" s="1"/>
  <c r="AO123" i="2180"/>
  <c r="AO114" i="2180"/>
  <c r="AE122" i="2181"/>
  <c r="AE124" i="2181"/>
  <c r="H114" i="2180"/>
  <c r="H123" i="2180"/>
  <c r="F133" i="2186"/>
  <c r="AK124" i="2179"/>
  <c r="AK122" i="2179"/>
  <c r="AC114" i="2182"/>
  <c r="AC123" i="2182"/>
  <c r="H114" i="2182"/>
  <c r="H123" i="2182"/>
  <c r="AF114" i="2182"/>
  <c r="AF123" i="2182"/>
  <c r="K126" i="2186"/>
  <c r="K128" i="2186" s="1"/>
  <c r="AL138" i="2184"/>
  <c r="AL140" i="2184" s="1"/>
  <c r="J114" i="2183"/>
  <c r="J123" i="2183"/>
  <c r="F114" i="2176"/>
  <c r="F123" i="2176"/>
  <c r="AC114" i="2180"/>
  <c r="AC123" i="2180"/>
  <c r="M133" i="2181"/>
  <c r="Q114" i="2180"/>
  <c r="Q123" i="2180"/>
  <c r="U114" i="2182"/>
  <c r="U123" i="2182"/>
  <c r="Q114" i="2183"/>
  <c r="Q123" i="2183"/>
  <c r="Y114" i="2183"/>
  <c r="Y123" i="2183"/>
  <c r="G114" i="2185"/>
  <c r="C175" i="2185" s="1"/>
  <c r="G123" i="2185"/>
  <c r="I141" i="2184"/>
  <c r="I124" i="2184"/>
  <c r="I122" i="2184"/>
  <c r="I116" i="2184"/>
  <c r="I127" i="2184" s="1"/>
  <c r="AR114" i="2186"/>
  <c r="AR123" i="2186"/>
  <c r="M135" i="2181"/>
  <c r="I123" i="2180"/>
  <c r="I114" i="2180"/>
  <c r="N114" i="2180"/>
  <c r="N123" i="2180"/>
  <c r="AO126" i="2181"/>
  <c r="AO128" i="2181" s="1"/>
  <c r="C174" i="2181"/>
  <c r="E141" i="2181"/>
  <c r="C175" i="2181"/>
  <c r="E116" i="2181"/>
  <c r="E127" i="2181" s="1"/>
  <c r="E124" i="2181"/>
  <c r="E122" i="2181"/>
  <c r="AC114" i="2185"/>
  <c r="AC123" i="2185"/>
  <c r="C175" i="2184"/>
  <c r="C174" i="2184"/>
  <c r="E141" i="2184"/>
  <c r="E116" i="2184"/>
  <c r="E127" i="2184" s="1"/>
  <c r="E122" i="2184"/>
  <c r="E126" i="2184" s="1"/>
  <c r="E124" i="2184"/>
  <c r="I126" i="2186"/>
  <c r="I128" i="2186" s="1"/>
  <c r="O126" i="2184"/>
  <c r="O128" i="2184" s="1"/>
  <c r="R141" i="2185"/>
  <c r="R124" i="2185"/>
  <c r="R122" i="2185"/>
  <c r="R116" i="2185"/>
  <c r="R127" i="2185" s="1"/>
  <c r="AH114" i="2186"/>
  <c r="AH123" i="2186"/>
  <c r="Y124" i="2184"/>
  <c r="Y122" i="2184"/>
  <c r="O136" i="2175"/>
  <c r="O139" i="2175" s="1"/>
  <c r="U124" i="2177"/>
  <c r="U116" i="2177"/>
  <c r="U127" i="2177" s="1"/>
  <c r="U122" i="2177"/>
  <c r="D155" i="2176"/>
  <c r="E114" i="2176"/>
  <c r="E123" i="2176"/>
  <c r="Y123" i="2176"/>
  <c r="Y114" i="2176"/>
  <c r="AJ114" i="2176"/>
  <c r="AJ123" i="2176"/>
  <c r="U135" i="2179"/>
  <c r="U136" i="2179" s="1"/>
  <c r="U139" i="2179" s="1"/>
  <c r="Z114" i="2180"/>
  <c r="Z123" i="2180"/>
  <c r="L114" i="2186"/>
  <c r="L123" i="2186"/>
  <c r="AI135" i="2177"/>
  <c r="AI136" i="2177" s="1"/>
  <c r="AI139" i="2177" s="1"/>
  <c r="AQ114" i="2180"/>
  <c r="AQ123" i="2180"/>
  <c r="P133" i="2181"/>
  <c r="AF126" i="2183"/>
  <c r="AF128" i="2183" s="1"/>
  <c r="AI126" i="2186"/>
  <c r="AI128" i="2186" s="1"/>
  <c r="AO126" i="2175"/>
  <c r="AO128" i="2175" s="1"/>
  <c r="C175" i="2175"/>
  <c r="E141" i="2175"/>
  <c r="E124" i="2175"/>
  <c r="C174" i="2175"/>
  <c r="E116" i="2175"/>
  <c r="E127" i="2175" s="1"/>
  <c r="E122" i="2175"/>
  <c r="E126" i="2175" s="1"/>
  <c r="Z135" i="2177"/>
  <c r="Z136" i="2177" s="1"/>
  <c r="Z139" i="2177" s="1"/>
  <c r="O133" i="2178"/>
  <c r="N126" i="2179"/>
  <c r="N128" i="2179" s="1"/>
  <c r="AR124" i="2179"/>
  <c r="AR122" i="2179"/>
  <c r="AA126" i="2179"/>
  <c r="AA128" i="2179" s="1"/>
  <c r="AQ122" i="2181"/>
  <c r="AQ124" i="2181"/>
  <c r="AA114" i="2185"/>
  <c r="AA123" i="2185"/>
  <c r="AK114" i="2186"/>
  <c r="AK123" i="2186"/>
  <c r="AJ122" i="2181"/>
  <c r="AJ124" i="2181"/>
  <c r="H124" i="2175"/>
  <c r="H141" i="2175"/>
  <c r="H116" i="2175"/>
  <c r="H127" i="2175" s="1"/>
  <c r="H122" i="2175"/>
  <c r="V126" i="2179"/>
  <c r="V128" i="2179" s="1"/>
  <c r="P114" i="2180"/>
  <c r="P123" i="2180"/>
  <c r="U126" i="2175"/>
  <c r="U128" i="2175" s="1"/>
  <c r="AD138" i="2179"/>
  <c r="AD140" i="2179" s="1"/>
  <c r="AD124" i="2178"/>
  <c r="AD122" i="2178"/>
  <c r="AD126" i="2178" s="1"/>
  <c r="AD128" i="2178" s="1"/>
  <c r="O141" i="2182"/>
  <c r="O116" i="2182"/>
  <c r="O127" i="2182" s="1"/>
  <c r="O122" i="2182"/>
  <c r="O124" i="2182"/>
  <c r="S133" i="2186"/>
  <c r="E133" i="2174"/>
  <c r="N133" i="2174"/>
  <c r="P133" i="2174"/>
  <c r="S133" i="2174"/>
  <c r="S138" i="2174" s="1"/>
  <c r="S140" i="2174" s="1"/>
  <c r="M133" i="2175"/>
  <c r="K126" i="2177"/>
  <c r="K128" i="2177" s="1"/>
  <c r="AJ114" i="2180"/>
  <c r="AJ123" i="2180"/>
  <c r="O114" i="2180"/>
  <c r="O123" i="2180"/>
  <c r="O128" i="2181"/>
  <c r="L114" i="2182"/>
  <c r="L123" i="2182"/>
  <c r="AM114" i="2182"/>
  <c r="AM123" i="2182"/>
  <c r="AP114" i="2182"/>
  <c r="AP123" i="2182"/>
  <c r="O141" i="2185"/>
  <c r="O124" i="2185"/>
  <c r="O122" i="2185"/>
  <c r="O116" i="2185"/>
  <c r="O127" i="2185" s="1"/>
  <c r="Q141" i="2184"/>
  <c r="Q124" i="2184"/>
  <c r="Q122" i="2184"/>
  <c r="Q116" i="2184"/>
  <c r="Q127" i="2184" s="1"/>
  <c r="AR124" i="2183"/>
  <c r="AR122" i="2183"/>
  <c r="AR126" i="2183" s="1"/>
  <c r="AR128" i="2183" s="1"/>
  <c r="L141" i="2179"/>
  <c r="L124" i="2179"/>
  <c r="L122" i="2179"/>
  <c r="L126" i="2179" s="1"/>
  <c r="L116" i="2179"/>
  <c r="L127" i="2179" s="1"/>
  <c r="AQ114" i="2186"/>
  <c r="AQ123" i="2186"/>
  <c r="AE122" i="2178"/>
  <c r="AE124" i="2178"/>
  <c r="S114" i="2183"/>
  <c r="S123" i="2183"/>
  <c r="D155" i="2182"/>
  <c r="E114" i="2182"/>
  <c r="E123" i="2182"/>
  <c r="Z135" i="2175"/>
  <c r="Z136" i="2175" s="1"/>
  <c r="Z139" i="2175" s="1"/>
  <c r="AG135" i="2181"/>
  <c r="AG136" i="2181" s="1"/>
  <c r="AG139" i="2181" s="1"/>
  <c r="L141" i="2181"/>
  <c r="L122" i="2181"/>
  <c r="L116" i="2181"/>
  <c r="L127" i="2181" s="1"/>
  <c r="L124" i="2181"/>
  <c r="C172" i="2177"/>
  <c r="D156" i="2177"/>
  <c r="R135" i="2181"/>
  <c r="X126" i="2183"/>
  <c r="X128" i="2183" s="1"/>
  <c r="AH135" i="2175"/>
  <c r="AH136" i="2175" s="1"/>
  <c r="AH138" i="2175" s="1"/>
  <c r="AH140" i="2175" s="1"/>
  <c r="K141" i="2181"/>
  <c r="K122" i="2181"/>
  <c r="K124" i="2181"/>
  <c r="K116" i="2181"/>
  <c r="K127" i="2181" s="1"/>
  <c r="X126" i="2178"/>
  <c r="X128" i="2178" s="1"/>
  <c r="AA124" i="2181"/>
  <c r="AA122" i="2181"/>
  <c r="Q128" i="2174"/>
  <c r="G126" i="2176"/>
  <c r="G128" i="2176" s="1"/>
  <c r="H133" i="2179"/>
  <c r="E133" i="2179"/>
  <c r="O133" i="2179"/>
  <c r="R133" i="2179"/>
  <c r="AE114" i="2180"/>
  <c r="AE123" i="2180"/>
  <c r="AH124" i="2181"/>
  <c r="AH122" i="2181"/>
  <c r="K114" i="2182"/>
  <c r="K123" i="2182"/>
  <c r="K126" i="2184"/>
  <c r="K128" i="2184" s="1"/>
  <c r="AO114" i="2183"/>
  <c r="AO123" i="2183"/>
  <c r="AQ114" i="2183"/>
  <c r="AQ123" i="2183"/>
  <c r="Z123" i="2185"/>
  <c r="Z114" i="2185"/>
  <c r="AF114" i="2186"/>
  <c r="AF123" i="2186"/>
  <c r="X123" i="2182"/>
  <c r="AQ114" i="2176"/>
  <c r="AQ123" i="2176"/>
  <c r="AD124" i="2177"/>
  <c r="AD122" i="2177"/>
  <c r="AL114" i="2180"/>
  <c r="AL123" i="2180"/>
  <c r="N126" i="2181"/>
  <c r="N128" i="2181" s="1"/>
  <c r="C172" i="2181"/>
  <c r="D156" i="2181"/>
  <c r="AD114" i="2185"/>
  <c r="AD123" i="2185"/>
  <c r="C172" i="2184"/>
  <c r="D156" i="2184"/>
  <c r="Z135" i="2181"/>
  <c r="Z136" i="2181" s="1"/>
  <c r="Z139" i="2181" s="1"/>
  <c r="Q132" i="2184"/>
  <c r="I132" i="2184"/>
  <c r="Q131" i="2184"/>
  <c r="I131" i="2184"/>
  <c r="P132" i="2184"/>
  <c r="H132" i="2184"/>
  <c r="P131" i="2184"/>
  <c r="H131" i="2184"/>
  <c r="O132" i="2184"/>
  <c r="G132" i="2184"/>
  <c r="O131" i="2184"/>
  <c r="G131" i="2184"/>
  <c r="N132" i="2184"/>
  <c r="F132" i="2184"/>
  <c r="N131" i="2184"/>
  <c r="F131" i="2184"/>
  <c r="D139" i="2184"/>
  <c r="M132" i="2184"/>
  <c r="E132" i="2184"/>
  <c r="M131" i="2184"/>
  <c r="E131" i="2184"/>
  <c r="S131" i="2184"/>
  <c r="S135" i="2184" s="1"/>
  <c r="R131" i="2184"/>
  <c r="S132" i="2184"/>
  <c r="L131" i="2184"/>
  <c r="R132" i="2184"/>
  <c r="K131" i="2184"/>
  <c r="J131" i="2184"/>
  <c r="L132" i="2184"/>
  <c r="K132" i="2184"/>
  <c r="J132" i="2184"/>
  <c r="D140" i="2185"/>
  <c r="F123" i="2186"/>
  <c r="F114" i="2186"/>
  <c r="O128" i="2177"/>
  <c r="M114" i="2176"/>
  <c r="M123" i="2176"/>
  <c r="AB114" i="2176"/>
  <c r="AB123" i="2176"/>
  <c r="AG123" i="2176"/>
  <c r="AG114" i="2176"/>
  <c r="AR114" i="2176"/>
  <c r="AR123" i="2176"/>
  <c r="O135" i="2179"/>
  <c r="AN114" i="2180"/>
  <c r="AN123" i="2180"/>
  <c r="AD126" i="2175"/>
  <c r="AD128" i="2175" s="1"/>
  <c r="AD126" i="2176"/>
  <c r="AD128" i="2176" s="1"/>
  <c r="AN135" i="2179"/>
  <c r="AN136" i="2179" s="1"/>
  <c r="AN138" i="2179" s="1"/>
  <c r="AN140" i="2179" s="1"/>
  <c r="J135" i="2178"/>
  <c r="R114" i="2180"/>
  <c r="R123" i="2180"/>
  <c r="I133" i="2181"/>
  <c r="N133" i="2181"/>
  <c r="AQ135" i="2184"/>
  <c r="AQ136" i="2184" s="1"/>
  <c r="AQ139" i="2184" s="1"/>
  <c r="L128" i="2175"/>
  <c r="C172" i="2175"/>
  <c r="D156" i="2175"/>
  <c r="V114" i="2176"/>
  <c r="V123" i="2176"/>
  <c r="Q133" i="2178"/>
  <c r="S133" i="2178"/>
  <c r="J135" i="2179"/>
  <c r="AB124" i="2181"/>
  <c r="AB122" i="2181"/>
  <c r="M126" i="2184"/>
  <c r="M128" i="2184" s="1"/>
  <c r="T114" i="2186"/>
  <c r="T123" i="2186"/>
  <c r="AG124" i="2184"/>
  <c r="AG122" i="2184"/>
  <c r="AI126" i="2179"/>
  <c r="AI128" i="2179" s="1"/>
  <c r="AI124" i="2181"/>
  <c r="AI122" i="2181"/>
  <c r="U126" i="2184"/>
  <c r="U128" i="2184" s="1"/>
  <c r="G141" i="2178"/>
  <c r="G122" i="2178"/>
  <c r="G124" i="2178"/>
  <c r="G116" i="2178"/>
  <c r="G127" i="2178" s="1"/>
  <c r="N133" i="2186"/>
  <c r="E133" i="2186"/>
  <c r="X126" i="2175"/>
  <c r="X128" i="2175" s="1"/>
  <c r="O133" i="2175"/>
  <c r="I133" i="2175"/>
  <c r="K114" i="2180"/>
  <c r="K123" i="2180"/>
  <c r="V114" i="2180"/>
  <c r="V123" i="2180"/>
  <c r="R114" i="2182"/>
  <c r="R123" i="2182"/>
  <c r="I114" i="2182"/>
  <c r="I123" i="2182"/>
  <c r="AK126" i="2184"/>
  <c r="AK128" i="2184" s="1"/>
  <c r="E141" i="2185"/>
  <c r="E124" i="2185"/>
  <c r="E116" i="2185"/>
  <c r="E127" i="2185" s="1"/>
  <c r="E122" i="2185"/>
  <c r="AP135" i="2185"/>
  <c r="AP136" i="2185" s="1"/>
  <c r="AP139" i="2185" s="1"/>
  <c r="AN124" i="2186"/>
  <c r="AN122" i="2186"/>
  <c r="H135" i="2185"/>
  <c r="K135" i="2185"/>
  <c r="AO114" i="2186"/>
  <c r="AO123" i="2186"/>
  <c r="M114" i="2182"/>
  <c r="M123" i="2182"/>
  <c r="D140" i="2184"/>
  <c r="AD135" i="2174"/>
  <c r="AD136" i="2174" s="1"/>
  <c r="AD139" i="2174" s="1"/>
  <c r="R128" i="2175"/>
  <c r="AB114" i="2180"/>
  <c r="AB123" i="2180"/>
  <c r="AN122" i="2184"/>
  <c r="AN124" i="2184"/>
  <c r="M133" i="2183"/>
  <c r="O135" i="2174"/>
  <c r="AH114" i="2176"/>
  <c r="AH123" i="2176"/>
  <c r="F114" i="2180"/>
  <c r="F123" i="2180"/>
  <c r="AQ114" i="2182"/>
  <c r="AQ123" i="2182"/>
  <c r="H128" i="2183"/>
  <c r="AM114" i="2176"/>
  <c r="AM123" i="2176"/>
  <c r="N114" i="2182"/>
  <c r="N123" i="2182"/>
  <c r="AP114" i="2183"/>
  <c r="AP123" i="2183"/>
  <c r="I114" i="2183"/>
  <c r="C175" i="2183" s="1"/>
  <c r="I123" i="2183"/>
  <c r="AI114" i="2185"/>
  <c r="AI123" i="2185"/>
  <c r="E114" i="2186"/>
  <c r="D155" i="2186"/>
  <c r="E123" i="2186"/>
  <c r="O141" i="2183"/>
  <c r="O116" i="2183"/>
  <c r="O127" i="2183" s="1"/>
  <c r="O124" i="2183"/>
  <c r="O122" i="2183"/>
  <c r="Q126" i="2175"/>
  <c r="Q128" i="2175" s="1"/>
  <c r="AA126" i="2177"/>
  <c r="AA128" i="2177" s="1"/>
  <c r="AQ123" i="2185"/>
  <c r="AQ114" i="2185"/>
  <c r="V126" i="2184"/>
  <c r="V128" i="2184" s="1"/>
  <c r="AK124" i="2183"/>
  <c r="AK122" i="2183"/>
  <c r="V123" i="2186"/>
  <c r="V114" i="2186"/>
  <c r="AK114" i="2176"/>
  <c r="AK123" i="2176"/>
  <c r="H114" i="2176"/>
  <c r="H123" i="2176"/>
  <c r="AO123" i="2176"/>
  <c r="AO114" i="2176"/>
  <c r="W135" i="2175"/>
  <c r="W136" i="2175" s="1"/>
  <c r="W139" i="2175" s="1"/>
  <c r="AQ126" i="2177"/>
  <c r="AQ128" i="2177" s="1"/>
  <c r="Q135" i="2179"/>
  <c r="AF114" i="2180"/>
  <c r="AF123" i="2180"/>
  <c r="Q133" i="2181"/>
  <c r="F133" i="2181"/>
  <c r="U126" i="2181"/>
  <c r="U128" i="2181" s="1"/>
  <c r="AB114" i="2186"/>
  <c r="AB123" i="2186"/>
  <c r="AL126" i="2176"/>
  <c r="AL128" i="2176" s="1"/>
  <c r="AE135" i="2179"/>
  <c r="AE136" i="2179" s="1"/>
  <c r="AE139" i="2179" s="1"/>
  <c r="M114" i="2180"/>
  <c r="M123" i="2180"/>
  <c r="AE135" i="2184"/>
  <c r="AE136" i="2184" s="1"/>
  <c r="AE139" i="2184" s="1"/>
  <c r="T135" i="2185"/>
  <c r="T136" i="2185" s="1"/>
  <c r="T139" i="2185" s="1"/>
  <c r="AK122" i="2181"/>
  <c r="AK124" i="2181"/>
  <c r="H141" i="2184"/>
  <c r="H124" i="2184"/>
  <c r="H116" i="2184"/>
  <c r="H127" i="2184" s="1"/>
  <c r="H122" i="2184"/>
  <c r="N126" i="2174"/>
  <c r="N128" i="2174" s="1"/>
  <c r="AM135" i="2179"/>
  <c r="AM136" i="2179" s="1"/>
  <c r="AM138" i="2179" s="1"/>
  <c r="AM140" i="2179" s="1"/>
  <c r="S114" i="2186"/>
  <c r="S123" i="2186"/>
  <c r="AI124" i="2175"/>
  <c r="AI122" i="2175"/>
  <c r="AI126" i="2175" s="1"/>
  <c r="AI128" i="2175" s="1"/>
  <c r="D140" i="2177"/>
  <c r="F141" i="2177"/>
  <c r="F124" i="2177"/>
  <c r="F122" i="2177"/>
  <c r="F116" i="2177"/>
  <c r="F127" i="2177" s="1"/>
  <c r="E141" i="2178"/>
  <c r="C175" i="2178"/>
  <c r="C174" i="2178"/>
  <c r="E124" i="2178"/>
  <c r="E116" i="2178"/>
  <c r="E127" i="2178" s="1"/>
  <c r="E122" i="2178"/>
  <c r="E126" i="2178" s="1"/>
  <c r="AK122" i="2182"/>
  <c r="AK126" i="2182" s="1"/>
  <c r="AK128" i="2182" s="1"/>
  <c r="AK124" i="2182"/>
  <c r="F141" i="2181"/>
  <c r="F116" i="2181"/>
  <c r="F127" i="2181" s="1"/>
  <c r="F122" i="2181"/>
  <c r="F124" i="2181"/>
  <c r="M133" i="2186"/>
  <c r="H133" i="2186"/>
  <c r="Q133" i="2175"/>
  <c r="Y123" i="2180"/>
  <c r="Y114" i="2180"/>
  <c r="W114" i="2180"/>
  <c r="W123" i="2180"/>
  <c r="S122" i="2181"/>
  <c r="S124" i="2181"/>
  <c r="S141" i="2181"/>
  <c r="S116" i="2181"/>
  <c r="S127" i="2181" s="1"/>
  <c r="S114" i="2182"/>
  <c r="S123" i="2182"/>
  <c r="AN114" i="2182"/>
  <c r="AN123" i="2182"/>
  <c r="D156" i="2185"/>
  <c r="C172" i="2185"/>
  <c r="AA124" i="2186"/>
  <c r="AA122" i="2186"/>
  <c r="AA126" i="2186" s="1"/>
  <c r="AA128" i="2186" s="1"/>
  <c r="F21" i="149"/>
  <c r="F22" i="149"/>
  <c r="F23" i="149"/>
  <c r="F24" i="149"/>
  <c r="F25" i="149"/>
  <c r="F26" i="149"/>
  <c r="F27" i="149"/>
  <c r="F20" i="149"/>
  <c r="F18" i="149"/>
  <c r="F17" i="149"/>
  <c r="F16" i="149"/>
  <c r="F15" i="149"/>
  <c r="F14" i="149"/>
  <c r="F13" i="149"/>
  <c r="Q11" i="65"/>
  <c r="Q21" i="65"/>
  <c r="Q22" i="65"/>
  <c r="R20" i="65"/>
  <c r="Q24" i="65"/>
  <c r="Q23" i="65"/>
  <c r="Q10" i="65"/>
  <c r="R27" i="65"/>
  <c r="Q25" i="65"/>
  <c r="Q8" i="65"/>
  <c r="R9" i="65"/>
  <c r="U122" i="2186" l="1"/>
  <c r="U124" i="2186"/>
  <c r="M133" i="2189"/>
  <c r="P141" i="2185"/>
  <c r="P122" i="2185"/>
  <c r="P126" i="2185" s="1"/>
  <c r="P128" i="2185" s="1"/>
  <c r="P116" i="2185"/>
  <c r="P127" i="2185" s="1"/>
  <c r="P124" i="2185"/>
  <c r="AO124" i="2185"/>
  <c r="AO122" i="2185"/>
  <c r="AN126" i="2184"/>
  <c r="AN128" i="2184" s="1"/>
  <c r="N133" i="2184"/>
  <c r="AJ138" i="2184"/>
  <c r="AJ140" i="2184" s="1"/>
  <c r="G141" i="2184"/>
  <c r="G116" i="2184"/>
  <c r="G127" i="2184" s="1"/>
  <c r="G124" i="2184"/>
  <c r="G122" i="2184"/>
  <c r="G126" i="2184" s="1"/>
  <c r="AQ126" i="2181"/>
  <c r="AQ128" i="2181" s="1"/>
  <c r="AC126" i="2181"/>
  <c r="AC128" i="2181" s="1"/>
  <c r="F126" i="2181"/>
  <c r="AK126" i="2181"/>
  <c r="AK128" i="2181" s="1"/>
  <c r="AK126" i="2179"/>
  <c r="AK128" i="2179" s="1"/>
  <c r="AL126" i="2178"/>
  <c r="AL128" i="2178" s="1"/>
  <c r="AB139" i="2177"/>
  <c r="E126" i="2177"/>
  <c r="G133" i="2176"/>
  <c r="N126" i="2176"/>
  <c r="S126" i="2175"/>
  <c r="AF126" i="2175"/>
  <c r="AF128" i="2175" s="1"/>
  <c r="AQ126" i="2175"/>
  <c r="AQ128" i="2175" s="1"/>
  <c r="AQ135" i="2175" s="1"/>
  <c r="AQ136" i="2175" s="1"/>
  <c r="AQ139" i="2175" s="1"/>
  <c r="AP124" i="2174"/>
  <c r="AP122" i="2174"/>
  <c r="AP126" i="2174" s="1"/>
  <c r="AP128" i="2174" s="1"/>
  <c r="AA124" i="2174"/>
  <c r="AA122" i="2174"/>
  <c r="J124" i="2174"/>
  <c r="J141" i="2174"/>
  <c r="J122" i="2174"/>
  <c r="J116" i="2174"/>
  <c r="J127" i="2174" s="1"/>
  <c r="C174" i="2174"/>
  <c r="C175" i="2174"/>
  <c r="L141" i="2174"/>
  <c r="L116" i="2174"/>
  <c r="L127" i="2174" s="1"/>
  <c r="L124" i="2174"/>
  <c r="L122" i="2174"/>
  <c r="AI124" i="2174"/>
  <c r="AI122" i="2174"/>
  <c r="AB124" i="2174"/>
  <c r="AB122" i="2174"/>
  <c r="AR124" i="2174"/>
  <c r="AR122" i="2174"/>
  <c r="K122" i="2174"/>
  <c r="K126" i="2174" s="1"/>
  <c r="K116" i="2174"/>
  <c r="K127" i="2174" s="1"/>
  <c r="K124" i="2174"/>
  <c r="K141" i="2174"/>
  <c r="AH124" i="2174"/>
  <c r="AH126" i="2174" s="1"/>
  <c r="AH128" i="2174" s="1"/>
  <c r="AH122" i="2174"/>
  <c r="T124" i="2174"/>
  <c r="T122" i="2174"/>
  <c r="T116" i="2174"/>
  <c r="T127" i="2174" s="1"/>
  <c r="M141" i="2174"/>
  <c r="M124" i="2174"/>
  <c r="M116" i="2174"/>
  <c r="M127" i="2174" s="1"/>
  <c r="M122" i="2174"/>
  <c r="R116" i="2174"/>
  <c r="R127" i="2174" s="1"/>
  <c r="R124" i="2174"/>
  <c r="R141" i="2174"/>
  <c r="R122" i="2174"/>
  <c r="R126" i="2174" s="1"/>
  <c r="R128" i="2174" s="1"/>
  <c r="R135" i="2174" s="1"/>
  <c r="AC122" i="2174"/>
  <c r="AC124" i="2174"/>
  <c r="AK122" i="2174"/>
  <c r="AK126" i="2174" s="1"/>
  <c r="AK128" i="2174" s="1"/>
  <c r="AK135" i="2174" s="1"/>
  <c r="AK136" i="2174" s="1"/>
  <c r="AK139" i="2174" s="1"/>
  <c r="AK124" i="2174"/>
  <c r="AN124" i="2174"/>
  <c r="AN122" i="2174"/>
  <c r="L133" i="2184"/>
  <c r="R133" i="2184"/>
  <c r="G133" i="2185"/>
  <c r="T138" i="2185"/>
  <c r="T140" i="2185" s="1"/>
  <c r="AQ138" i="2184"/>
  <c r="AQ140" i="2184" s="1"/>
  <c r="P133" i="2180"/>
  <c r="N133" i="2180"/>
  <c r="AI138" i="2178"/>
  <c r="AI140" i="2178" s="1"/>
  <c r="AQ122" i="2178"/>
  <c r="AQ124" i="2178"/>
  <c r="AH122" i="2178"/>
  <c r="AH124" i="2178"/>
  <c r="AB122" i="2178"/>
  <c r="AB124" i="2178"/>
  <c r="AA124" i="2178"/>
  <c r="AA122" i="2178"/>
  <c r="AA126" i="2178" s="1"/>
  <c r="AA128" i="2178" s="1"/>
  <c r="AA135" i="2178" s="1"/>
  <c r="AA136" i="2178" s="1"/>
  <c r="AA139" i="2178" s="1"/>
  <c r="AF139" i="2178"/>
  <c r="Z122" i="2178"/>
  <c r="Z124" i="2178"/>
  <c r="U139" i="2178"/>
  <c r="T126" i="2178"/>
  <c r="T128" i="2178" s="1"/>
  <c r="S141" i="2178"/>
  <c r="S124" i="2178"/>
  <c r="S122" i="2178"/>
  <c r="S116" i="2178"/>
  <c r="S127" i="2178" s="1"/>
  <c r="AJ122" i="2178"/>
  <c r="AJ124" i="2178"/>
  <c r="K141" i="2178"/>
  <c r="K124" i="2178"/>
  <c r="K122" i="2178"/>
  <c r="K126" i="2178" s="1"/>
  <c r="K116" i="2178"/>
  <c r="K127" i="2178" s="1"/>
  <c r="AP122" i="2178"/>
  <c r="AP124" i="2178"/>
  <c r="N128" i="2178"/>
  <c r="V139" i="2178"/>
  <c r="R122" i="2178"/>
  <c r="R141" i="2178"/>
  <c r="R116" i="2178"/>
  <c r="R127" i="2178" s="1"/>
  <c r="R124" i="2178"/>
  <c r="AK139" i="2178"/>
  <c r="AO122" i="2178"/>
  <c r="AO124" i="2178"/>
  <c r="L141" i="2178"/>
  <c r="L124" i="2178"/>
  <c r="L116" i="2178"/>
  <c r="L127" i="2178" s="1"/>
  <c r="L122" i="2178"/>
  <c r="L126" i="2178" s="1"/>
  <c r="L128" i="2178" s="1"/>
  <c r="L135" i="2178" s="1"/>
  <c r="E128" i="2178"/>
  <c r="M133" i="2177"/>
  <c r="J133" i="2177"/>
  <c r="N133" i="2177"/>
  <c r="E128" i="2177"/>
  <c r="AJ139" i="2177"/>
  <c r="W139" i="2177"/>
  <c r="AG124" i="2177"/>
  <c r="AG126" i="2177" s="1"/>
  <c r="AG128" i="2177" s="1"/>
  <c r="AG122" i="2177"/>
  <c r="R133" i="2177"/>
  <c r="V126" i="2177"/>
  <c r="V128" i="2177" s="1"/>
  <c r="N126" i="2177"/>
  <c r="Y124" i="2177"/>
  <c r="Y122" i="2177"/>
  <c r="Y126" i="2177" s="1"/>
  <c r="Y128" i="2177" s="1"/>
  <c r="AM124" i="2177"/>
  <c r="AM122" i="2177"/>
  <c r="J141" i="2177"/>
  <c r="J116" i="2177"/>
  <c r="J127" i="2177" s="1"/>
  <c r="J122" i="2177"/>
  <c r="J124" i="2177"/>
  <c r="AP124" i="2177"/>
  <c r="AP122" i="2177"/>
  <c r="AO124" i="2177"/>
  <c r="AO122" i="2177"/>
  <c r="U126" i="2177"/>
  <c r="U128" i="2177" s="1"/>
  <c r="AN122" i="2177"/>
  <c r="AN124" i="2177"/>
  <c r="AH122" i="2177"/>
  <c r="AH124" i="2177"/>
  <c r="N128" i="2176"/>
  <c r="T128" i="2176"/>
  <c r="W139" i="2176"/>
  <c r="AK139" i="2175"/>
  <c r="AP139" i="2175"/>
  <c r="AG139" i="2175"/>
  <c r="P128" i="2175"/>
  <c r="P135" i="2175" s="1"/>
  <c r="AH139" i="2175"/>
  <c r="S128" i="2175"/>
  <c r="E128" i="2175"/>
  <c r="E135" i="2175" s="1"/>
  <c r="AJ139" i="2174"/>
  <c r="G133" i="2189"/>
  <c r="P133" i="2189"/>
  <c r="Q133" i="2189"/>
  <c r="V126" i="2188"/>
  <c r="I133" i="2189"/>
  <c r="G126" i="2188"/>
  <c r="G128" i="2188" s="1"/>
  <c r="G135" i="2188" s="1"/>
  <c r="AQ139" i="2192"/>
  <c r="K133" i="2191"/>
  <c r="AK126" i="2187"/>
  <c r="AK128" i="2187" s="1"/>
  <c r="AH139" i="2192"/>
  <c r="AK126" i="2191"/>
  <c r="AK128" i="2191" s="1"/>
  <c r="AM126" i="2188"/>
  <c r="AM128" i="2188" s="1"/>
  <c r="AM135" i="2188" s="1"/>
  <c r="AM136" i="2188" s="1"/>
  <c r="AM139" i="2188" s="1"/>
  <c r="K126" i="2188"/>
  <c r="K128" i="2188" s="1"/>
  <c r="K135" i="2188" s="1"/>
  <c r="N128" i="2185"/>
  <c r="E133" i="2185"/>
  <c r="P135" i="2185"/>
  <c r="P136" i="2185" s="1"/>
  <c r="AB138" i="2184"/>
  <c r="AB140" i="2184" s="1"/>
  <c r="P133" i="2184"/>
  <c r="T128" i="2183"/>
  <c r="T135" i="2183" s="1"/>
  <c r="T136" i="2183" s="1"/>
  <c r="T139" i="2183" s="1"/>
  <c r="AP139" i="2179"/>
  <c r="AG139" i="2179"/>
  <c r="X138" i="2179"/>
  <c r="X140" i="2179" s="1"/>
  <c r="U138" i="2179"/>
  <c r="U140" i="2179" s="1"/>
  <c r="AM139" i="2179"/>
  <c r="AC138" i="2179"/>
  <c r="AC140" i="2179" s="1"/>
  <c r="AG138" i="2187"/>
  <c r="AG140" i="2187" s="1"/>
  <c r="L133" i="2191"/>
  <c r="M133" i="2191"/>
  <c r="AA126" i="2188"/>
  <c r="AA128" i="2188" s="1"/>
  <c r="AA135" i="2188" s="1"/>
  <c r="AA136" i="2188" s="1"/>
  <c r="AA139" i="2188" s="1"/>
  <c r="AE126" i="2185"/>
  <c r="AE128" i="2185" s="1"/>
  <c r="AE135" i="2185" s="1"/>
  <c r="AE136" i="2185" s="1"/>
  <c r="AE139" i="2185" s="1"/>
  <c r="S122" i="2185"/>
  <c r="S141" i="2185"/>
  <c r="S116" i="2185"/>
  <c r="S127" i="2185" s="1"/>
  <c r="S124" i="2185"/>
  <c r="S126" i="2185" s="1"/>
  <c r="AH139" i="2185"/>
  <c r="AL138" i="2185"/>
  <c r="AL140" i="2185" s="1"/>
  <c r="S133" i="2185"/>
  <c r="AR124" i="2185"/>
  <c r="AR122" i="2185"/>
  <c r="AR126" i="2185" s="1"/>
  <c r="AR128" i="2185" s="1"/>
  <c r="V128" i="2185"/>
  <c r="V135" i="2185" s="1"/>
  <c r="V136" i="2185" s="1"/>
  <c r="V138" i="2185" s="1"/>
  <c r="V140" i="2185" s="1"/>
  <c r="AJ124" i="2185"/>
  <c r="AJ122" i="2185"/>
  <c r="AJ126" i="2185" s="1"/>
  <c r="AJ128" i="2185" s="1"/>
  <c r="AG126" i="2185"/>
  <c r="AG128" i="2185" s="1"/>
  <c r="AG135" i="2185" s="1"/>
  <c r="AG136" i="2185" s="1"/>
  <c r="AG139" i="2185" s="1"/>
  <c r="AK139" i="2185"/>
  <c r="O133" i="2185"/>
  <c r="AN124" i="2185"/>
  <c r="AN122" i="2185"/>
  <c r="Z126" i="2184"/>
  <c r="Z128" i="2184" s="1"/>
  <c r="AR138" i="2184"/>
  <c r="AR140" i="2184" s="1"/>
  <c r="F133" i="2184"/>
  <c r="H133" i="2184"/>
  <c r="AC138" i="2184"/>
  <c r="AC140" i="2184" s="1"/>
  <c r="AM139" i="2184"/>
  <c r="AG126" i="2184"/>
  <c r="AG128" i="2184" s="1"/>
  <c r="M133" i="2184"/>
  <c r="G133" i="2184"/>
  <c r="I133" i="2184"/>
  <c r="AO126" i="2184"/>
  <c r="AO128" i="2184" s="1"/>
  <c r="K133" i="2184"/>
  <c r="O133" i="2184"/>
  <c r="Q133" i="2184"/>
  <c r="D147" i="2184"/>
  <c r="AJ124" i="2183"/>
  <c r="AJ122" i="2183"/>
  <c r="AJ126" i="2183" s="1"/>
  <c r="AJ128" i="2183" s="1"/>
  <c r="M128" i="2183"/>
  <c r="AB124" i="2183"/>
  <c r="AB122" i="2183"/>
  <c r="AB126" i="2183" s="1"/>
  <c r="AB128" i="2183" s="1"/>
  <c r="V139" i="2183"/>
  <c r="T138" i="2182"/>
  <c r="T140" i="2182" s="1"/>
  <c r="AN139" i="2181"/>
  <c r="AD126" i="2181"/>
  <c r="AD128" i="2181" s="1"/>
  <c r="AD135" i="2181" s="1"/>
  <c r="AD136" i="2181" s="1"/>
  <c r="AD138" i="2181" s="1"/>
  <c r="AD140" i="2181" s="1"/>
  <c r="AM124" i="2181"/>
  <c r="AM122" i="2181"/>
  <c r="AM126" i="2181" s="1"/>
  <c r="AM128" i="2181" s="1"/>
  <c r="V128" i="2181"/>
  <c r="X139" i="2181"/>
  <c r="Y124" i="2181"/>
  <c r="Y122" i="2181"/>
  <c r="AA126" i="2181"/>
  <c r="AA128" i="2181" s="1"/>
  <c r="G122" i="2181"/>
  <c r="G116" i="2181"/>
  <c r="G127" i="2181" s="1"/>
  <c r="G124" i="2181"/>
  <c r="G141" i="2181"/>
  <c r="AL138" i="2181"/>
  <c r="AL140" i="2181" s="1"/>
  <c r="E133" i="2180"/>
  <c r="AI126" i="2187"/>
  <c r="AI128" i="2187" s="1"/>
  <c r="AI135" i="2187" s="1"/>
  <c r="AI136" i="2187" s="1"/>
  <c r="AI139" i="2187" s="1"/>
  <c r="AN139" i="2187"/>
  <c r="Y138" i="2187"/>
  <c r="Y140" i="2187" s="1"/>
  <c r="P133" i="2191"/>
  <c r="H133" i="2191"/>
  <c r="O133" i="2191"/>
  <c r="Q133" i="2191"/>
  <c r="V128" i="2188"/>
  <c r="V135" i="2188" s="1"/>
  <c r="V136" i="2188" s="1"/>
  <c r="V139" i="2188" s="1"/>
  <c r="W126" i="2188"/>
  <c r="W128" i="2188" s="1"/>
  <c r="W135" i="2188" s="1"/>
  <c r="W136" i="2188" s="1"/>
  <c r="W138" i="2188" s="1"/>
  <c r="W140" i="2188" s="1"/>
  <c r="AI126" i="2188"/>
  <c r="AI128" i="2188" s="1"/>
  <c r="AI135" i="2188" s="1"/>
  <c r="AI136" i="2188" s="1"/>
  <c r="AI139" i="2188" s="1"/>
  <c r="T126" i="2188"/>
  <c r="T128" i="2188" s="1"/>
  <c r="T135" i="2188" s="1"/>
  <c r="T136" i="2188" s="1"/>
  <c r="T139" i="2188" s="1"/>
  <c r="S133" i="2188"/>
  <c r="H126" i="2188"/>
  <c r="H128" i="2188" s="1"/>
  <c r="H135" i="2188" s="1"/>
  <c r="N126" i="2187"/>
  <c r="N128" i="2187" s="1"/>
  <c r="S126" i="2187"/>
  <c r="S128" i="2187" s="1"/>
  <c r="S135" i="2187" s="1"/>
  <c r="AH139" i="2187"/>
  <c r="AO138" i="2192"/>
  <c r="AO140" i="2192" s="1"/>
  <c r="AD126" i="2192"/>
  <c r="AD128" i="2192" s="1"/>
  <c r="AD135" i="2192" s="1"/>
  <c r="AD136" i="2192" s="1"/>
  <c r="AD139" i="2192" s="1"/>
  <c r="R126" i="2190"/>
  <c r="AC126" i="2190"/>
  <c r="AC128" i="2190" s="1"/>
  <c r="W138" i="2189"/>
  <c r="W140" i="2189" s="1"/>
  <c r="U126" i="2187"/>
  <c r="U128" i="2187" s="1"/>
  <c r="V138" i="2187"/>
  <c r="V140" i="2187" s="1"/>
  <c r="D147" i="2187"/>
  <c r="K126" i="2187"/>
  <c r="K128" i="2187" s="1"/>
  <c r="J138" i="2192"/>
  <c r="J140" i="2192" s="1"/>
  <c r="AJ139" i="2192"/>
  <c r="AG138" i="2192"/>
  <c r="AG140" i="2192" s="1"/>
  <c r="J133" i="2191"/>
  <c r="R133" i="2191"/>
  <c r="E126" i="2191"/>
  <c r="E128" i="2191" s="1"/>
  <c r="AM126" i="2190"/>
  <c r="AM128" i="2190" s="1"/>
  <c r="AM135" i="2190" s="1"/>
  <c r="AM136" i="2190" s="1"/>
  <c r="AM139" i="2190" s="1"/>
  <c r="AL126" i="2190"/>
  <c r="AL128" i="2190" s="1"/>
  <c r="AL135" i="2190" s="1"/>
  <c r="AL136" i="2190" s="1"/>
  <c r="AL139" i="2190" s="1"/>
  <c r="C175" i="2189"/>
  <c r="G126" i="2189"/>
  <c r="G128" i="2189" s="1"/>
  <c r="G135" i="2189" s="1"/>
  <c r="AE126" i="2189"/>
  <c r="AE128" i="2189" s="1"/>
  <c r="AE135" i="2189" s="1"/>
  <c r="AE136" i="2189" s="1"/>
  <c r="AE139" i="2189" s="1"/>
  <c r="AQ126" i="2188"/>
  <c r="AQ128" i="2188" s="1"/>
  <c r="AQ135" i="2188" s="1"/>
  <c r="AQ136" i="2188" s="1"/>
  <c r="AQ139" i="2188" s="1"/>
  <c r="T138" i="2187"/>
  <c r="T140" i="2187" s="1"/>
  <c r="F126" i="2187"/>
  <c r="F128" i="2187" s="1"/>
  <c r="F135" i="2187" s="1"/>
  <c r="AB138" i="2187"/>
  <c r="AB140" i="2187" s="1"/>
  <c r="E126" i="2187"/>
  <c r="AD126" i="2187"/>
  <c r="AD128" i="2187" s="1"/>
  <c r="AD135" i="2187" s="1"/>
  <c r="AD136" i="2187" s="1"/>
  <c r="AD139" i="2187" s="1"/>
  <c r="C176" i="2187"/>
  <c r="Z139" i="2187"/>
  <c r="AE139" i="2192"/>
  <c r="AK138" i="2192"/>
  <c r="AK140" i="2192" s="1"/>
  <c r="AI138" i="2192"/>
  <c r="AI140" i="2192" s="1"/>
  <c r="AQ139" i="2191"/>
  <c r="AA138" i="2191"/>
  <c r="AA140" i="2191" s="1"/>
  <c r="T138" i="2191"/>
  <c r="T140" i="2191" s="1"/>
  <c r="AJ138" i="2191"/>
  <c r="AJ140" i="2191" s="1"/>
  <c r="AG126" i="2191"/>
  <c r="AG128" i="2191" s="1"/>
  <c r="AG135" i="2191" s="1"/>
  <c r="AG136" i="2191" s="1"/>
  <c r="W139" i="2191"/>
  <c r="AO126" i="2191"/>
  <c r="AO128" i="2191" s="1"/>
  <c r="AI139" i="2191"/>
  <c r="AN135" i="2191"/>
  <c r="AN136" i="2191" s="1"/>
  <c r="AN138" i="2191" s="1"/>
  <c r="AN140" i="2191" s="1"/>
  <c r="C174" i="2190"/>
  <c r="AG138" i="2190"/>
  <c r="AG140" i="2190" s="1"/>
  <c r="AN139" i="2190"/>
  <c r="Y138" i="2190"/>
  <c r="Y140" i="2190" s="1"/>
  <c r="Z126" i="2190"/>
  <c r="Z128" i="2190" s="1"/>
  <c r="AA139" i="2190"/>
  <c r="U126" i="2190"/>
  <c r="U128" i="2190" s="1"/>
  <c r="U135" i="2190" s="1"/>
  <c r="U136" i="2190" s="1"/>
  <c r="U139" i="2190" s="1"/>
  <c r="AB126" i="2190"/>
  <c r="AB128" i="2190" s="1"/>
  <c r="AH138" i="2189"/>
  <c r="AH140" i="2189" s="1"/>
  <c r="AG126" i="2188"/>
  <c r="AG128" i="2188" s="1"/>
  <c r="AG135" i="2188" s="1"/>
  <c r="AG136" i="2188" s="1"/>
  <c r="AG138" i="2188" s="1"/>
  <c r="AG140" i="2188" s="1"/>
  <c r="J133" i="2188"/>
  <c r="P133" i="2188"/>
  <c r="M133" i="2188"/>
  <c r="AF138" i="2188"/>
  <c r="AF140" i="2188" s="1"/>
  <c r="Q133" i="2188"/>
  <c r="AJ124" i="2188"/>
  <c r="AJ122" i="2188"/>
  <c r="G136" i="2191"/>
  <c r="G139" i="2191" s="1"/>
  <c r="Z122" i="2191"/>
  <c r="Z124" i="2191"/>
  <c r="J141" i="2188"/>
  <c r="J124" i="2188"/>
  <c r="J122" i="2188"/>
  <c r="J116" i="2188"/>
  <c r="J127" i="2188" s="1"/>
  <c r="J141" i="2189"/>
  <c r="J124" i="2189"/>
  <c r="J116" i="2189"/>
  <c r="J127" i="2189" s="1"/>
  <c r="J122" i="2189"/>
  <c r="AM124" i="2191"/>
  <c r="AM122" i="2191"/>
  <c r="S141" i="2190"/>
  <c r="S116" i="2190"/>
  <c r="S127" i="2190" s="1"/>
  <c r="S122" i="2190"/>
  <c r="S124" i="2190"/>
  <c r="I133" i="2191"/>
  <c r="E133" i="2191"/>
  <c r="C176" i="2192"/>
  <c r="X124" i="2191"/>
  <c r="X116" i="2191"/>
  <c r="X127" i="2191" s="1"/>
  <c r="X122" i="2191"/>
  <c r="AL126" i="2188"/>
  <c r="AL128" i="2188" s="1"/>
  <c r="R133" i="2188"/>
  <c r="H133" i="2188"/>
  <c r="U135" i="2192"/>
  <c r="U136" i="2192" s="1"/>
  <c r="U138" i="2192" s="1"/>
  <c r="U140" i="2192" s="1"/>
  <c r="AH122" i="2191"/>
  <c r="AH124" i="2191"/>
  <c r="N126" i="2192"/>
  <c r="N128" i="2192" s="1"/>
  <c r="AC126" i="2192"/>
  <c r="AC128" i="2192" s="1"/>
  <c r="O126" i="2190"/>
  <c r="O128" i="2190" s="1"/>
  <c r="M126" i="2192"/>
  <c r="M128" i="2192" s="1"/>
  <c r="F126" i="2192"/>
  <c r="F128" i="2192" s="1"/>
  <c r="U126" i="2189"/>
  <c r="U128" i="2189" s="1"/>
  <c r="Q135" i="2189"/>
  <c r="AO139" i="2189"/>
  <c r="AC124" i="2189"/>
  <c r="AC122" i="2189"/>
  <c r="AP124" i="2191"/>
  <c r="AP122" i="2191"/>
  <c r="AF126" i="2189"/>
  <c r="AF128" i="2189" s="1"/>
  <c r="X126" i="2190"/>
  <c r="X128" i="2190" s="1"/>
  <c r="AQ126" i="2187"/>
  <c r="AQ128" i="2187" s="1"/>
  <c r="V135" i="2190"/>
  <c r="V136" i="2190" s="1"/>
  <c r="V139" i="2190" s="1"/>
  <c r="I135" i="2189"/>
  <c r="U124" i="2191"/>
  <c r="U122" i="2191"/>
  <c r="U116" i="2191"/>
  <c r="U127" i="2191" s="1"/>
  <c r="Q141" i="2188"/>
  <c r="Q124" i="2188"/>
  <c r="Q116" i="2188"/>
  <c r="Q127" i="2188" s="1"/>
  <c r="Q122" i="2188"/>
  <c r="AP122" i="2189"/>
  <c r="AP124" i="2189"/>
  <c r="AA126" i="2187"/>
  <c r="AA128" i="2187" s="1"/>
  <c r="C172" i="2188"/>
  <c r="D156" i="2188"/>
  <c r="P141" i="2190"/>
  <c r="P116" i="2190"/>
  <c r="P127" i="2190" s="1"/>
  <c r="P124" i="2190"/>
  <c r="P122" i="2190"/>
  <c r="M126" i="2187"/>
  <c r="M128" i="2187" s="1"/>
  <c r="AF138" i="2187"/>
  <c r="AF140" i="2187" s="1"/>
  <c r="AF138" i="2190"/>
  <c r="AF140" i="2190" s="1"/>
  <c r="AR138" i="2190"/>
  <c r="AR140" i="2190" s="1"/>
  <c r="I136" i="2190"/>
  <c r="I139" i="2190" s="1"/>
  <c r="M141" i="2188"/>
  <c r="M124" i="2188"/>
  <c r="M116" i="2188"/>
  <c r="M127" i="2188" s="1"/>
  <c r="M122" i="2188"/>
  <c r="S141" i="2188"/>
  <c r="S116" i="2188"/>
  <c r="S127" i="2188" s="1"/>
  <c r="S124" i="2188"/>
  <c r="S122" i="2188"/>
  <c r="R141" i="2188"/>
  <c r="R122" i="2188"/>
  <c r="R124" i="2188"/>
  <c r="R116" i="2188"/>
  <c r="R127" i="2188" s="1"/>
  <c r="Q138" i="2187"/>
  <c r="Q140" i="2187" s="1"/>
  <c r="Q139" i="2187"/>
  <c r="I141" i="2188"/>
  <c r="I124" i="2188"/>
  <c r="I122" i="2188"/>
  <c r="I116" i="2188"/>
  <c r="I127" i="2188" s="1"/>
  <c r="J141" i="2190"/>
  <c r="J124" i="2190"/>
  <c r="J116" i="2190"/>
  <c r="J127" i="2190" s="1"/>
  <c r="J122" i="2190"/>
  <c r="H141" i="2189"/>
  <c r="H116" i="2189"/>
  <c r="H127" i="2189" s="1"/>
  <c r="H124" i="2189"/>
  <c r="H122" i="2189"/>
  <c r="R128" i="2190"/>
  <c r="AB122" i="2189"/>
  <c r="AB124" i="2189"/>
  <c r="R136" i="2192"/>
  <c r="D147" i="2192"/>
  <c r="F141" i="2190"/>
  <c r="F116" i="2190"/>
  <c r="F127" i="2190" s="1"/>
  <c r="F122" i="2190"/>
  <c r="F124" i="2190"/>
  <c r="F133" i="2188"/>
  <c r="L133" i="2188"/>
  <c r="AG124" i="2189"/>
  <c r="AG122" i="2189"/>
  <c r="AP124" i="2188"/>
  <c r="AP122" i="2188"/>
  <c r="C175" i="2190"/>
  <c r="R141" i="2191"/>
  <c r="R116" i="2191"/>
  <c r="R127" i="2191" s="1"/>
  <c r="R124" i="2191"/>
  <c r="R122" i="2191"/>
  <c r="I126" i="2191"/>
  <c r="I128" i="2191" s="1"/>
  <c r="AD122" i="2191"/>
  <c r="AD124" i="2191"/>
  <c r="L136" i="2192"/>
  <c r="L139" i="2192" s="1"/>
  <c r="AQ122" i="2190"/>
  <c r="AQ124" i="2190"/>
  <c r="AD124" i="2188"/>
  <c r="AD122" i="2188"/>
  <c r="AN122" i="2188"/>
  <c r="AN124" i="2188"/>
  <c r="AK124" i="2190"/>
  <c r="AK122" i="2190"/>
  <c r="M136" i="2189"/>
  <c r="AD126" i="2189"/>
  <c r="AD128" i="2189" s="1"/>
  <c r="Z124" i="2189"/>
  <c r="Z122" i="2189"/>
  <c r="AE139" i="2191"/>
  <c r="K141" i="2191"/>
  <c r="K116" i="2191"/>
  <c r="K127" i="2191" s="1"/>
  <c r="K122" i="2191"/>
  <c r="K124" i="2191"/>
  <c r="N124" i="2191"/>
  <c r="N122" i="2191"/>
  <c r="N141" i="2191"/>
  <c r="N116" i="2191"/>
  <c r="N127" i="2191" s="1"/>
  <c r="H135" i="2187"/>
  <c r="M124" i="2191"/>
  <c r="M141" i="2191"/>
  <c r="M116" i="2191"/>
  <c r="M127" i="2191" s="1"/>
  <c r="M122" i="2191"/>
  <c r="AO122" i="2188"/>
  <c r="AO124" i="2188"/>
  <c r="AR122" i="2189"/>
  <c r="AR124" i="2189"/>
  <c r="AM124" i="2189"/>
  <c r="AM122" i="2189"/>
  <c r="T135" i="2190"/>
  <c r="T136" i="2190" s="1"/>
  <c r="T139" i="2190" s="1"/>
  <c r="AK135" i="2189"/>
  <c r="AK136" i="2189" s="1"/>
  <c r="AK139" i="2189" s="1"/>
  <c r="E135" i="2191"/>
  <c r="AK135" i="2191"/>
  <c r="AK136" i="2191" s="1"/>
  <c r="AK139" i="2191" s="1"/>
  <c r="R141" i="2189"/>
  <c r="R124" i="2189"/>
  <c r="R116" i="2189"/>
  <c r="R127" i="2189" s="1"/>
  <c r="R122" i="2189"/>
  <c r="O135" i="2191"/>
  <c r="S136" i="2192"/>
  <c r="S139" i="2192" s="1"/>
  <c r="U135" i="2187"/>
  <c r="U136" i="2187" s="1"/>
  <c r="U139" i="2187" s="1"/>
  <c r="T116" i="2189"/>
  <c r="T127" i="2189" s="1"/>
  <c r="T122" i="2189"/>
  <c r="T124" i="2189"/>
  <c r="W135" i="2187"/>
  <c r="W136" i="2187" s="1"/>
  <c r="W138" i="2187" s="1"/>
  <c r="W140" i="2187" s="1"/>
  <c r="O141" i="2188"/>
  <c r="O122" i="2188"/>
  <c r="O124" i="2188"/>
  <c r="O116" i="2188"/>
  <c r="O127" i="2188" s="1"/>
  <c r="C175" i="2188"/>
  <c r="C174" i="2188"/>
  <c r="E141" i="2188"/>
  <c r="E124" i="2188"/>
  <c r="E122" i="2188"/>
  <c r="E116" i="2188"/>
  <c r="E127" i="2188" s="1"/>
  <c r="V126" i="2191"/>
  <c r="V128" i="2191" s="1"/>
  <c r="N133" i="2191"/>
  <c r="S133" i="2191"/>
  <c r="P135" i="2189"/>
  <c r="AJ124" i="2189"/>
  <c r="AJ122" i="2189"/>
  <c r="AL126" i="2187"/>
  <c r="AL128" i="2187" s="1"/>
  <c r="E133" i="2188"/>
  <c r="AF135" i="2191"/>
  <c r="AF136" i="2191" s="1"/>
  <c r="AF139" i="2191" s="1"/>
  <c r="F126" i="2188"/>
  <c r="F128" i="2188" s="1"/>
  <c r="AE124" i="2188"/>
  <c r="AE122" i="2188"/>
  <c r="W135" i="2190"/>
  <c r="W136" i="2190" s="1"/>
  <c r="W139" i="2190" s="1"/>
  <c r="AA122" i="2189"/>
  <c r="AA124" i="2189"/>
  <c r="N141" i="2188"/>
  <c r="N124" i="2188"/>
  <c r="N116" i="2188"/>
  <c r="N127" i="2188" s="1"/>
  <c r="N122" i="2188"/>
  <c r="Y124" i="2189"/>
  <c r="Y122" i="2189"/>
  <c r="X122" i="2188"/>
  <c r="X116" i="2188"/>
  <c r="X127" i="2188" s="1"/>
  <c r="X124" i="2188"/>
  <c r="W135" i="2192"/>
  <c r="W136" i="2192" s="1"/>
  <c r="W139" i="2192" s="1"/>
  <c r="AO124" i="2190"/>
  <c r="AO122" i="2190"/>
  <c r="AC124" i="2191"/>
  <c r="AC122" i="2191"/>
  <c r="P141" i="2188"/>
  <c r="P122" i="2188"/>
  <c r="P116" i="2188"/>
  <c r="P127" i="2188" s="1"/>
  <c r="P124" i="2188"/>
  <c r="F124" i="2189"/>
  <c r="F141" i="2189"/>
  <c r="F122" i="2189"/>
  <c r="F116" i="2189"/>
  <c r="F127" i="2189" s="1"/>
  <c r="Y124" i="2191"/>
  <c r="Y122" i="2191"/>
  <c r="AM138" i="2188"/>
  <c r="AM140" i="2188" s="1"/>
  <c r="AR138" i="2191"/>
  <c r="AR140" i="2191" s="1"/>
  <c r="AR139" i="2192"/>
  <c r="V139" i="2192"/>
  <c r="M124" i="2190"/>
  <c r="M141" i="2190"/>
  <c r="M116" i="2190"/>
  <c r="M127" i="2190" s="1"/>
  <c r="M122" i="2190"/>
  <c r="AK135" i="2187"/>
  <c r="AK136" i="2187" s="1"/>
  <c r="AK138" i="2187" s="1"/>
  <c r="AK140" i="2187" s="1"/>
  <c r="C174" i="2191"/>
  <c r="R136" i="2187"/>
  <c r="AJ122" i="2190"/>
  <c r="AJ124" i="2190"/>
  <c r="AR124" i="2188"/>
  <c r="AR122" i="2188"/>
  <c r="K141" i="2190"/>
  <c r="K116" i="2190"/>
  <c r="K127" i="2190" s="1"/>
  <c r="K124" i="2190"/>
  <c r="K122" i="2190"/>
  <c r="C175" i="2191"/>
  <c r="J141" i="2191"/>
  <c r="J116" i="2191"/>
  <c r="J127" i="2191" s="1"/>
  <c r="J124" i="2191"/>
  <c r="J122" i="2191"/>
  <c r="AN124" i="2189"/>
  <c r="AN122" i="2189"/>
  <c r="AP138" i="2187"/>
  <c r="AP140" i="2187" s="1"/>
  <c r="G135" i="2192"/>
  <c r="F133" i="2191"/>
  <c r="AH122" i="2188"/>
  <c r="AH124" i="2188"/>
  <c r="E128" i="2187"/>
  <c r="E126" i="2189"/>
  <c r="E128" i="2189" s="1"/>
  <c r="E126" i="2192"/>
  <c r="E128" i="2192" s="1"/>
  <c r="AP124" i="2190"/>
  <c r="AP122" i="2190"/>
  <c r="N124" i="2189"/>
  <c r="N141" i="2189"/>
  <c r="N116" i="2189"/>
  <c r="N127" i="2189" s="1"/>
  <c r="N122" i="2189"/>
  <c r="Q126" i="2191"/>
  <c r="Q128" i="2191" s="1"/>
  <c r="N133" i="2188"/>
  <c r="G133" i="2188"/>
  <c r="AD124" i="2190"/>
  <c r="AD122" i="2190"/>
  <c r="H136" i="2192"/>
  <c r="AM139" i="2192"/>
  <c r="Z124" i="2188"/>
  <c r="Z122" i="2188"/>
  <c r="AB124" i="2188"/>
  <c r="AB122" i="2188"/>
  <c r="O141" i="2189"/>
  <c r="O124" i="2189"/>
  <c r="O122" i="2189"/>
  <c r="O116" i="2189"/>
  <c r="O127" i="2189" s="1"/>
  <c r="AR135" i="2187"/>
  <c r="AR136" i="2187" s="1"/>
  <c r="AR139" i="2187" s="1"/>
  <c r="Y124" i="2188"/>
  <c r="Y122" i="2188"/>
  <c r="I136" i="2187"/>
  <c r="AJ135" i="2187"/>
  <c r="AJ136" i="2187" s="1"/>
  <c r="AJ139" i="2187" s="1"/>
  <c r="V135" i="2189"/>
  <c r="V136" i="2189" s="1"/>
  <c r="V139" i="2189" s="1"/>
  <c r="T139" i="2192"/>
  <c r="AF126" i="2192"/>
  <c r="AF128" i="2192" s="1"/>
  <c r="Y126" i="2192"/>
  <c r="Y128" i="2192" s="1"/>
  <c r="L135" i="2191"/>
  <c r="L141" i="2188"/>
  <c r="L124" i="2188"/>
  <c r="L116" i="2188"/>
  <c r="L127" i="2188" s="1"/>
  <c r="L122" i="2188"/>
  <c r="AK124" i="2188"/>
  <c r="AK122" i="2188"/>
  <c r="AL124" i="2191"/>
  <c r="AL122" i="2191"/>
  <c r="N141" i="2190"/>
  <c r="N116" i="2190"/>
  <c r="N127" i="2190" s="1"/>
  <c r="N122" i="2190"/>
  <c r="N124" i="2190"/>
  <c r="AI122" i="2189"/>
  <c r="AI124" i="2189"/>
  <c r="AC135" i="2190"/>
  <c r="AC136" i="2190" s="1"/>
  <c r="AC138" i="2190" s="1"/>
  <c r="AC140" i="2190" s="1"/>
  <c r="Q141" i="2190"/>
  <c r="Q116" i="2190"/>
  <c r="Q127" i="2190" s="1"/>
  <c r="Q124" i="2190"/>
  <c r="Q122" i="2190"/>
  <c r="AO135" i="2191"/>
  <c r="AO136" i="2191" s="1"/>
  <c r="AO138" i="2191" s="1"/>
  <c r="AO140" i="2191" s="1"/>
  <c r="X124" i="2189"/>
  <c r="X116" i="2189"/>
  <c r="X127" i="2189" s="1"/>
  <c r="X122" i="2189"/>
  <c r="AH126" i="2190"/>
  <c r="AH128" i="2190" s="1"/>
  <c r="X135" i="2187"/>
  <c r="X136" i="2187" s="1"/>
  <c r="X139" i="2187" s="1"/>
  <c r="J136" i="2187"/>
  <c r="J139" i="2187" s="1"/>
  <c r="P136" i="2187"/>
  <c r="K136" i="2192"/>
  <c r="G133" i="2191"/>
  <c r="C174" i="2189"/>
  <c r="H135" i="2191"/>
  <c r="G136" i="2187"/>
  <c r="I133" i="2188"/>
  <c r="K133" i="2188"/>
  <c r="O133" i="2188"/>
  <c r="P136" i="2192"/>
  <c r="AL126" i="2189"/>
  <c r="AL128" i="2189" s="1"/>
  <c r="L141" i="2189"/>
  <c r="L122" i="2189"/>
  <c r="L116" i="2189"/>
  <c r="L127" i="2189" s="1"/>
  <c r="L124" i="2189"/>
  <c r="E126" i="2190"/>
  <c r="E128" i="2190" s="1"/>
  <c r="AC124" i="2188"/>
  <c r="AC122" i="2188"/>
  <c r="AE135" i="2187"/>
  <c r="AE136" i="2187" s="1"/>
  <c r="AE138" i="2187" s="1"/>
  <c r="AE140" i="2187" s="1"/>
  <c r="O135" i="2187"/>
  <c r="I126" i="2192"/>
  <c r="I128" i="2192" s="1"/>
  <c r="AQ122" i="2189"/>
  <c r="AQ124" i="2189"/>
  <c r="L136" i="2187"/>
  <c r="AC126" i="2187"/>
  <c r="AC128" i="2187" s="1"/>
  <c r="O136" i="2192"/>
  <c r="AN135" i="2192"/>
  <c r="AN136" i="2192" s="1"/>
  <c r="AN139" i="2192" s="1"/>
  <c r="S141" i="2189"/>
  <c r="S124" i="2189"/>
  <c r="S116" i="2189"/>
  <c r="S127" i="2189" s="1"/>
  <c r="S122" i="2189"/>
  <c r="AB122" i="2191"/>
  <c r="AB124" i="2191"/>
  <c r="Q126" i="2192"/>
  <c r="Q128" i="2192" s="1"/>
  <c r="F141" i="2191"/>
  <c r="F124" i="2191"/>
  <c r="F122" i="2191"/>
  <c r="F116" i="2191"/>
  <c r="F127" i="2191" s="1"/>
  <c r="P135" i="2191"/>
  <c r="K141" i="2189"/>
  <c r="K116" i="2189"/>
  <c r="K127" i="2189" s="1"/>
  <c r="K122" i="2189"/>
  <c r="K124" i="2189"/>
  <c r="AI122" i="2190"/>
  <c r="AI124" i="2190"/>
  <c r="H135" i="2190"/>
  <c r="U124" i="2188"/>
  <c r="U116" i="2188"/>
  <c r="U127" i="2188" s="1"/>
  <c r="U122" i="2188"/>
  <c r="G126" i="2190"/>
  <c r="G128" i="2190" s="1"/>
  <c r="AE124" i="2190"/>
  <c r="AE122" i="2190"/>
  <c r="L136" i="2190"/>
  <c r="S135" i="2191"/>
  <c r="AK138" i="2174"/>
  <c r="AK140" i="2174" s="1"/>
  <c r="W139" i="2178"/>
  <c r="AG138" i="2178"/>
  <c r="AG140" i="2178" s="1"/>
  <c r="AR138" i="2178"/>
  <c r="AR140" i="2178" s="1"/>
  <c r="AC138" i="2177"/>
  <c r="AC140" i="2177" s="1"/>
  <c r="F133" i="2177"/>
  <c r="Q133" i="2177"/>
  <c r="G133" i="2177"/>
  <c r="O133" i="2177"/>
  <c r="X139" i="2177"/>
  <c r="E133" i="2176"/>
  <c r="F133" i="2176"/>
  <c r="J133" i="2176"/>
  <c r="AE138" i="2176"/>
  <c r="AE140" i="2176" s="1"/>
  <c r="H133" i="2176"/>
  <c r="AB138" i="2175"/>
  <c r="AB140" i="2175" s="1"/>
  <c r="AE139" i="2175"/>
  <c r="AR138" i="2175"/>
  <c r="AR140" i="2175" s="1"/>
  <c r="AM139" i="2175"/>
  <c r="AF138" i="2174"/>
  <c r="AF140" i="2174" s="1"/>
  <c r="AD138" i="2174"/>
  <c r="AD140" i="2174" s="1"/>
  <c r="U138" i="2174"/>
  <c r="U140" i="2174" s="1"/>
  <c r="AM138" i="2174"/>
  <c r="AM140" i="2174" s="1"/>
  <c r="X138" i="2174"/>
  <c r="X140" i="2174" s="1"/>
  <c r="AE139" i="2174"/>
  <c r="C176" i="2181"/>
  <c r="C8" i="2181" s="1"/>
  <c r="C176" i="2178"/>
  <c r="C176" i="2175"/>
  <c r="C176" i="2184"/>
  <c r="C8" i="2184" s="1"/>
  <c r="C176" i="2179"/>
  <c r="C8" i="2179" s="1"/>
  <c r="Q136" i="2185"/>
  <c r="Q139" i="2185" s="1"/>
  <c r="L136" i="2177"/>
  <c r="L139" i="2177" s="1"/>
  <c r="Q135" i="2174"/>
  <c r="AR135" i="2183"/>
  <c r="AR136" i="2183" s="1"/>
  <c r="AR138" i="2183" s="1"/>
  <c r="AR140" i="2183" s="1"/>
  <c r="AD135" i="2178"/>
  <c r="AD136" i="2178" s="1"/>
  <c r="AD139" i="2178" s="1"/>
  <c r="N135" i="2179"/>
  <c r="AF135" i="2183"/>
  <c r="AF136" i="2183" s="1"/>
  <c r="AF139" i="2183" s="1"/>
  <c r="L141" i="2186"/>
  <c r="L124" i="2186"/>
  <c r="L122" i="2186"/>
  <c r="L126" i="2186" s="1"/>
  <c r="L116" i="2186"/>
  <c r="L127" i="2186" s="1"/>
  <c r="Y122" i="2176"/>
  <c r="Y124" i="2176"/>
  <c r="Q135" i="2178"/>
  <c r="U116" i="2180"/>
  <c r="U127" i="2180" s="1"/>
  <c r="U124" i="2180"/>
  <c r="U122" i="2180"/>
  <c r="U126" i="2180" s="1"/>
  <c r="U128" i="2180" s="1"/>
  <c r="Q141" i="2176"/>
  <c r="Q122" i="2176"/>
  <c r="Q126" i="2176" s="1"/>
  <c r="Q124" i="2176"/>
  <c r="Q116" i="2176"/>
  <c r="Q127" i="2176" s="1"/>
  <c r="AF135" i="2175"/>
  <c r="AF136" i="2175" s="1"/>
  <c r="AF138" i="2175" s="1"/>
  <c r="AF140" i="2175" s="1"/>
  <c r="AM124" i="2186"/>
  <c r="AM122" i="2186"/>
  <c r="AA135" i="2176"/>
  <c r="AA136" i="2176" s="1"/>
  <c r="AA138" i="2176" s="1"/>
  <c r="AA140" i="2176" s="1"/>
  <c r="AG122" i="2180"/>
  <c r="AG126" i="2180" s="1"/>
  <c r="AG128" i="2180" s="1"/>
  <c r="AG124" i="2180"/>
  <c r="AH135" i="2184"/>
  <c r="AH136" i="2184" s="1"/>
  <c r="AH139" i="2184" s="1"/>
  <c r="N135" i="2176"/>
  <c r="AC135" i="2175"/>
  <c r="AC136" i="2175" s="1"/>
  <c r="AC138" i="2175" s="1"/>
  <c r="AC140" i="2175" s="1"/>
  <c r="C174" i="2183"/>
  <c r="C176" i="2183" s="1"/>
  <c r="C8" i="2183" s="1"/>
  <c r="D156" i="2180"/>
  <c r="C172" i="2180"/>
  <c r="AM124" i="2185"/>
  <c r="AM122" i="2185"/>
  <c r="AM126" i="2185" s="1"/>
  <c r="AM128" i="2185" s="1"/>
  <c r="T139" i="2179"/>
  <c r="Z124" i="2176"/>
  <c r="Z122" i="2176"/>
  <c r="Z126" i="2176" s="1"/>
  <c r="Z128" i="2176" s="1"/>
  <c r="Z122" i="2183"/>
  <c r="Z124" i="2183"/>
  <c r="L141" i="2183"/>
  <c r="L124" i="2183"/>
  <c r="L122" i="2183"/>
  <c r="L116" i="2183"/>
  <c r="L127" i="2183" s="1"/>
  <c r="R136" i="2179"/>
  <c r="R139" i="2179" s="1"/>
  <c r="J141" i="2180"/>
  <c r="J122" i="2180"/>
  <c r="J124" i="2180"/>
  <c r="J116" i="2180"/>
  <c r="J127" i="2180" s="1"/>
  <c r="AB135" i="2179"/>
  <c r="AB136" i="2179" s="1"/>
  <c r="AB138" i="2179" s="1"/>
  <c r="AB140" i="2179" s="1"/>
  <c r="J141" i="2176"/>
  <c r="J124" i="2176"/>
  <c r="J122" i="2176"/>
  <c r="J116" i="2176"/>
  <c r="J127" i="2176" s="1"/>
  <c r="M135" i="2183"/>
  <c r="AI122" i="2180"/>
  <c r="AI124" i="2180"/>
  <c r="AG122" i="2182"/>
  <c r="AG126" i="2182" s="1"/>
  <c r="AG128" i="2182" s="1"/>
  <c r="AG124" i="2182"/>
  <c r="Q136" i="2177"/>
  <c r="Q139" i="2177" s="1"/>
  <c r="R136" i="2174"/>
  <c r="Z138" i="2175"/>
  <c r="Z140" i="2175" s="1"/>
  <c r="H141" i="2182"/>
  <c r="H116" i="2182"/>
  <c r="H127" i="2182" s="1"/>
  <c r="H124" i="2182"/>
  <c r="H122" i="2182"/>
  <c r="S135" i="2175"/>
  <c r="W138" i="2184"/>
  <c r="W140" i="2184" s="1"/>
  <c r="E135" i="2177"/>
  <c r="N135" i="2175"/>
  <c r="R126" i="2184"/>
  <c r="R128" i="2184" s="1"/>
  <c r="AH124" i="2182"/>
  <c r="AH122" i="2182"/>
  <c r="AP135" i="2186"/>
  <c r="AP136" i="2186" s="1"/>
  <c r="AP139" i="2186" s="1"/>
  <c r="AL135" i="2178"/>
  <c r="AL136" i="2178" s="1"/>
  <c r="AL139" i="2178" s="1"/>
  <c r="I135" i="2178"/>
  <c r="AN124" i="2176"/>
  <c r="AN122" i="2176"/>
  <c r="AN126" i="2176" s="1"/>
  <c r="AN128" i="2176" s="1"/>
  <c r="F141" i="2183"/>
  <c r="F124" i="2183"/>
  <c r="F116" i="2183"/>
  <c r="F127" i="2183" s="1"/>
  <c r="F122" i="2183"/>
  <c r="F126" i="2183" s="1"/>
  <c r="AL124" i="2186"/>
  <c r="AL122" i="2186"/>
  <c r="I136" i="2174"/>
  <c r="T138" i="2177"/>
  <c r="T140" i="2177" s="1"/>
  <c r="D147" i="2179"/>
  <c r="I136" i="2175"/>
  <c r="I139" i="2175" s="1"/>
  <c r="AQ138" i="2179"/>
  <c r="AQ140" i="2179" s="1"/>
  <c r="AR138" i="2177"/>
  <c r="AR140" i="2177" s="1"/>
  <c r="Y138" i="2182"/>
  <c r="Y140" i="2182" s="1"/>
  <c r="H135" i="2183"/>
  <c r="O135" i="2181"/>
  <c r="AE138" i="2179"/>
  <c r="AE140" i="2179" s="1"/>
  <c r="W138" i="2175"/>
  <c r="W140" i="2175" s="1"/>
  <c r="I124" i="2183"/>
  <c r="I141" i="2183"/>
  <c r="I116" i="2183"/>
  <c r="I127" i="2183" s="1"/>
  <c r="I122" i="2183"/>
  <c r="I126" i="2183" s="1"/>
  <c r="AB122" i="2180"/>
  <c r="AB126" i="2180" s="1"/>
  <c r="AB128" i="2180" s="1"/>
  <c r="AB124" i="2180"/>
  <c r="U135" i="2184"/>
  <c r="U136" i="2184" s="1"/>
  <c r="U139" i="2184" s="1"/>
  <c r="Z138" i="2181"/>
  <c r="Z140" i="2181" s="1"/>
  <c r="AE126" i="2178"/>
  <c r="AE128" i="2178" s="1"/>
  <c r="AR122" i="2186"/>
  <c r="AR124" i="2186"/>
  <c r="Y124" i="2183"/>
  <c r="Y122" i="2183"/>
  <c r="J141" i="2183"/>
  <c r="J124" i="2183"/>
  <c r="J116" i="2183"/>
  <c r="J127" i="2183" s="1"/>
  <c r="J122" i="2183"/>
  <c r="H141" i="2180"/>
  <c r="H122" i="2180"/>
  <c r="H124" i="2180"/>
  <c r="H116" i="2180"/>
  <c r="H127" i="2180" s="1"/>
  <c r="M135" i="2178"/>
  <c r="F135" i="2179"/>
  <c r="AG122" i="2186"/>
  <c r="AG126" i="2186" s="1"/>
  <c r="AG128" i="2186" s="1"/>
  <c r="AG124" i="2186"/>
  <c r="K141" i="2183"/>
  <c r="K124" i="2183"/>
  <c r="K116" i="2183"/>
  <c r="K127" i="2183" s="1"/>
  <c r="K122" i="2183"/>
  <c r="AP126" i="2184"/>
  <c r="AP128" i="2184" s="1"/>
  <c r="S126" i="2181"/>
  <c r="S128" i="2181" s="1"/>
  <c r="N135" i="2174"/>
  <c r="AF122" i="2180"/>
  <c r="AF126" i="2180" s="1"/>
  <c r="AF128" i="2180" s="1"/>
  <c r="AF124" i="2180"/>
  <c r="AO122" i="2176"/>
  <c r="AO124" i="2176"/>
  <c r="AK126" i="2183"/>
  <c r="AK128" i="2183" s="1"/>
  <c r="AA135" i="2177"/>
  <c r="AA136" i="2177" s="1"/>
  <c r="AA139" i="2177" s="1"/>
  <c r="AQ124" i="2182"/>
  <c r="AQ122" i="2182"/>
  <c r="R135" i="2175"/>
  <c r="AN126" i="2186"/>
  <c r="AN128" i="2186" s="1"/>
  <c r="AI126" i="2181"/>
  <c r="AI128" i="2181" s="1"/>
  <c r="AD135" i="2176"/>
  <c r="AD136" i="2176" s="1"/>
  <c r="AD138" i="2176" s="1"/>
  <c r="AD140" i="2176" s="1"/>
  <c r="AR124" i="2176"/>
  <c r="AR122" i="2176"/>
  <c r="S133" i="2184"/>
  <c r="AQ124" i="2176"/>
  <c r="AQ122" i="2176"/>
  <c r="AQ126" i="2176" s="1"/>
  <c r="AQ128" i="2176" s="1"/>
  <c r="AE124" i="2180"/>
  <c r="AE122" i="2180"/>
  <c r="O141" i="2180"/>
  <c r="O122" i="2180"/>
  <c r="O126" i="2180" s="1"/>
  <c r="O124" i="2180"/>
  <c r="O116" i="2180"/>
  <c r="O127" i="2180" s="1"/>
  <c r="AA124" i="2185"/>
  <c r="AA122" i="2185"/>
  <c r="Z122" i="2180"/>
  <c r="Z124" i="2180"/>
  <c r="Y126" i="2184"/>
  <c r="Y128" i="2184" s="1"/>
  <c r="D147" i="2181"/>
  <c r="AC124" i="2180"/>
  <c r="AC122" i="2180"/>
  <c r="K126" i="2175"/>
  <c r="K128" i="2175" s="1"/>
  <c r="L141" i="2180"/>
  <c r="L124" i="2180"/>
  <c r="L122" i="2180"/>
  <c r="L116" i="2180"/>
  <c r="L127" i="2180" s="1"/>
  <c r="AI139" i="2184"/>
  <c r="H135" i="2174"/>
  <c r="P141" i="2182"/>
  <c r="P116" i="2182"/>
  <c r="P127" i="2182" s="1"/>
  <c r="P124" i="2182"/>
  <c r="P122" i="2182"/>
  <c r="X138" i="2184"/>
  <c r="X140" i="2184" s="1"/>
  <c r="S133" i="2177"/>
  <c r="AB122" i="2185"/>
  <c r="AB124" i="2185"/>
  <c r="J141" i="2182"/>
  <c r="J124" i="2182"/>
  <c r="J116" i="2182"/>
  <c r="J127" i="2182" s="1"/>
  <c r="J122" i="2182"/>
  <c r="O133" i="2176"/>
  <c r="Q133" i="2176"/>
  <c r="S133" i="2176"/>
  <c r="Z124" i="2182"/>
  <c r="Z122" i="2182"/>
  <c r="AF124" i="2176"/>
  <c r="AF122" i="2176"/>
  <c r="W124" i="2186"/>
  <c r="W122" i="2186"/>
  <c r="H133" i="2185"/>
  <c r="J133" i="2185"/>
  <c r="F116" i="2182"/>
  <c r="F127" i="2182" s="1"/>
  <c r="F141" i="2182"/>
  <c r="F124" i="2182"/>
  <c r="F122" i="2182"/>
  <c r="M133" i="2180"/>
  <c r="W126" i="2181"/>
  <c r="W128" i="2181" s="1"/>
  <c r="U126" i="2183"/>
  <c r="U128" i="2183" s="1"/>
  <c r="M136" i="2186"/>
  <c r="M139" i="2186" s="1"/>
  <c r="Y138" i="2179"/>
  <c r="Y140" i="2179" s="1"/>
  <c r="H135" i="2177"/>
  <c r="AL135" i="2177"/>
  <c r="AL136" i="2177" s="1"/>
  <c r="AL139" i="2177" s="1"/>
  <c r="Y135" i="2175"/>
  <c r="Y136" i="2175" s="1"/>
  <c r="Y138" i="2175" s="1"/>
  <c r="Y140" i="2175" s="1"/>
  <c r="N135" i="2184"/>
  <c r="G135" i="2177"/>
  <c r="AA126" i="2175"/>
  <c r="AA128" i="2175" s="1"/>
  <c r="AA126" i="2184"/>
  <c r="AA128" i="2184" s="1"/>
  <c r="O141" i="2176"/>
  <c r="O122" i="2176"/>
  <c r="O116" i="2176"/>
  <c r="O127" i="2176" s="1"/>
  <c r="O124" i="2176"/>
  <c r="Z138" i="2186"/>
  <c r="Z140" i="2186" s="1"/>
  <c r="Q136" i="2181"/>
  <c r="Q139" i="2181" s="1"/>
  <c r="W139" i="2179"/>
  <c r="AK138" i="2177"/>
  <c r="AK140" i="2177" s="1"/>
  <c r="T138" i="2184"/>
  <c r="T140" i="2184" s="1"/>
  <c r="AK135" i="2181"/>
  <c r="AK136" i="2181" s="1"/>
  <c r="AK138" i="2181" s="1"/>
  <c r="AK140" i="2181" s="1"/>
  <c r="J136" i="2179"/>
  <c r="M141" i="2182"/>
  <c r="M116" i="2182"/>
  <c r="M127" i="2182" s="1"/>
  <c r="M124" i="2182"/>
  <c r="M122" i="2182"/>
  <c r="R141" i="2182"/>
  <c r="R124" i="2182"/>
  <c r="R116" i="2182"/>
  <c r="R127" i="2182" s="1"/>
  <c r="R122" i="2182"/>
  <c r="R126" i="2182" s="1"/>
  <c r="AG135" i="2184"/>
  <c r="AG136" i="2184" s="1"/>
  <c r="AG139" i="2184" s="1"/>
  <c r="L135" i="2175"/>
  <c r="AN139" i="2179"/>
  <c r="O135" i="2177"/>
  <c r="AQ122" i="2183"/>
  <c r="AQ126" i="2183" s="1"/>
  <c r="AQ128" i="2183" s="1"/>
  <c r="AQ124" i="2183"/>
  <c r="AA135" i="2181"/>
  <c r="AA136" i="2181" s="1"/>
  <c r="AA138" i="2181" s="1"/>
  <c r="AA140" i="2181" s="1"/>
  <c r="F141" i="2185"/>
  <c r="F124" i="2185"/>
  <c r="F122" i="2185"/>
  <c r="F116" i="2185"/>
  <c r="F127" i="2185" s="1"/>
  <c r="V135" i="2177"/>
  <c r="V136" i="2177" s="1"/>
  <c r="V139" i="2177" s="1"/>
  <c r="AK135" i="2182"/>
  <c r="AK136" i="2182" s="1"/>
  <c r="AK139" i="2182" s="1"/>
  <c r="F126" i="2177"/>
  <c r="F128" i="2177" s="1"/>
  <c r="S141" i="2186"/>
  <c r="S122" i="2186"/>
  <c r="S116" i="2186"/>
  <c r="S127" i="2186" s="1"/>
  <c r="S124" i="2186"/>
  <c r="H126" i="2184"/>
  <c r="H128" i="2184" s="1"/>
  <c r="AL135" i="2176"/>
  <c r="AL136" i="2176" s="1"/>
  <c r="AL139" i="2176" s="1"/>
  <c r="Q136" i="2179"/>
  <c r="Q135" i="2175"/>
  <c r="AP122" i="2183"/>
  <c r="AP124" i="2183"/>
  <c r="AO124" i="2186"/>
  <c r="AO122" i="2186"/>
  <c r="AO126" i="2186" s="1"/>
  <c r="AO128" i="2186" s="1"/>
  <c r="C174" i="2185"/>
  <c r="C176" i="2185" s="1"/>
  <c r="C8" i="2185" s="1"/>
  <c r="V124" i="2180"/>
  <c r="V116" i="2180"/>
  <c r="V127" i="2180" s="1"/>
  <c r="V122" i="2180"/>
  <c r="R141" i="2180"/>
  <c r="R122" i="2180"/>
  <c r="R126" i="2180" s="1"/>
  <c r="R124" i="2180"/>
  <c r="R116" i="2180"/>
  <c r="R127" i="2180" s="1"/>
  <c r="AD135" i="2175"/>
  <c r="AD136" i="2175" s="1"/>
  <c r="AD139" i="2175" s="1"/>
  <c r="AG122" i="2176"/>
  <c r="AG124" i="2176"/>
  <c r="E133" i="2184"/>
  <c r="AO124" i="2183"/>
  <c r="AO122" i="2183"/>
  <c r="AO126" i="2183" s="1"/>
  <c r="AO128" i="2183" s="1"/>
  <c r="X135" i="2178"/>
  <c r="X136" i="2178" s="1"/>
  <c r="X139" i="2178" s="1"/>
  <c r="X135" i="2183"/>
  <c r="X136" i="2183" s="1"/>
  <c r="X139" i="2183" s="1"/>
  <c r="L126" i="2181"/>
  <c r="L128" i="2181" s="1"/>
  <c r="AQ124" i="2186"/>
  <c r="AQ122" i="2186"/>
  <c r="AQ126" i="2186" s="1"/>
  <c r="AQ128" i="2186" s="1"/>
  <c r="Q126" i="2184"/>
  <c r="Q128" i="2184" s="1"/>
  <c r="AP124" i="2182"/>
  <c r="AP122" i="2182"/>
  <c r="U135" i="2175"/>
  <c r="U136" i="2175" s="1"/>
  <c r="U138" i="2175" s="1"/>
  <c r="U140" i="2175" s="1"/>
  <c r="AQ124" i="2180"/>
  <c r="AQ122" i="2180"/>
  <c r="C174" i="2176"/>
  <c r="C175" i="2176"/>
  <c r="E141" i="2176"/>
  <c r="E116" i="2176"/>
  <c r="E127" i="2176" s="1"/>
  <c r="E124" i="2176"/>
  <c r="E122" i="2176"/>
  <c r="L135" i="2184"/>
  <c r="I126" i="2184"/>
  <c r="I128" i="2184" s="1"/>
  <c r="Q141" i="2183"/>
  <c r="Q124" i="2183"/>
  <c r="Q116" i="2183"/>
  <c r="Q127" i="2183" s="1"/>
  <c r="Q122" i="2183"/>
  <c r="AC122" i="2182"/>
  <c r="AC124" i="2182"/>
  <c r="N126" i="2183"/>
  <c r="N128" i="2183" s="1"/>
  <c r="AJ122" i="2182"/>
  <c r="AJ124" i="2182"/>
  <c r="X124" i="2176"/>
  <c r="X116" i="2176"/>
  <c r="X127" i="2176" s="1"/>
  <c r="X122" i="2176"/>
  <c r="AH124" i="2180"/>
  <c r="AH122" i="2180"/>
  <c r="X124" i="2186"/>
  <c r="X122" i="2186"/>
  <c r="X126" i="2186" s="1"/>
  <c r="X128" i="2186" s="1"/>
  <c r="AN124" i="2183"/>
  <c r="AN122" i="2183"/>
  <c r="H141" i="2186"/>
  <c r="H122" i="2186"/>
  <c r="H116" i="2186"/>
  <c r="H127" i="2186" s="1"/>
  <c r="H124" i="2186"/>
  <c r="V122" i="2182"/>
  <c r="V116" i="2182"/>
  <c r="V127" i="2182" s="1"/>
  <c r="V124" i="2182"/>
  <c r="AA122" i="2180"/>
  <c r="AA126" i="2180" s="1"/>
  <c r="AA128" i="2180" s="1"/>
  <c r="AA124" i="2180"/>
  <c r="AB124" i="2182"/>
  <c r="AB122" i="2182"/>
  <c r="P135" i="2177"/>
  <c r="U122" i="2176"/>
  <c r="U124" i="2176"/>
  <c r="U116" i="2176"/>
  <c r="U127" i="2176" s="1"/>
  <c r="X126" i="2182"/>
  <c r="X128" i="2182" s="1"/>
  <c r="AH122" i="2183"/>
  <c r="AH124" i="2183"/>
  <c r="Y126" i="2185"/>
  <c r="Y128" i="2185" s="1"/>
  <c r="H136" i="2179"/>
  <c r="H139" i="2179" s="1"/>
  <c r="F133" i="2185"/>
  <c r="N133" i="2185"/>
  <c r="N128" i="2177"/>
  <c r="AR122" i="2180"/>
  <c r="AR124" i="2180"/>
  <c r="AE124" i="2183"/>
  <c r="AE122" i="2183"/>
  <c r="F126" i="2178"/>
  <c r="F128" i="2178" s="1"/>
  <c r="AC135" i="2181"/>
  <c r="AC136" i="2181" s="1"/>
  <c r="AC138" i="2181" s="1"/>
  <c r="AC140" i="2181" s="1"/>
  <c r="P141" i="2176"/>
  <c r="P124" i="2176"/>
  <c r="P116" i="2176"/>
  <c r="P127" i="2176" s="1"/>
  <c r="P122" i="2176"/>
  <c r="P126" i="2176" s="1"/>
  <c r="AG139" i="2174"/>
  <c r="E136" i="2174"/>
  <c r="E139" i="2174" s="1"/>
  <c r="AA135" i="2186"/>
  <c r="AA136" i="2186" s="1"/>
  <c r="AA139" i="2186" s="1"/>
  <c r="AN122" i="2182"/>
  <c r="AN124" i="2182"/>
  <c r="E135" i="2178"/>
  <c r="C172" i="2186"/>
  <c r="D156" i="2186"/>
  <c r="AI135" i="2179"/>
  <c r="AI136" i="2179" s="1"/>
  <c r="AI138" i="2179" s="1"/>
  <c r="AI140" i="2179" s="1"/>
  <c r="T124" i="2186"/>
  <c r="T122" i="2186"/>
  <c r="J136" i="2178"/>
  <c r="N135" i="2181"/>
  <c r="K135" i="2184"/>
  <c r="R136" i="2181"/>
  <c r="C174" i="2182"/>
  <c r="E141" i="2182"/>
  <c r="C175" i="2182"/>
  <c r="E116" i="2182"/>
  <c r="E127" i="2182" s="1"/>
  <c r="E124" i="2182"/>
  <c r="E122" i="2182"/>
  <c r="AJ122" i="2180"/>
  <c r="AJ124" i="2180"/>
  <c r="AQ135" i="2181"/>
  <c r="AQ136" i="2181" s="1"/>
  <c r="AQ139" i="2181" s="1"/>
  <c r="D147" i="2175"/>
  <c r="D156" i="2176"/>
  <c r="C172" i="2176"/>
  <c r="O135" i="2184"/>
  <c r="AO135" i="2181"/>
  <c r="AO136" i="2181" s="1"/>
  <c r="AO139" i="2181" s="1"/>
  <c r="F141" i="2176"/>
  <c r="F124" i="2176"/>
  <c r="F122" i="2176"/>
  <c r="F126" i="2176" s="1"/>
  <c r="F116" i="2176"/>
  <c r="F127" i="2176" s="1"/>
  <c r="AK135" i="2179"/>
  <c r="AK136" i="2179" s="1"/>
  <c r="AK138" i="2179" s="1"/>
  <c r="AK140" i="2179" s="1"/>
  <c r="T135" i="2181"/>
  <c r="T136" i="2181" s="1"/>
  <c r="T139" i="2181" s="1"/>
  <c r="N135" i="2178"/>
  <c r="AL124" i="2183"/>
  <c r="AL122" i="2183"/>
  <c r="AL126" i="2183" s="1"/>
  <c r="AL128" i="2183" s="1"/>
  <c r="I133" i="2177"/>
  <c r="I135" i="2177"/>
  <c r="Y135" i="2178"/>
  <c r="Y136" i="2178" s="1"/>
  <c r="Y139" i="2178" s="1"/>
  <c r="G141" i="2182"/>
  <c r="G116" i="2182"/>
  <c r="G127" i="2182" s="1"/>
  <c r="G124" i="2182"/>
  <c r="G122" i="2182"/>
  <c r="X126" i="2180"/>
  <c r="X128" i="2180" s="1"/>
  <c r="T135" i="2176"/>
  <c r="T136" i="2176" s="1"/>
  <c r="T139" i="2176" s="1"/>
  <c r="O124" i="2186"/>
  <c r="O141" i="2186"/>
  <c r="O122" i="2186"/>
  <c r="O126" i="2186" s="1"/>
  <c r="O128" i="2186" s="1"/>
  <c r="O116" i="2186"/>
  <c r="O127" i="2186" s="1"/>
  <c r="Z135" i="2184"/>
  <c r="Z136" i="2184" s="1"/>
  <c r="Z138" i="2184" s="1"/>
  <c r="Z140" i="2184" s="1"/>
  <c r="D147" i="2177"/>
  <c r="I135" i="2185"/>
  <c r="V135" i="2181"/>
  <c r="V136" i="2181" s="1"/>
  <c r="V138" i="2181" s="1"/>
  <c r="V140" i="2181" s="1"/>
  <c r="H135" i="2178"/>
  <c r="G141" i="2180"/>
  <c r="G122" i="2180"/>
  <c r="G124" i="2180"/>
  <c r="G116" i="2180"/>
  <c r="G127" i="2180" s="1"/>
  <c r="N124" i="2186"/>
  <c r="N141" i="2186"/>
  <c r="N116" i="2186"/>
  <c r="N127" i="2186" s="1"/>
  <c r="N122" i="2186"/>
  <c r="I136" i="2179"/>
  <c r="P136" i="2178"/>
  <c r="P136" i="2179"/>
  <c r="P139" i="2179" s="1"/>
  <c r="F135" i="2184"/>
  <c r="P136" i="2174"/>
  <c r="P139" i="2174" s="1"/>
  <c r="W138" i="2174"/>
  <c r="W140" i="2174" s="1"/>
  <c r="V122" i="2186"/>
  <c r="V126" i="2186" s="1"/>
  <c r="V128" i="2186" s="1"/>
  <c r="V124" i="2186"/>
  <c r="M141" i="2176"/>
  <c r="M122" i="2176"/>
  <c r="M126" i="2176" s="1"/>
  <c r="M116" i="2176"/>
  <c r="M127" i="2176" s="1"/>
  <c r="M124" i="2176"/>
  <c r="W122" i="2180"/>
  <c r="W116" i="2180"/>
  <c r="W127" i="2180" s="1"/>
  <c r="W124" i="2180"/>
  <c r="V135" i="2184"/>
  <c r="V136" i="2184" s="1"/>
  <c r="V139" i="2184" s="1"/>
  <c r="AN135" i="2184"/>
  <c r="AN136" i="2184" s="1"/>
  <c r="AN138" i="2184" s="1"/>
  <c r="AN140" i="2184" s="1"/>
  <c r="K136" i="2185"/>
  <c r="K139" i="2185" s="1"/>
  <c r="J133" i="2184"/>
  <c r="Y124" i="2180"/>
  <c r="Y122" i="2180"/>
  <c r="N116" i="2182"/>
  <c r="N127" i="2182" s="1"/>
  <c r="N122" i="2182"/>
  <c r="N141" i="2182"/>
  <c r="N124" i="2182"/>
  <c r="AP138" i="2185"/>
  <c r="AP140" i="2185" s="1"/>
  <c r="AK135" i="2184"/>
  <c r="AK136" i="2184" s="1"/>
  <c r="AK139" i="2184" s="1"/>
  <c r="K141" i="2180"/>
  <c r="K116" i="2180"/>
  <c r="K127" i="2180" s="1"/>
  <c r="K122" i="2180"/>
  <c r="K126" i="2180" s="1"/>
  <c r="K124" i="2180"/>
  <c r="M135" i="2184"/>
  <c r="AN122" i="2180"/>
  <c r="AN124" i="2180"/>
  <c r="F141" i="2186"/>
  <c r="F124" i="2186"/>
  <c r="F122" i="2186"/>
  <c r="F116" i="2186"/>
  <c r="F127" i="2186" s="1"/>
  <c r="L128" i="2179"/>
  <c r="AM124" i="2182"/>
  <c r="AM122" i="2182"/>
  <c r="O126" i="2182"/>
  <c r="O128" i="2182" s="1"/>
  <c r="AA135" i="2179"/>
  <c r="AA136" i="2179" s="1"/>
  <c r="AA139" i="2179" s="1"/>
  <c r="AI138" i="2177"/>
  <c r="AI140" i="2177" s="1"/>
  <c r="AH122" i="2186"/>
  <c r="AH126" i="2186" s="1"/>
  <c r="AH128" i="2186" s="1"/>
  <c r="AH124" i="2186"/>
  <c r="AC122" i="2185"/>
  <c r="AC126" i="2185" s="1"/>
  <c r="AC128" i="2185" s="1"/>
  <c r="AC124" i="2185"/>
  <c r="M136" i="2181"/>
  <c r="M139" i="2181" s="1"/>
  <c r="U116" i="2182"/>
  <c r="U127" i="2182" s="1"/>
  <c r="U122" i="2182"/>
  <c r="U124" i="2182"/>
  <c r="K135" i="2186"/>
  <c r="AE122" i="2186"/>
  <c r="AE126" i="2186" s="1"/>
  <c r="AE128" i="2186" s="1"/>
  <c r="AE124" i="2186"/>
  <c r="G136" i="2175"/>
  <c r="AF122" i="2185"/>
  <c r="AF124" i="2185"/>
  <c r="AP124" i="2180"/>
  <c r="AP122" i="2180"/>
  <c r="I141" i="2176"/>
  <c r="I124" i="2176"/>
  <c r="I116" i="2176"/>
  <c r="I127" i="2176" s="1"/>
  <c r="I122" i="2176"/>
  <c r="I126" i="2176" s="1"/>
  <c r="G136" i="2179"/>
  <c r="AE124" i="2182"/>
  <c r="AE122" i="2182"/>
  <c r="R141" i="2186"/>
  <c r="R116" i="2186"/>
  <c r="R127" i="2186" s="1"/>
  <c r="R122" i="2186"/>
  <c r="R124" i="2186"/>
  <c r="T124" i="2180"/>
  <c r="T122" i="2180"/>
  <c r="T116" i="2180"/>
  <c r="T127" i="2180" s="1"/>
  <c r="AC126" i="2183"/>
  <c r="AC128" i="2183" s="1"/>
  <c r="S141" i="2180"/>
  <c r="S116" i="2180"/>
  <c r="S127" i="2180" s="1"/>
  <c r="S122" i="2180"/>
  <c r="S124" i="2180"/>
  <c r="AC122" i="2186"/>
  <c r="AC124" i="2186"/>
  <c r="K135" i="2176"/>
  <c r="N135" i="2185"/>
  <c r="AO135" i="2184"/>
  <c r="AO136" i="2184" s="1"/>
  <c r="AO139" i="2184" s="1"/>
  <c r="AN138" i="2178"/>
  <c r="AN140" i="2178" s="1"/>
  <c r="P135" i="2183"/>
  <c r="F133" i="2180"/>
  <c r="AK122" i="2180"/>
  <c r="AK124" i="2180"/>
  <c r="L135" i="2185"/>
  <c r="L136" i="2178"/>
  <c r="AD135" i="2186"/>
  <c r="AD136" i="2186" s="1"/>
  <c r="AD139" i="2186" s="1"/>
  <c r="AO122" i="2182"/>
  <c r="AO124" i="2182"/>
  <c r="S135" i="2176"/>
  <c r="F136" i="2174"/>
  <c r="R141" i="2176"/>
  <c r="R124" i="2176"/>
  <c r="R122" i="2176"/>
  <c r="R116" i="2176"/>
  <c r="R127" i="2176" s="1"/>
  <c r="AM135" i="2178"/>
  <c r="AM136" i="2178" s="1"/>
  <c r="AM139" i="2178" s="1"/>
  <c r="Q141" i="2182"/>
  <c r="Q124" i="2182"/>
  <c r="Q116" i="2182"/>
  <c r="Q127" i="2182" s="1"/>
  <c r="Q122" i="2182"/>
  <c r="AM124" i="2180"/>
  <c r="AM122" i="2180"/>
  <c r="AL124" i="2182"/>
  <c r="AL122" i="2182"/>
  <c r="AP135" i="2181"/>
  <c r="AP136" i="2181" s="1"/>
  <c r="AP139" i="2181" s="1"/>
  <c r="V138" i="2175"/>
  <c r="V140" i="2175" s="1"/>
  <c r="AF138" i="2177"/>
  <c r="AF140" i="2177" s="1"/>
  <c r="W138" i="2185"/>
  <c r="W140" i="2185" s="1"/>
  <c r="V138" i="2174"/>
  <c r="V140" i="2174" s="1"/>
  <c r="S135" i="2177"/>
  <c r="AI135" i="2175"/>
  <c r="AI136" i="2175" s="1"/>
  <c r="AI139" i="2175" s="1"/>
  <c r="X135" i="2175"/>
  <c r="X136" i="2175" s="1"/>
  <c r="X139" i="2175" s="1"/>
  <c r="AK122" i="2186"/>
  <c r="AK124" i="2186"/>
  <c r="F141" i="2180"/>
  <c r="F124" i="2180"/>
  <c r="F116" i="2180"/>
  <c r="F127" i="2180" s="1"/>
  <c r="F122" i="2180"/>
  <c r="AE138" i="2184"/>
  <c r="AE140" i="2184" s="1"/>
  <c r="AB122" i="2186"/>
  <c r="AB124" i="2186"/>
  <c r="H124" i="2176"/>
  <c r="H116" i="2176"/>
  <c r="H127" i="2176" s="1"/>
  <c r="H141" i="2176"/>
  <c r="H122" i="2176"/>
  <c r="AQ124" i="2185"/>
  <c r="AQ122" i="2185"/>
  <c r="E141" i="2186"/>
  <c r="C175" i="2186"/>
  <c r="C174" i="2186"/>
  <c r="E124" i="2186"/>
  <c r="E116" i="2186"/>
  <c r="E127" i="2186" s="1"/>
  <c r="E122" i="2186"/>
  <c r="AF122" i="2186"/>
  <c r="AF124" i="2186"/>
  <c r="C172" i="2182"/>
  <c r="D156" i="2182"/>
  <c r="K135" i="2177"/>
  <c r="U135" i="2177"/>
  <c r="U136" i="2177" s="1"/>
  <c r="U139" i="2177" s="1"/>
  <c r="I135" i="2186"/>
  <c r="S136" i="2184"/>
  <c r="S139" i="2184" s="1"/>
  <c r="H135" i="2181"/>
  <c r="S141" i="2182"/>
  <c r="S124" i="2182"/>
  <c r="S122" i="2182"/>
  <c r="S116" i="2182"/>
  <c r="S127" i="2182" s="1"/>
  <c r="M141" i="2180"/>
  <c r="M124" i="2180"/>
  <c r="M116" i="2180"/>
  <c r="M127" i="2180" s="1"/>
  <c r="M122" i="2180"/>
  <c r="M126" i="2180" s="1"/>
  <c r="U135" i="2181"/>
  <c r="U136" i="2181" s="1"/>
  <c r="U138" i="2181" s="1"/>
  <c r="U140" i="2181" s="1"/>
  <c r="AQ135" i="2177"/>
  <c r="AQ136" i="2177" s="1"/>
  <c r="AQ139" i="2177" s="1"/>
  <c r="AH124" i="2176"/>
  <c r="AH122" i="2176"/>
  <c r="G126" i="2178"/>
  <c r="G128" i="2178" s="1"/>
  <c r="AB126" i="2181"/>
  <c r="AB128" i="2181" s="1"/>
  <c r="V124" i="2176"/>
  <c r="V122" i="2176"/>
  <c r="V116" i="2176"/>
  <c r="V127" i="2176" s="1"/>
  <c r="AB124" i="2176"/>
  <c r="AB122" i="2176"/>
  <c r="AB126" i="2176" s="1"/>
  <c r="AB128" i="2176" s="1"/>
  <c r="AD122" i="2185"/>
  <c r="AD124" i="2185"/>
  <c r="AL124" i="2180"/>
  <c r="AL122" i="2180"/>
  <c r="AL126" i="2180" s="1"/>
  <c r="AL128" i="2180" s="1"/>
  <c r="Z124" i="2185"/>
  <c r="Z122" i="2185"/>
  <c r="K141" i="2182"/>
  <c r="K122" i="2182"/>
  <c r="K126" i="2182" s="1"/>
  <c r="K124" i="2182"/>
  <c r="K116" i="2182"/>
  <c r="K127" i="2182" s="1"/>
  <c r="K126" i="2181"/>
  <c r="K128" i="2181" s="1"/>
  <c r="AG138" i="2181"/>
  <c r="AG140" i="2181" s="1"/>
  <c r="P141" i="2180"/>
  <c r="P122" i="2180"/>
  <c r="P124" i="2180"/>
  <c r="P116" i="2180"/>
  <c r="P127" i="2180" s="1"/>
  <c r="H126" i="2175"/>
  <c r="H128" i="2175" s="1"/>
  <c r="AJ126" i="2181"/>
  <c r="AJ128" i="2181" s="1"/>
  <c r="AR126" i="2179"/>
  <c r="AR128" i="2179" s="1"/>
  <c r="Z138" i="2177"/>
  <c r="Z140" i="2177" s="1"/>
  <c r="AO135" i="2175"/>
  <c r="AO136" i="2175" s="1"/>
  <c r="AO139" i="2175" s="1"/>
  <c r="E126" i="2181"/>
  <c r="E128" i="2181" s="1"/>
  <c r="N141" i="2180"/>
  <c r="N116" i="2180"/>
  <c r="N127" i="2180" s="1"/>
  <c r="N124" i="2180"/>
  <c r="N122" i="2180"/>
  <c r="AE126" i="2181"/>
  <c r="AE128" i="2181" s="1"/>
  <c r="M126" i="2179"/>
  <c r="M128" i="2179" s="1"/>
  <c r="W126" i="2183"/>
  <c r="W128" i="2183" s="1"/>
  <c r="X116" i="2185"/>
  <c r="X127" i="2185" s="1"/>
  <c r="X124" i="2185"/>
  <c r="X122" i="2185"/>
  <c r="F136" i="2175"/>
  <c r="AA122" i="2183"/>
  <c r="AA124" i="2183"/>
  <c r="AR126" i="2181"/>
  <c r="AR128" i="2181" s="1"/>
  <c r="K133" i="2177"/>
  <c r="L133" i="2177"/>
  <c r="P126" i="2184"/>
  <c r="P128" i="2184" s="1"/>
  <c r="AJ126" i="2179"/>
  <c r="AJ128" i="2179" s="1"/>
  <c r="G126" i="2183"/>
  <c r="G128" i="2183" s="1"/>
  <c r="AF126" i="2184"/>
  <c r="AF128" i="2184" s="1"/>
  <c r="AC122" i="2176"/>
  <c r="AC124" i="2176"/>
  <c r="AD126" i="2183"/>
  <c r="AD128" i="2183" s="1"/>
  <c r="O126" i="2178"/>
  <c r="O128" i="2178" s="1"/>
  <c r="E126" i="2183"/>
  <c r="E128" i="2183" s="1"/>
  <c r="L133" i="2176"/>
  <c r="N133" i="2176"/>
  <c r="P133" i="2176"/>
  <c r="R133" i="2176"/>
  <c r="AR124" i="2182"/>
  <c r="AR122" i="2182"/>
  <c r="P124" i="2186"/>
  <c r="P141" i="2186"/>
  <c r="P122" i="2186"/>
  <c r="P116" i="2186"/>
  <c r="P127" i="2186" s="1"/>
  <c r="M133" i="2185"/>
  <c r="I133" i="2185"/>
  <c r="Q133" i="2180"/>
  <c r="C176" i="2177"/>
  <c r="AG124" i="2183"/>
  <c r="AG122" i="2183"/>
  <c r="T135" i="2175"/>
  <c r="T136" i="2175" s="1"/>
  <c r="T139" i="2175" s="1"/>
  <c r="P136" i="2181"/>
  <c r="P139" i="2181" s="1"/>
  <c r="K136" i="2179"/>
  <c r="G141" i="2186"/>
  <c r="G124" i="2186"/>
  <c r="G122" i="2186"/>
  <c r="G116" i="2186"/>
  <c r="G127" i="2186" s="1"/>
  <c r="R141" i="2183"/>
  <c r="R124" i="2183"/>
  <c r="R116" i="2183"/>
  <c r="R127" i="2183" s="1"/>
  <c r="R122" i="2183"/>
  <c r="AD124" i="2180"/>
  <c r="AD122" i="2180"/>
  <c r="J141" i="2186"/>
  <c r="J124" i="2186"/>
  <c r="J116" i="2186"/>
  <c r="J127" i="2186" s="1"/>
  <c r="J122" i="2186"/>
  <c r="J126" i="2186" s="1"/>
  <c r="M135" i="2185"/>
  <c r="J136" i="2175"/>
  <c r="U138" i="2185"/>
  <c r="U140" i="2185" s="1"/>
  <c r="S136" i="2179"/>
  <c r="AM138" i="2183"/>
  <c r="AM140" i="2183" s="1"/>
  <c r="F128" i="2181"/>
  <c r="AK122" i="2176"/>
  <c r="AK126" i="2176" s="1"/>
  <c r="AK128" i="2176" s="1"/>
  <c r="AK124" i="2176"/>
  <c r="O126" i="2183"/>
  <c r="O128" i="2183" s="1"/>
  <c r="AI124" i="2185"/>
  <c r="AI122" i="2185"/>
  <c r="AM122" i="2176"/>
  <c r="AM124" i="2176"/>
  <c r="O136" i="2174"/>
  <c r="H136" i="2185"/>
  <c r="H139" i="2185" s="1"/>
  <c r="E126" i="2185"/>
  <c r="E128" i="2185" s="1"/>
  <c r="I141" i="2182"/>
  <c r="I124" i="2182"/>
  <c r="I116" i="2182"/>
  <c r="I127" i="2182" s="1"/>
  <c r="I122" i="2182"/>
  <c r="O138" i="2175"/>
  <c r="O140" i="2175" s="1"/>
  <c r="O136" i="2179"/>
  <c r="AD126" i="2177"/>
  <c r="AD128" i="2177" s="1"/>
  <c r="AH126" i="2181"/>
  <c r="AH128" i="2181" s="1"/>
  <c r="G135" i="2176"/>
  <c r="S141" i="2183"/>
  <c r="S124" i="2183"/>
  <c r="S116" i="2183"/>
  <c r="S127" i="2183" s="1"/>
  <c r="S122" i="2183"/>
  <c r="S126" i="2183" s="1"/>
  <c r="O126" i="2185"/>
  <c r="O128" i="2185" s="1"/>
  <c r="L141" i="2182"/>
  <c r="L116" i="2182"/>
  <c r="L127" i="2182" s="1"/>
  <c r="L124" i="2182"/>
  <c r="L122" i="2182"/>
  <c r="V135" i="2179"/>
  <c r="V136" i="2179" s="1"/>
  <c r="V138" i="2179" s="1"/>
  <c r="V140" i="2179" s="1"/>
  <c r="AI135" i="2186"/>
  <c r="AI136" i="2186" s="1"/>
  <c r="AJ124" i="2176"/>
  <c r="AJ122" i="2176"/>
  <c r="AJ126" i="2176" s="1"/>
  <c r="AJ128" i="2176" s="1"/>
  <c r="R126" i="2185"/>
  <c r="R128" i="2185" s="1"/>
  <c r="E128" i="2184"/>
  <c r="I141" i="2180"/>
  <c r="I124" i="2180"/>
  <c r="I122" i="2180"/>
  <c r="I116" i="2180"/>
  <c r="I127" i="2180" s="1"/>
  <c r="G141" i="2185"/>
  <c r="G124" i="2185"/>
  <c r="G122" i="2185"/>
  <c r="G116" i="2185"/>
  <c r="G127" i="2185" s="1"/>
  <c r="Q141" i="2180"/>
  <c r="Q124" i="2180"/>
  <c r="Q122" i="2180"/>
  <c r="Q116" i="2180"/>
  <c r="Q127" i="2180" s="1"/>
  <c r="AF122" i="2182"/>
  <c r="AF124" i="2182"/>
  <c r="AO124" i="2180"/>
  <c r="AO122" i="2180"/>
  <c r="Y122" i="2186"/>
  <c r="Y124" i="2186"/>
  <c r="AP124" i="2176"/>
  <c r="AP122" i="2176"/>
  <c r="G135" i="2174"/>
  <c r="AI122" i="2183"/>
  <c r="AI124" i="2183"/>
  <c r="AI124" i="2176"/>
  <c r="AI122" i="2176"/>
  <c r="E133" i="2177"/>
  <c r="M135" i="2175"/>
  <c r="R135" i="2177"/>
  <c r="AJ122" i="2186"/>
  <c r="AJ124" i="2186"/>
  <c r="J126" i="2184"/>
  <c r="J128" i="2184" s="1"/>
  <c r="C174" i="2180"/>
  <c r="E141" i="2180"/>
  <c r="E116" i="2180"/>
  <c r="E127" i="2180" s="1"/>
  <c r="E124" i="2180"/>
  <c r="C175" i="2180"/>
  <c r="E122" i="2180"/>
  <c r="K133" i="2185"/>
  <c r="Q133" i="2185"/>
  <c r="W116" i="2182"/>
  <c r="W127" i="2182" s="1"/>
  <c r="W122" i="2182"/>
  <c r="W124" i="2182"/>
  <c r="G133" i="2180"/>
  <c r="J133" i="2180"/>
  <c r="L133" i="2180"/>
  <c r="AN126" i="2175"/>
  <c r="AN128" i="2175" s="1"/>
  <c r="J136" i="2181"/>
  <c r="AD124" i="2182"/>
  <c r="AD122" i="2182"/>
  <c r="AJ135" i="2175"/>
  <c r="AJ136" i="2175" s="1"/>
  <c r="AJ138" i="2175" s="1"/>
  <c r="AJ140" i="2175" s="1"/>
  <c r="Q141" i="2186"/>
  <c r="Q122" i="2186"/>
  <c r="Q124" i="2186"/>
  <c r="Q116" i="2186"/>
  <c r="Q127" i="2186" s="1"/>
  <c r="I136" i="2181"/>
  <c r="I139" i="2181" s="1"/>
  <c r="L141" i="2176"/>
  <c r="L124" i="2176"/>
  <c r="L116" i="2176"/>
  <c r="L127" i="2176" s="1"/>
  <c r="L122" i="2176"/>
  <c r="L126" i="2176" s="1"/>
  <c r="J126" i="2185"/>
  <c r="J128" i="2185" s="1"/>
  <c r="AA122" i="2182"/>
  <c r="AA124" i="2182"/>
  <c r="E126" i="2179"/>
  <c r="E128" i="2179" s="1"/>
  <c r="AI122" i="2182"/>
  <c r="AI124" i="2182"/>
  <c r="M135" i="2177"/>
  <c r="O27" i="65"/>
  <c r="X24" i="65"/>
  <c r="Q27" i="65"/>
  <c r="Q9" i="65"/>
  <c r="Q20" i="65"/>
  <c r="P17" i="65"/>
  <c r="X25" i="65"/>
  <c r="AC126" i="2186" l="1"/>
  <c r="AC128" i="2186" s="1"/>
  <c r="AA138" i="2186"/>
  <c r="AA140" i="2186" s="1"/>
  <c r="Q126" i="2186"/>
  <c r="Q128" i="2186" s="1"/>
  <c r="G126" i="2186"/>
  <c r="G128" i="2186" s="1"/>
  <c r="AK126" i="2186"/>
  <c r="AK128" i="2186" s="1"/>
  <c r="F126" i="2186"/>
  <c r="F128" i="2186" s="1"/>
  <c r="U126" i="2186"/>
  <c r="U128" i="2186" s="1"/>
  <c r="J128" i="2186"/>
  <c r="H126" i="2186"/>
  <c r="S126" i="2186"/>
  <c r="AL126" i="2186"/>
  <c r="AL128" i="2186" s="1"/>
  <c r="AO126" i="2185"/>
  <c r="AO128" i="2185" s="1"/>
  <c r="AB126" i="2185"/>
  <c r="AB128" i="2185" s="1"/>
  <c r="AN126" i="2185"/>
  <c r="AN128" i="2185" s="1"/>
  <c r="X126" i="2185"/>
  <c r="AQ126" i="2185"/>
  <c r="AQ128" i="2185" s="1"/>
  <c r="F126" i="2185"/>
  <c r="G128" i="2184"/>
  <c r="G135" i="2184" s="1"/>
  <c r="Z126" i="2183"/>
  <c r="Z128" i="2183" s="1"/>
  <c r="AR126" i="2182"/>
  <c r="AR128" i="2182" s="1"/>
  <c r="AC126" i="2182"/>
  <c r="AC128" i="2182" s="1"/>
  <c r="AO126" i="2180"/>
  <c r="AO128" i="2180" s="1"/>
  <c r="S126" i="2180"/>
  <c r="T126" i="2180"/>
  <c r="D147" i="2178"/>
  <c r="AM126" i="2177"/>
  <c r="AM128" i="2177" s="1"/>
  <c r="AA139" i="2176"/>
  <c r="U126" i="2176"/>
  <c r="AB126" i="2174"/>
  <c r="AB128" i="2174" s="1"/>
  <c r="J126" i="2174"/>
  <c r="J128" i="2174" s="1"/>
  <c r="AA126" i="2174"/>
  <c r="AA128" i="2174" s="1"/>
  <c r="M126" i="2174"/>
  <c r="M128" i="2174" s="1"/>
  <c r="M135" i="2174" s="1"/>
  <c r="M136" i="2174" s="1"/>
  <c r="K128" i="2174"/>
  <c r="K135" i="2174" s="1"/>
  <c r="K136" i="2174" s="1"/>
  <c r="AP135" i="2174"/>
  <c r="AP136" i="2174" s="1"/>
  <c r="AP139" i="2174" s="1"/>
  <c r="AP138" i="2174"/>
  <c r="AP140" i="2174" s="1"/>
  <c r="AN126" i="2174"/>
  <c r="AN128" i="2174" s="1"/>
  <c r="T126" i="2174"/>
  <c r="T128" i="2174" s="1"/>
  <c r="AH135" i="2174"/>
  <c r="AH136" i="2174" s="1"/>
  <c r="AH139" i="2174" s="1"/>
  <c r="AI126" i="2174"/>
  <c r="AI128" i="2174" s="1"/>
  <c r="C176" i="2174"/>
  <c r="C8" i="2174" s="1"/>
  <c r="AB135" i="2174"/>
  <c r="AB136" i="2174" s="1"/>
  <c r="AB138" i="2174" s="1"/>
  <c r="AB140" i="2174" s="1"/>
  <c r="D147" i="2174"/>
  <c r="AC126" i="2174"/>
  <c r="AC128" i="2174" s="1"/>
  <c r="AR126" i="2174"/>
  <c r="AR128" i="2174" s="1"/>
  <c r="L126" i="2174"/>
  <c r="L128" i="2174" s="1"/>
  <c r="C8" i="2187"/>
  <c r="C8" i="2192"/>
  <c r="Q138" i="2185"/>
  <c r="Q140" i="2185" s="1"/>
  <c r="K138" i="2185"/>
  <c r="K140" i="2185" s="1"/>
  <c r="S128" i="2185"/>
  <c r="S135" i="2185" s="1"/>
  <c r="AO138" i="2181"/>
  <c r="AO140" i="2181" s="1"/>
  <c r="T138" i="2183"/>
  <c r="T140" i="2183" s="1"/>
  <c r="AG138" i="2185"/>
  <c r="AG140" i="2185" s="1"/>
  <c r="S126" i="2178"/>
  <c r="S128" i="2178" s="1"/>
  <c r="S135" i="2178" s="1"/>
  <c r="R126" i="2178"/>
  <c r="T135" i="2178"/>
  <c r="T136" i="2178" s="1"/>
  <c r="T139" i="2178" s="1"/>
  <c r="Z126" i="2178"/>
  <c r="Z128" i="2178" s="1"/>
  <c r="AB126" i="2178"/>
  <c r="AB128" i="2178" s="1"/>
  <c r="AA138" i="2178"/>
  <c r="AA140" i="2178" s="1"/>
  <c r="AH126" i="2178"/>
  <c r="AH128" i="2178" s="1"/>
  <c r="AQ126" i="2178"/>
  <c r="AQ128" i="2178" s="1"/>
  <c r="R128" i="2178"/>
  <c r="R135" i="2178" s="1"/>
  <c r="R136" i="2178" s="1"/>
  <c r="AP126" i="2178"/>
  <c r="AP128" i="2178" s="1"/>
  <c r="K128" i="2178"/>
  <c r="K135" i="2178" s="1"/>
  <c r="K136" i="2178" s="1"/>
  <c r="Y138" i="2178"/>
  <c r="Y140" i="2178" s="1"/>
  <c r="AO126" i="2178"/>
  <c r="AO128" i="2178" s="1"/>
  <c r="AJ126" i="2178"/>
  <c r="AJ128" i="2178" s="1"/>
  <c r="AL138" i="2177"/>
  <c r="AL140" i="2177" s="1"/>
  <c r="Q138" i="2177"/>
  <c r="Q140" i="2177" s="1"/>
  <c r="AP126" i="2177"/>
  <c r="AP128" i="2177" s="1"/>
  <c r="J126" i="2177"/>
  <c r="J128" i="2177" s="1"/>
  <c r="J135" i="2177" s="1"/>
  <c r="AM135" i="2177"/>
  <c r="AM136" i="2177" s="1"/>
  <c r="AM139" i="2177" s="1"/>
  <c r="Y135" i="2177"/>
  <c r="Y136" i="2177" s="1"/>
  <c r="Y139" i="2177" s="1"/>
  <c r="Y138" i="2177"/>
  <c r="Y140" i="2177" s="1"/>
  <c r="AH126" i="2177"/>
  <c r="AH128" i="2177" s="1"/>
  <c r="AG135" i="2177"/>
  <c r="AG136" i="2177" s="1"/>
  <c r="AG139" i="2177" s="1"/>
  <c r="AN126" i="2177"/>
  <c r="AN128" i="2177" s="1"/>
  <c r="L138" i="2177"/>
  <c r="L140" i="2177" s="1"/>
  <c r="AO126" i="2177"/>
  <c r="AO128" i="2177" s="1"/>
  <c r="P128" i="2176"/>
  <c r="U128" i="2176"/>
  <c r="F128" i="2176"/>
  <c r="AO138" i="2175"/>
  <c r="AO140" i="2175" s="1"/>
  <c r="Y139" i="2175"/>
  <c r="T138" i="2175"/>
  <c r="T140" i="2175" s="1"/>
  <c r="AI138" i="2186"/>
  <c r="AI140" i="2186" s="1"/>
  <c r="AI139" i="2186"/>
  <c r="C176" i="2180"/>
  <c r="C8" i="2180" s="1"/>
  <c r="C176" i="2182"/>
  <c r="C8" i="2182" s="1"/>
  <c r="H126" i="2189"/>
  <c r="C176" i="2189"/>
  <c r="G138" i="2191"/>
  <c r="G140" i="2191" s="1"/>
  <c r="AA138" i="2188"/>
  <c r="AA140" i="2188" s="1"/>
  <c r="X128" i="2185"/>
  <c r="X135" i="2185" s="1"/>
  <c r="X136" i="2185" s="1"/>
  <c r="X139" i="2185" s="1"/>
  <c r="AO138" i="2184"/>
  <c r="AO140" i="2184" s="1"/>
  <c r="AR139" i="2183"/>
  <c r="AK139" i="2181"/>
  <c r="S128" i="2180"/>
  <c r="S135" i="2180" s="1"/>
  <c r="AA138" i="2179"/>
  <c r="AA140" i="2179" s="1"/>
  <c r="AB139" i="2179"/>
  <c r="AK139" i="2179"/>
  <c r="AI138" i="2188"/>
  <c r="AI140" i="2188" s="1"/>
  <c r="V138" i="2188"/>
  <c r="V140" i="2188" s="1"/>
  <c r="D147" i="2185"/>
  <c r="AJ135" i="2185"/>
  <c r="AJ136" i="2185" s="1"/>
  <c r="AJ138" i="2185" s="1"/>
  <c r="AJ140" i="2185" s="1"/>
  <c r="AE138" i="2185"/>
  <c r="AE140" i="2185" s="1"/>
  <c r="AN135" i="2185"/>
  <c r="AN136" i="2185" s="1"/>
  <c r="AN138" i="2185" s="1"/>
  <c r="AN140" i="2185" s="1"/>
  <c r="AR135" i="2185"/>
  <c r="AR136" i="2185" s="1"/>
  <c r="AR139" i="2185" s="1"/>
  <c r="AF126" i="2185"/>
  <c r="AF128" i="2185" s="1"/>
  <c r="AF135" i="2185" s="1"/>
  <c r="AF136" i="2185" s="1"/>
  <c r="AF138" i="2185" s="1"/>
  <c r="AF140" i="2185" s="1"/>
  <c r="AH138" i="2184"/>
  <c r="AH140" i="2184" s="1"/>
  <c r="Z139" i="2184"/>
  <c r="R126" i="2183"/>
  <c r="AB135" i="2183"/>
  <c r="AB136" i="2183" s="1"/>
  <c r="AB139" i="2183" s="1"/>
  <c r="S128" i="2183"/>
  <c r="AA126" i="2183"/>
  <c r="AA128" i="2183" s="1"/>
  <c r="F128" i="2183"/>
  <c r="F135" i="2183" s="1"/>
  <c r="D147" i="2183"/>
  <c r="AJ135" i="2183"/>
  <c r="AJ136" i="2183" s="1"/>
  <c r="AJ138" i="2183" s="1"/>
  <c r="AJ140" i="2183" s="1"/>
  <c r="K126" i="2183"/>
  <c r="AM126" i="2182"/>
  <c r="AM128" i="2182" s="1"/>
  <c r="Q126" i="2182"/>
  <c r="N126" i="2182"/>
  <c r="N128" i="2182" s="1"/>
  <c r="I126" i="2182"/>
  <c r="F126" i="2182"/>
  <c r="F128" i="2182" s="1"/>
  <c r="AD126" i="2182"/>
  <c r="AD128" i="2182" s="1"/>
  <c r="AD135" i="2182" s="1"/>
  <c r="AD136" i="2182" s="1"/>
  <c r="AD139" i="2182" s="1"/>
  <c r="L126" i="2182"/>
  <c r="L128" i="2182" s="1"/>
  <c r="S126" i="2182"/>
  <c r="J126" i="2182"/>
  <c r="AO126" i="2182"/>
  <c r="AO128" i="2182" s="1"/>
  <c r="AA139" i="2181"/>
  <c r="Y126" i="2181"/>
  <c r="Y128" i="2181" s="1"/>
  <c r="T138" i="2181"/>
  <c r="T140" i="2181" s="1"/>
  <c r="AQ138" i="2181"/>
  <c r="AQ140" i="2181" s="1"/>
  <c r="AM135" i="2181"/>
  <c r="AM136" i="2181" s="1"/>
  <c r="AM138" i="2181" s="1"/>
  <c r="AM140" i="2181" s="1"/>
  <c r="G126" i="2181"/>
  <c r="G128" i="2181" s="1"/>
  <c r="G135" i="2181" s="1"/>
  <c r="G136" i="2181" s="1"/>
  <c r="AC139" i="2181"/>
  <c r="E126" i="2180"/>
  <c r="E128" i="2180" s="1"/>
  <c r="E135" i="2180" s="1"/>
  <c r="AN126" i="2180"/>
  <c r="AN128" i="2180" s="1"/>
  <c r="N126" i="2180"/>
  <c r="N128" i="2180" s="1"/>
  <c r="AJ126" i="2180"/>
  <c r="AJ128" i="2180" s="1"/>
  <c r="AQ126" i="2180"/>
  <c r="AQ128" i="2180" s="1"/>
  <c r="AQ135" i="2180" s="1"/>
  <c r="AQ136" i="2180" s="1"/>
  <c r="AQ139" i="2180" s="1"/>
  <c r="AD126" i="2180"/>
  <c r="AD128" i="2180" s="1"/>
  <c r="AK126" i="2180"/>
  <c r="AK128" i="2180" s="1"/>
  <c r="G126" i="2180"/>
  <c r="L126" i="2180"/>
  <c r="L128" i="2180" s="1"/>
  <c r="L135" i="2180" s="1"/>
  <c r="T128" i="2180"/>
  <c r="AR126" i="2180"/>
  <c r="AR128" i="2180" s="1"/>
  <c r="P126" i="2180"/>
  <c r="Y126" i="2180"/>
  <c r="Y128" i="2180" s="1"/>
  <c r="W126" i="2180"/>
  <c r="W128" i="2180" s="1"/>
  <c r="AC126" i="2180"/>
  <c r="AC128" i="2180" s="1"/>
  <c r="K126" i="2190"/>
  <c r="AM126" i="2189"/>
  <c r="AM128" i="2189" s="1"/>
  <c r="AM135" i="2189" s="1"/>
  <c r="AM136" i="2189" s="1"/>
  <c r="AM139" i="2189" s="1"/>
  <c r="X126" i="2189"/>
  <c r="X128" i="2189" s="1"/>
  <c r="X135" i="2189" s="1"/>
  <c r="X136" i="2189" s="1"/>
  <c r="X138" i="2189" s="1"/>
  <c r="X140" i="2189" s="1"/>
  <c r="AR126" i="2189"/>
  <c r="AR128" i="2189" s="1"/>
  <c r="AR135" i="2189" s="1"/>
  <c r="AR136" i="2189" s="1"/>
  <c r="AR139" i="2189" s="1"/>
  <c r="W139" i="2188"/>
  <c r="M126" i="2188"/>
  <c r="M128" i="2188" s="1"/>
  <c r="M135" i="2188" s="1"/>
  <c r="AC126" i="2188"/>
  <c r="AC128" i="2188" s="1"/>
  <c r="J126" i="2188"/>
  <c r="J128" i="2188" s="1"/>
  <c r="J126" i="2191"/>
  <c r="J128" i="2191" s="1"/>
  <c r="J135" i="2191" s="1"/>
  <c r="AC126" i="2191"/>
  <c r="AC128" i="2191" s="1"/>
  <c r="AC135" i="2191" s="1"/>
  <c r="AC136" i="2191" s="1"/>
  <c r="AC139" i="2191" s="1"/>
  <c r="AI126" i="2190"/>
  <c r="AI128" i="2190" s="1"/>
  <c r="AI135" i="2190" s="1"/>
  <c r="AI136" i="2190" s="1"/>
  <c r="AI138" i="2190" s="1"/>
  <c r="AI140" i="2190" s="1"/>
  <c r="C176" i="2190"/>
  <c r="AJ126" i="2190"/>
  <c r="AJ128" i="2190" s="1"/>
  <c r="AJ135" i="2190" s="1"/>
  <c r="AJ136" i="2190" s="1"/>
  <c r="AJ139" i="2190" s="1"/>
  <c r="N126" i="2190"/>
  <c r="N128" i="2190" s="1"/>
  <c r="N135" i="2190" s="1"/>
  <c r="AD126" i="2190"/>
  <c r="AD128" i="2190" s="1"/>
  <c r="AD135" i="2190" s="1"/>
  <c r="AD136" i="2190" s="1"/>
  <c r="AD138" i="2190" s="1"/>
  <c r="AD140" i="2190" s="1"/>
  <c r="L126" i="2189"/>
  <c r="AJ126" i="2189"/>
  <c r="AJ128" i="2189" s="1"/>
  <c r="AJ135" i="2189" s="1"/>
  <c r="AJ136" i="2189" s="1"/>
  <c r="AJ138" i="2189" s="1"/>
  <c r="AJ140" i="2189" s="1"/>
  <c r="AC126" i="2189"/>
  <c r="AC128" i="2189" s="1"/>
  <c r="AC135" i="2189" s="1"/>
  <c r="AC136" i="2189" s="1"/>
  <c r="AC139" i="2189" s="1"/>
  <c r="AI138" i="2187"/>
  <c r="AI140" i="2187" s="1"/>
  <c r="W139" i="2187"/>
  <c r="AO139" i="2191"/>
  <c r="D147" i="2191"/>
  <c r="M126" i="2191"/>
  <c r="M128" i="2191" s="1"/>
  <c r="X126" i="2191"/>
  <c r="N126" i="2191"/>
  <c r="N128" i="2191" s="1"/>
  <c r="Z135" i="2190"/>
  <c r="Z136" i="2190" s="1"/>
  <c r="Z138" i="2190" s="1"/>
  <c r="Z140" i="2190" s="1"/>
  <c r="AM138" i="2190"/>
  <c r="AM140" i="2190" s="1"/>
  <c r="U138" i="2190"/>
  <c r="U140" i="2190" s="1"/>
  <c r="AO126" i="2190"/>
  <c r="AO128" i="2190" s="1"/>
  <c r="AO135" i="2190" s="1"/>
  <c r="AO136" i="2190" s="1"/>
  <c r="AO139" i="2190" s="1"/>
  <c r="H128" i="2189"/>
  <c r="H135" i="2189" s="1"/>
  <c r="Z126" i="2189"/>
  <c r="Z128" i="2189" s="1"/>
  <c r="Z135" i="2189" s="1"/>
  <c r="Z136" i="2189" s="1"/>
  <c r="Z139" i="2189" s="1"/>
  <c r="O126" i="2189"/>
  <c r="O128" i="2189" s="1"/>
  <c r="J126" i="2189"/>
  <c r="J128" i="2189" s="1"/>
  <c r="J135" i="2189" s="1"/>
  <c r="U126" i="2188"/>
  <c r="U128" i="2188" s="1"/>
  <c r="U135" i="2188" s="1"/>
  <c r="U136" i="2188" s="1"/>
  <c r="U139" i="2188" s="1"/>
  <c r="E126" i="2188"/>
  <c r="AJ138" i="2187"/>
  <c r="AJ140" i="2187" s="1"/>
  <c r="AE139" i="2187"/>
  <c r="AN138" i="2192"/>
  <c r="AN140" i="2192" s="1"/>
  <c r="AD138" i="2192"/>
  <c r="AD140" i="2192" s="1"/>
  <c r="L138" i="2192"/>
  <c r="L140" i="2192" s="1"/>
  <c r="S138" i="2192"/>
  <c r="S140" i="2192" s="1"/>
  <c r="AG138" i="2191"/>
  <c r="AG140" i="2191" s="1"/>
  <c r="AG139" i="2191"/>
  <c r="AF138" i="2191"/>
  <c r="AF140" i="2191" s="1"/>
  <c r="U126" i="2191"/>
  <c r="U128" i="2191" s="1"/>
  <c r="AP126" i="2191"/>
  <c r="AP128" i="2191" s="1"/>
  <c r="AP135" i="2191" s="1"/>
  <c r="AP136" i="2191" s="1"/>
  <c r="AP138" i="2191" s="1"/>
  <c r="AP140" i="2191" s="1"/>
  <c r="F126" i="2191"/>
  <c r="F128" i="2191" s="1"/>
  <c r="X128" i="2191"/>
  <c r="AL126" i="2191"/>
  <c r="AL128" i="2191" s="1"/>
  <c r="AL135" i="2191" s="1"/>
  <c r="AL136" i="2191" s="1"/>
  <c r="AL139" i="2191" s="1"/>
  <c r="AN139" i="2191"/>
  <c r="AP126" i="2190"/>
  <c r="AP128" i="2190" s="1"/>
  <c r="AP135" i="2190" s="1"/>
  <c r="AP136" i="2190" s="1"/>
  <c r="AP138" i="2190" s="1"/>
  <c r="AP140" i="2190" s="1"/>
  <c r="D147" i="2190"/>
  <c r="AB135" i="2190"/>
  <c r="AB136" i="2190" s="1"/>
  <c r="AB139" i="2190" s="1"/>
  <c r="AC139" i="2190"/>
  <c r="W138" i="2190"/>
  <c r="W140" i="2190" s="1"/>
  <c r="AE126" i="2190"/>
  <c r="AE128" i="2190" s="1"/>
  <c r="AE135" i="2190" s="1"/>
  <c r="AE136" i="2190" s="1"/>
  <c r="AE138" i="2190" s="1"/>
  <c r="AE140" i="2190" s="1"/>
  <c r="Q126" i="2190"/>
  <c r="Q128" i="2190" s="1"/>
  <c r="Q135" i="2190" s="1"/>
  <c r="M126" i="2190"/>
  <c r="M128" i="2190" s="1"/>
  <c r="AK126" i="2190"/>
  <c r="AK128" i="2190" s="1"/>
  <c r="D147" i="2189"/>
  <c r="T126" i="2189"/>
  <c r="T128" i="2189" s="1"/>
  <c r="T135" i="2189" s="1"/>
  <c r="T136" i="2189" s="1"/>
  <c r="T139" i="2189" s="1"/>
  <c r="AK138" i="2189"/>
  <c r="AK140" i="2189" s="1"/>
  <c r="AP126" i="2189"/>
  <c r="AP128" i="2189" s="1"/>
  <c r="AQ126" i="2189"/>
  <c r="AQ128" i="2189" s="1"/>
  <c r="AQ135" i="2189" s="1"/>
  <c r="AQ136" i="2189" s="1"/>
  <c r="AQ139" i="2189" s="1"/>
  <c r="Y126" i="2189"/>
  <c r="Y128" i="2189" s="1"/>
  <c r="S126" i="2188"/>
  <c r="S128" i="2188" s="1"/>
  <c r="S135" i="2188" s="1"/>
  <c r="AB126" i="2188"/>
  <c r="AB128" i="2188" s="1"/>
  <c r="AB135" i="2188" s="1"/>
  <c r="AB136" i="2188" s="1"/>
  <c r="AB139" i="2188" s="1"/>
  <c r="X126" i="2188"/>
  <c r="X128" i="2188" s="1"/>
  <c r="AJ126" i="2188"/>
  <c r="AJ128" i="2188" s="1"/>
  <c r="AJ135" i="2188" s="1"/>
  <c r="AJ136" i="2188" s="1"/>
  <c r="AJ138" i="2188" s="1"/>
  <c r="AJ140" i="2188" s="1"/>
  <c r="AR126" i="2188"/>
  <c r="AR128" i="2188" s="1"/>
  <c r="AR135" i="2188" s="1"/>
  <c r="AR136" i="2188" s="1"/>
  <c r="AR139" i="2188" s="1"/>
  <c r="AQ138" i="2188"/>
  <c r="AQ140" i="2188" s="1"/>
  <c r="AG139" i="2188"/>
  <c r="E128" i="2188"/>
  <c r="E135" i="2188" s="1"/>
  <c r="AK126" i="2188"/>
  <c r="AK128" i="2188" s="1"/>
  <c r="AK135" i="2188" s="1"/>
  <c r="AK136" i="2188" s="1"/>
  <c r="AK139" i="2188" s="1"/>
  <c r="AH126" i="2188"/>
  <c r="AH128" i="2188" s="1"/>
  <c r="AH135" i="2188" s="1"/>
  <c r="AH136" i="2188" s="1"/>
  <c r="AH139" i="2188" s="1"/>
  <c r="AE126" i="2188"/>
  <c r="AE128" i="2188" s="1"/>
  <c r="AE135" i="2188" s="1"/>
  <c r="AE136" i="2188" s="1"/>
  <c r="AE139" i="2188" s="1"/>
  <c r="AP126" i="2188"/>
  <c r="AP128" i="2188" s="1"/>
  <c r="AP135" i="2188" s="1"/>
  <c r="AP136" i="2188" s="1"/>
  <c r="AP138" i="2188" s="1"/>
  <c r="AP140" i="2188" s="1"/>
  <c r="I126" i="2188"/>
  <c r="I128" i="2188" s="1"/>
  <c r="G135" i="2190"/>
  <c r="AE138" i="2189"/>
  <c r="AE140" i="2189" s="1"/>
  <c r="E136" i="2191"/>
  <c r="M139" i="2189"/>
  <c r="M138" i="2189"/>
  <c r="M140" i="2189" s="1"/>
  <c r="R139" i="2192"/>
  <c r="R138" i="2192"/>
  <c r="R140" i="2192" s="1"/>
  <c r="AD138" i="2187"/>
  <c r="AD140" i="2187" s="1"/>
  <c r="S136" i="2191"/>
  <c r="S139" i="2191" s="1"/>
  <c r="AR138" i="2187"/>
  <c r="AR140" i="2187" s="1"/>
  <c r="AK139" i="2187"/>
  <c r="D147" i="2188"/>
  <c r="O126" i="2188"/>
  <c r="O128" i="2188" s="1"/>
  <c r="AO126" i="2188"/>
  <c r="AO128" i="2188" s="1"/>
  <c r="AD126" i="2191"/>
  <c r="AD128" i="2191" s="1"/>
  <c r="V138" i="2190"/>
  <c r="V140" i="2190" s="1"/>
  <c r="F135" i="2192"/>
  <c r="AL135" i="2188"/>
  <c r="AL136" i="2188" s="1"/>
  <c r="AL139" i="2188" s="1"/>
  <c r="I138" i="2190"/>
  <c r="I140" i="2190" s="1"/>
  <c r="P138" i="2192"/>
  <c r="P140" i="2192" s="1"/>
  <c r="P139" i="2192"/>
  <c r="R135" i="2190"/>
  <c r="V138" i="2189"/>
  <c r="V140" i="2189" s="1"/>
  <c r="L138" i="2190"/>
  <c r="L140" i="2190" s="1"/>
  <c r="L139" i="2190"/>
  <c r="K139" i="2192"/>
  <c r="K138" i="2192"/>
  <c r="K140" i="2192" s="1"/>
  <c r="I138" i="2187"/>
  <c r="I140" i="2187" s="1"/>
  <c r="I139" i="2187"/>
  <c r="Z126" i="2188"/>
  <c r="Z128" i="2188" s="1"/>
  <c r="AN126" i="2189"/>
  <c r="AN128" i="2189" s="1"/>
  <c r="AA126" i="2189"/>
  <c r="AA128" i="2189" s="1"/>
  <c r="F135" i="2188"/>
  <c r="T138" i="2190"/>
  <c r="T140" i="2190" s="1"/>
  <c r="F136" i="2187"/>
  <c r="R126" i="2188"/>
  <c r="R128" i="2188" s="1"/>
  <c r="AH126" i="2191"/>
  <c r="AH128" i="2191" s="1"/>
  <c r="S126" i="2190"/>
  <c r="S128" i="2190" s="1"/>
  <c r="H136" i="2191"/>
  <c r="G136" i="2192"/>
  <c r="P136" i="2189"/>
  <c r="AI126" i="2189"/>
  <c r="AI128" i="2189" s="1"/>
  <c r="U135" i="2189"/>
  <c r="U136" i="2189" s="1"/>
  <c r="U139" i="2189" s="1"/>
  <c r="L138" i="2187"/>
  <c r="L140" i="2187" s="1"/>
  <c r="L139" i="2187"/>
  <c r="E135" i="2190"/>
  <c r="H136" i="2190"/>
  <c r="Q135" i="2192"/>
  <c r="L136" i="2191"/>
  <c r="G136" i="2189"/>
  <c r="E135" i="2192"/>
  <c r="C176" i="2191"/>
  <c r="Y126" i="2191"/>
  <c r="Y128" i="2191" s="1"/>
  <c r="K135" i="2187"/>
  <c r="AL135" i="2187"/>
  <c r="AL136" i="2187" s="1"/>
  <c r="AL138" i="2187" s="1"/>
  <c r="AL140" i="2187" s="1"/>
  <c r="V135" i="2191"/>
  <c r="V136" i="2191" s="1"/>
  <c r="V139" i="2191" s="1"/>
  <c r="C176" i="2188"/>
  <c r="U138" i="2187"/>
  <c r="U140" i="2187" s="1"/>
  <c r="H136" i="2188"/>
  <c r="AK138" i="2191"/>
  <c r="AK140" i="2191" s="1"/>
  <c r="I135" i="2191"/>
  <c r="AB126" i="2189"/>
  <c r="AB128" i="2189" s="1"/>
  <c r="AA135" i="2187"/>
  <c r="AA136" i="2187" s="1"/>
  <c r="AA138" i="2187" s="1"/>
  <c r="AA140" i="2187" s="1"/>
  <c r="AQ135" i="2187"/>
  <c r="AQ136" i="2187" s="1"/>
  <c r="AQ139" i="2187" s="1"/>
  <c r="T138" i="2188"/>
  <c r="T140" i="2188" s="1"/>
  <c r="J138" i="2187"/>
  <c r="J140" i="2187" s="1"/>
  <c r="AC135" i="2192"/>
  <c r="AC136" i="2192" s="1"/>
  <c r="AC138" i="2192" s="1"/>
  <c r="AC140" i="2192" s="1"/>
  <c r="I135" i="2192"/>
  <c r="AC135" i="2188"/>
  <c r="AC136" i="2188" s="1"/>
  <c r="AC139" i="2188" s="1"/>
  <c r="L128" i="2189"/>
  <c r="P139" i="2187"/>
  <c r="P138" i="2187"/>
  <c r="P140" i="2187" s="1"/>
  <c r="X138" i="2187"/>
  <c r="X140" i="2187" s="1"/>
  <c r="Y135" i="2192"/>
  <c r="Y136" i="2192" s="1"/>
  <c r="Y139" i="2192" s="1"/>
  <c r="Q135" i="2191"/>
  <c r="E135" i="2189"/>
  <c r="K128" i="2190"/>
  <c r="W138" i="2192"/>
  <c r="W140" i="2192" s="1"/>
  <c r="G136" i="2188"/>
  <c r="G139" i="2188" s="1"/>
  <c r="K126" i="2191"/>
  <c r="K128" i="2191" s="1"/>
  <c r="AN126" i="2188"/>
  <c r="AN128" i="2188" s="1"/>
  <c r="AQ126" i="2190"/>
  <c r="AQ128" i="2190" s="1"/>
  <c r="F126" i="2190"/>
  <c r="F128" i="2190" s="1"/>
  <c r="J126" i="2190"/>
  <c r="J128" i="2190" s="1"/>
  <c r="S136" i="2187"/>
  <c r="AL138" i="2190"/>
  <c r="AL140" i="2190" s="1"/>
  <c r="M135" i="2187"/>
  <c r="X135" i="2190"/>
  <c r="X136" i="2190" s="1"/>
  <c r="X139" i="2190" s="1"/>
  <c r="U139" i="2192"/>
  <c r="AC135" i="2187"/>
  <c r="AC136" i="2187" s="1"/>
  <c r="AC139" i="2187" s="1"/>
  <c r="N135" i="2192"/>
  <c r="K126" i="2189"/>
  <c r="K128" i="2189" s="1"/>
  <c r="P136" i="2191"/>
  <c r="AB126" i="2191"/>
  <c r="AB128" i="2191" s="1"/>
  <c r="L126" i="2188"/>
  <c r="L128" i="2188" s="1"/>
  <c r="AF135" i="2192"/>
  <c r="AF136" i="2192" s="1"/>
  <c r="AF139" i="2192" s="1"/>
  <c r="H139" i="2192"/>
  <c r="H138" i="2192"/>
  <c r="H140" i="2192" s="1"/>
  <c r="N126" i="2189"/>
  <c r="N128" i="2189" s="1"/>
  <c r="E135" i="2187"/>
  <c r="R139" i="2187"/>
  <c r="R138" i="2187"/>
  <c r="R140" i="2187" s="1"/>
  <c r="P126" i="2188"/>
  <c r="P128" i="2188" s="1"/>
  <c r="N126" i="2188"/>
  <c r="N128" i="2188" s="1"/>
  <c r="O136" i="2191"/>
  <c r="N135" i="2187"/>
  <c r="P126" i="2190"/>
  <c r="P128" i="2190" s="1"/>
  <c r="AP135" i="2189"/>
  <c r="AP136" i="2189" s="1"/>
  <c r="AP138" i="2189" s="1"/>
  <c r="AP140" i="2189" s="1"/>
  <c r="AF135" i="2189"/>
  <c r="AF136" i="2189" s="1"/>
  <c r="AF138" i="2189" s="1"/>
  <c r="AF140" i="2189" s="1"/>
  <c r="M135" i="2192"/>
  <c r="AM126" i="2191"/>
  <c r="AM128" i="2191" s="1"/>
  <c r="Z126" i="2191"/>
  <c r="Z128" i="2191" s="1"/>
  <c r="K136" i="2188"/>
  <c r="K139" i="2188" s="1"/>
  <c r="S126" i="2189"/>
  <c r="S128" i="2189" s="1"/>
  <c r="O138" i="2192"/>
  <c r="O140" i="2192" s="1"/>
  <c r="O139" i="2192"/>
  <c r="O136" i="2187"/>
  <c r="AL135" i="2189"/>
  <c r="AL136" i="2189" s="1"/>
  <c r="AL138" i="2189" s="1"/>
  <c r="AL140" i="2189" s="1"/>
  <c r="G138" i="2187"/>
  <c r="G140" i="2187" s="1"/>
  <c r="G139" i="2187"/>
  <c r="AH135" i="2190"/>
  <c r="AH136" i="2190" s="1"/>
  <c r="AH138" i="2190" s="1"/>
  <c r="AH140" i="2190" s="1"/>
  <c r="Y126" i="2188"/>
  <c r="Y128" i="2188" s="1"/>
  <c r="F126" i="2189"/>
  <c r="F128" i="2189" s="1"/>
  <c r="R126" i="2189"/>
  <c r="R128" i="2189" s="1"/>
  <c r="H136" i="2187"/>
  <c r="AD135" i="2189"/>
  <c r="AD136" i="2189" s="1"/>
  <c r="AD138" i="2189" s="1"/>
  <c r="AD140" i="2189" s="1"/>
  <c r="AD126" i="2188"/>
  <c r="AD128" i="2188" s="1"/>
  <c r="R126" i="2191"/>
  <c r="R128" i="2191" s="1"/>
  <c r="AG126" i="2189"/>
  <c r="AG128" i="2189" s="1"/>
  <c r="Q126" i="2188"/>
  <c r="Q128" i="2188" s="1"/>
  <c r="I136" i="2189"/>
  <c r="Q136" i="2189"/>
  <c r="O135" i="2190"/>
  <c r="AD138" i="2178"/>
  <c r="AD140" i="2178" s="1"/>
  <c r="X138" i="2178"/>
  <c r="X140" i="2178" s="1"/>
  <c r="AQ138" i="2177"/>
  <c r="AQ140" i="2177" s="1"/>
  <c r="AL138" i="2176"/>
  <c r="AL140" i="2176" s="1"/>
  <c r="T138" i="2176"/>
  <c r="T140" i="2176" s="1"/>
  <c r="AD139" i="2176"/>
  <c r="AF139" i="2175"/>
  <c r="X138" i="2175"/>
  <c r="X140" i="2175" s="1"/>
  <c r="AD138" i="2175"/>
  <c r="AD140" i="2175" s="1"/>
  <c r="C8" i="2177"/>
  <c r="C176" i="2186"/>
  <c r="C8" i="2175"/>
  <c r="C8" i="2178"/>
  <c r="L128" i="2176"/>
  <c r="Q135" i="2186"/>
  <c r="J139" i="2181"/>
  <c r="J138" i="2181"/>
  <c r="J140" i="2181" s="1"/>
  <c r="J135" i="2184"/>
  <c r="AI126" i="2176"/>
  <c r="AI128" i="2176" s="1"/>
  <c r="Q126" i="2180"/>
  <c r="Q128" i="2180" s="1"/>
  <c r="I126" i="2180"/>
  <c r="I128" i="2180" s="1"/>
  <c r="I128" i="2182"/>
  <c r="O139" i="2174"/>
  <c r="O138" i="2174"/>
  <c r="O140" i="2174" s="1"/>
  <c r="AK135" i="2176"/>
  <c r="AK136" i="2176" s="1"/>
  <c r="AK139" i="2176" s="1"/>
  <c r="M136" i="2185"/>
  <c r="M139" i="2185" s="1"/>
  <c r="R128" i="2183"/>
  <c r="E135" i="2183"/>
  <c r="G135" i="2183"/>
  <c r="AA135" i="2183"/>
  <c r="AA136" i="2183" s="1"/>
  <c r="AA138" i="2183" s="1"/>
  <c r="AA140" i="2183" s="1"/>
  <c r="AE135" i="2181"/>
  <c r="AE136" i="2181" s="1"/>
  <c r="AE138" i="2181" s="1"/>
  <c r="AE140" i="2181" s="1"/>
  <c r="V126" i="2176"/>
  <c r="V128" i="2176" s="1"/>
  <c r="K136" i="2177"/>
  <c r="Q128" i="2182"/>
  <c r="R126" i="2176"/>
  <c r="R128" i="2176" s="1"/>
  <c r="AE126" i="2182"/>
  <c r="AE128" i="2182" s="1"/>
  <c r="AP126" i="2180"/>
  <c r="AP128" i="2180" s="1"/>
  <c r="K136" i="2186"/>
  <c r="O135" i="2182"/>
  <c r="AN139" i="2184"/>
  <c r="W135" i="2180"/>
  <c r="W136" i="2180" s="1"/>
  <c r="W139" i="2180" s="1"/>
  <c r="P139" i="2178"/>
  <c r="P138" i="2178"/>
  <c r="P140" i="2178" s="1"/>
  <c r="G126" i="2182"/>
  <c r="G128" i="2182" s="1"/>
  <c r="K136" i="2184"/>
  <c r="AI139" i="2179"/>
  <c r="N135" i="2177"/>
  <c r="Y135" i="2185"/>
  <c r="Y136" i="2185" s="1"/>
  <c r="Y139" i="2185" s="1"/>
  <c r="U135" i="2176"/>
  <c r="U136" i="2176" s="1"/>
  <c r="U139" i="2176" s="1"/>
  <c r="AN126" i="2183"/>
  <c r="AN128" i="2183" s="1"/>
  <c r="C176" i="2176"/>
  <c r="Q136" i="2175"/>
  <c r="R128" i="2182"/>
  <c r="W135" i="2181"/>
  <c r="W136" i="2181" s="1"/>
  <c r="W138" i="2181" s="1"/>
  <c r="W140" i="2181" s="1"/>
  <c r="W126" i="2186"/>
  <c r="W128" i="2186" s="1"/>
  <c r="H136" i="2174"/>
  <c r="K135" i="2175"/>
  <c r="AF135" i="2180"/>
  <c r="AF136" i="2180" s="1"/>
  <c r="AF138" i="2180" s="1"/>
  <c r="AF140" i="2180" s="1"/>
  <c r="K128" i="2183"/>
  <c r="J126" i="2183"/>
  <c r="J128" i="2183" s="1"/>
  <c r="S136" i="2175"/>
  <c r="AG135" i="2182"/>
  <c r="AG136" i="2182" s="1"/>
  <c r="AG139" i="2182" s="1"/>
  <c r="Z135" i="2183"/>
  <c r="Z136" i="2183" s="1"/>
  <c r="Z139" i="2183" s="1"/>
  <c r="AG135" i="2180"/>
  <c r="AG136" i="2180" s="1"/>
  <c r="AG139" i="2180" s="1"/>
  <c r="Q136" i="2178"/>
  <c r="R138" i="2179"/>
  <c r="R140" i="2179" s="1"/>
  <c r="O135" i="2178"/>
  <c r="AO135" i="2182"/>
  <c r="AO136" i="2182" s="1"/>
  <c r="AO139" i="2182" s="1"/>
  <c r="AK135" i="2180"/>
  <c r="AK136" i="2180" s="1"/>
  <c r="AK138" i="2180" s="1"/>
  <c r="AK140" i="2180" s="1"/>
  <c r="AC135" i="2186"/>
  <c r="AC136" i="2186" s="1"/>
  <c r="AC139" i="2186" s="1"/>
  <c r="T135" i="2180"/>
  <c r="T136" i="2180" s="1"/>
  <c r="T138" i="2180" s="1"/>
  <c r="T140" i="2180" s="1"/>
  <c r="AL135" i="2183"/>
  <c r="AL136" i="2183" s="1"/>
  <c r="AL139" i="2183" s="1"/>
  <c r="P135" i="2176"/>
  <c r="M139" i="2174"/>
  <c r="M138" i="2174"/>
  <c r="M140" i="2174" s="1"/>
  <c r="P136" i="2177"/>
  <c r="Q135" i="2184"/>
  <c r="K139" i="2174"/>
  <c r="K138" i="2174"/>
  <c r="K140" i="2174" s="1"/>
  <c r="J139" i="2179"/>
  <c r="J138" i="2179"/>
  <c r="J140" i="2179" s="1"/>
  <c r="AA135" i="2184"/>
  <c r="AA136" i="2184" s="1"/>
  <c r="AA138" i="2184" s="1"/>
  <c r="AA140" i="2184" s="1"/>
  <c r="AB135" i="2185"/>
  <c r="AB136" i="2185" s="1"/>
  <c r="AB139" i="2185" s="1"/>
  <c r="AC135" i="2180"/>
  <c r="AC136" i="2180" s="1"/>
  <c r="AC139" i="2180" s="1"/>
  <c r="AQ135" i="2176"/>
  <c r="AQ136" i="2176" s="1"/>
  <c r="AQ139" i="2176" s="1"/>
  <c r="AI135" i="2181"/>
  <c r="AI136" i="2181" s="1"/>
  <c r="AI138" i="2181" s="1"/>
  <c r="AI140" i="2181" s="1"/>
  <c r="N136" i="2174"/>
  <c r="R139" i="2178"/>
  <c r="R138" i="2178"/>
  <c r="R140" i="2178" s="1"/>
  <c r="AB135" i="2180"/>
  <c r="AB136" i="2180" s="1"/>
  <c r="AB139" i="2180" s="1"/>
  <c r="AN135" i="2176"/>
  <c r="AN136" i="2176" s="1"/>
  <c r="AN138" i="2176" s="1"/>
  <c r="AN140" i="2176" s="1"/>
  <c r="R139" i="2174"/>
  <c r="R138" i="2174"/>
  <c r="R140" i="2174" s="1"/>
  <c r="F135" i="2181"/>
  <c r="N135" i="2180"/>
  <c r="AJ126" i="2186"/>
  <c r="AJ128" i="2186" s="1"/>
  <c r="AD135" i="2177"/>
  <c r="AD136" i="2177" s="1"/>
  <c r="AD139" i="2177" s="1"/>
  <c r="AR135" i="2182"/>
  <c r="AR136" i="2182" s="1"/>
  <c r="AR139" i="2182" s="1"/>
  <c r="AR135" i="2179"/>
  <c r="AR136" i="2179" s="1"/>
  <c r="AR139" i="2179" s="1"/>
  <c r="K135" i="2181"/>
  <c r="AB135" i="2181"/>
  <c r="AB136" i="2181" s="1"/>
  <c r="AB138" i="2181" s="1"/>
  <c r="AB140" i="2181" s="1"/>
  <c r="U139" i="2181"/>
  <c r="S128" i="2182"/>
  <c r="G138" i="2181"/>
  <c r="G140" i="2181" s="1"/>
  <c r="G139" i="2181"/>
  <c r="AI138" i="2175"/>
  <c r="AI140" i="2175" s="1"/>
  <c r="AP138" i="2181"/>
  <c r="AP140" i="2181" s="1"/>
  <c r="G138" i="2179"/>
  <c r="G140" i="2179" s="1"/>
  <c r="G139" i="2179"/>
  <c r="E136" i="2175"/>
  <c r="V139" i="2185"/>
  <c r="D147" i="2182"/>
  <c r="N136" i="2181"/>
  <c r="AN126" i="2182"/>
  <c r="AN128" i="2182" s="1"/>
  <c r="X135" i="2186"/>
  <c r="X136" i="2186" s="1"/>
  <c r="X138" i="2186" s="1"/>
  <c r="X140" i="2186" s="1"/>
  <c r="AJ126" i="2182"/>
  <c r="AJ128" i="2182" s="1"/>
  <c r="I135" i="2184"/>
  <c r="AQ135" i="2186"/>
  <c r="AQ136" i="2186" s="1"/>
  <c r="S128" i="2186"/>
  <c r="L136" i="2175"/>
  <c r="AA135" i="2175"/>
  <c r="AA136" i="2175" s="1"/>
  <c r="AA139" i="2175" s="1"/>
  <c r="F135" i="2182"/>
  <c r="AF126" i="2176"/>
  <c r="AF128" i="2176" s="1"/>
  <c r="AA138" i="2177"/>
  <c r="AA140" i="2177" s="1"/>
  <c r="M136" i="2178"/>
  <c r="I128" i="2183"/>
  <c r="O136" i="2181"/>
  <c r="I138" i="2174"/>
  <c r="I140" i="2174" s="1"/>
  <c r="I139" i="2174"/>
  <c r="AP138" i="2186"/>
  <c r="AP140" i="2186" s="1"/>
  <c r="E136" i="2177"/>
  <c r="E139" i="2177" s="1"/>
  <c r="AI126" i="2180"/>
  <c r="AI128" i="2180" s="1"/>
  <c r="Z135" i="2176"/>
  <c r="Z136" i="2176" s="1"/>
  <c r="Z139" i="2176" s="1"/>
  <c r="AC139" i="2175"/>
  <c r="AF138" i="2183"/>
  <c r="AF140" i="2183" s="1"/>
  <c r="P138" i="2181"/>
  <c r="P140" i="2181" s="1"/>
  <c r="AL135" i="2180"/>
  <c r="AL136" i="2180" s="1"/>
  <c r="AL138" i="2180" s="1"/>
  <c r="AL140" i="2180" s="1"/>
  <c r="V135" i="2186"/>
  <c r="V136" i="2186" s="1"/>
  <c r="E135" i="2184"/>
  <c r="AD138" i="2186"/>
  <c r="AD140" i="2186" s="1"/>
  <c r="N136" i="2185"/>
  <c r="N139" i="2185" s="1"/>
  <c r="L135" i="2179"/>
  <c r="M136" i="2184"/>
  <c r="AK138" i="2184"/>
  <c r="AK140" i="2184" s="1"/>
  <c r="Y135" i="2180"/>
  <c r="Y136" i="2180" s="1"/>
  <c r="Y138" i="2180" s="1"/>
  <c r="Y140" i="2180" s="1"/>
  <c r="V139" i="2181"/>
  <c r="X135" i="2180"/>
  <c r="X136" i="2180" s="1"/>
  <c r="X138" i="2180" s="1"/>
  <c r="X140" i="2180" s="1"/>
  <c r="O136" i="2184"/>
  <c r="F135" i="2178"/>
  <c r="S136" i="2178"/>
  <c r="V126" i="2182"/>
  <c r="V128" i="2182" s="1"/>
  <c r="N135" i="2183"/>
  <c r="L136" i="2184"/>
  <c r="AO135" i="2183"/>
  <c r="AO136" i="2183" s="1"/>
  <c r="AO138" i="2183" s="1"/>
  <c r="AO140" i="2183" s="1"/>
  <c r="AO135" i="2186"/>
  <c r="AO136" i="2186" s="1"/>
  <c r="Q139" i="2179"/>
  <c r="Q138" i="2179"/>
  <c r="Q140" i="2179" s="1"/>
  <c r="V138" i="2177"/>
  <c r="V140" i="2177" s="1"/>
  <c r="S136" i="2185"/>
  <c r="G136" i="2177"/>
  <c r="H136" i="2177"/>
  <c r="S138" i="2184"/>
  <c r="S140" i="2184" s="1"/>
  <c r="AN135" i="2186"/>
  <c r="AN136" i="2186" s="1"/>
  <c r="AN138" i="2186" s="1"/>
  <c r="AN140" i="2186" s="1"/>
  <c r="AE135" i="2178"/>
  <c r="AE136" i="2178" s="1"/>
  <c r="AE139" i="2178" s="1"/>
  <c r="AL135" i="2186"/>
  <c r="AL136" i="2186" s="1"/>
  <c r="AL139" i="2186" s="1"/>
  <c r="I136" i="2178"/>
  <c r="M136" i="2183"/>
  <c r="P136" i="2175"/>
  <c r="Q128" i="2176"/>
  <c r="P138" i="2174"/>
  <c r="P140" i="2174" s="1"/>
  <c r="AD135" i="2183"/>
  <c r="AD136" i="2183" s="1"/>
  <c r="AD139" i="2183" s="1"/>
  <c r="P136" i="2183"/>
  <c r="AH135" i="2186"/>
  <c r="AH136" i="2186" s="1"/>
  <c r="AH139" i="2186" s="1"/>
  <c r="E135" i="2179"/>
  <c r="AJ139" i="2175"/>
  <c r="G136" i="2174"/>
  <c r="G126" i="2185"/>
  <c r="G128" i="2185" s="1"/>
  <c r="R135" i="2185"/>
  <c r="V139" i="2179"/>
  <c r="E135" i="2185"/>
  <c r="AI126" i="2185"/>
  <c r="AI128" i="2185" s="1"/>
  <c r="S138" i="2179"/>
  <c r="S140" i="2179" s="1"/>
  <c r="S139" i="2179"/>
  <c r="K138" i="2178"/>
  <c r="K140" i="2178" s="1"/>
  <c r="K139" i="2178"/>
  <c r="H135" i="2175"/>
  <c r="AD126" i="2185"/>
  <c r="AD128" i="2185" s="1"/>
  <c r="AH126" i="2176"/>
  <c r="AH128" i="2176" s="1"/>
  <c r="M128" i="2180"/>
  <c r="I136" i="2186"/>
  <c r="D147" i="2186"/>
  <c r="AB126" i="2186"/>
  <c r="AB128" i="2186" s="1"/>
  <c r="S136" i="2177"/>
  <c r="S139" i="2177" s="1"/>
  <c r="AL126" i="2182"/>
  <c r="AL128" i="2182" s="1"/>
  <c r="AM138" i="2178"/>
  <c r="AM140" i="2178" s="1"/>
  <c r="F139" i="2174"/>
  <c r="F138" i="2174"/>
  <c r="F140" i="2174" s="1"/>
  <c r="R126" i="2186"/>
  <c r="R128" i="2186" s="1"/>
  <c r="I128" i="2176"/>
  <c r="U126" i="2182"/>
  <c r="U128" i="2182" s="1"/>
  <c r="V138" i="2184"/>
  <c r="V140" i="2184" s="1"/>
  <c r="AE126" i="2183"/>
  <c r="AE128" i="2183" s="1"/>
  <c r="AH126" i="2183"/>
  <c r="AH128" i="2183" s="1"/>
  <c r="AB126" i="2182"/>
  <c r="AB128" i="2182" s="1"/>
  <c r="AH126" i="2180"/>
  <c r="AH128" i="2180" s="1"/>
  <c r="E126" i="2176"/>
  <c r="E128" i="2176" s="1"/>
  <c r="U139" i="2175"/>
  <c r="L135" i="2181"/>
  <c r="F135" i="2177"/>
  <c r="M126" i="2182"/>
  <c r="M128" i="2182" s="1"/>
  <c r="N136" i="2184"/>
  <c r="Z126" i="2182"/>
  <c r="Z128" i="2182" s="1"/>
  <c r="J128" i="2182"/>
  <c r="P126" i="2182"/>
  <c r="P128" i="2182" s="1"/>
  <c r="Y135" i="2184"/>
  <c r="Y136" i="2184" s="1"/>
  <c r="Y138" i="2184" s="1"/>
  <c r="Y140" i="2184" s="1"/>
  <c r="AR126" i="2176"/>
  <c r="AR128" i="2176" s="1"/>
  <c r="AK135" i="2183"/>
  <c r="AK136" i="2183" s="1"/>
  <c r="AK139" i="2183" s="1"/>
  <c r="S135" i="2181"/>
  <c r="Y126" i="2183"/>
  <c r="Y128" i="2183" s="1"/>
  <c r="H136" i="2183"/>
  <c r="AD139" i="2181"/>
  <c r="AH126" i="2182"/>
  <c r="AH128" i="2182" s="1"/>
  <c r="H126" i="2182"/>
  <c r="H128" i="2182" s="1"/>
  <c r="L126" i="2183"/>
  <c r="L128" i="2183" s="1"/>
  <c r="AM126" i="2186"/>
  <c r="AM128" i="2186" s="1"/>
  <c r="Y126" i="2176"/>
  <c r="Y128" i="2176" s="1"/>
  <c r="N136" i="2179"/>
  <c r="I138" i="2175"/>
  <c r="I140" i="2175" s="1"/>
  <c r="P138" i="2179"/>
  <c r="P140" i="2179" s="1"/>
  <c r="K138" i="2179"/>
  <c r="K140" i="2179" s="1"/>
  <c r="K139" i="2179"/>
  <c r="F138" i="2175"/>
  <c r="F140" i="2175" s="1"/>
  <c r="F139" i="2175"/>
  <c r="AC135" i="2185"/>
  <c r="AC136" i="2185" s="1"/>
  <c r="AC138" i="2185" s="1"/>
  <c r="AC140" i="2185" s="1"/>
  <c r="M136" i="2175"/>
  <c r="AJ135" i="2176"/>
  <c r="AJ136" i="2176" s="1"/>
  <c r="AJ139" i="2176" s="1"/>
  <c r="AD135" i="2180"/>
  <c r="AD136" i="2180" s="1"/>
  <c r="AD139" i="2180" s="1"/>
  <c r="E135" i="2181"/>
  <c r="K128" i="2182"/>
  <c r="AB135" i="2176"/>
  <c r="AB136" i="2176" s="1"/>
  <c r="AB138" i="2176" s="1"/>
  <c r="AB140" i="2176" s="1"/>
  <c r="H136" i="2181"/>
  <c r="AQ135" i="2185"/>
  <c r="AQ136" i="2185" s="1"/>
  <c r="AQ139" i="2185" s="1"/>
  <c r="AK135" i="2186"/>
  <c r="AK136" i="2186" s="1"/>
  <c r="G138" i="2175"/>
  <c r="G140" i="2175" s="1"/>
  <c r="G139" i="2175"/>
  <c r="F135" i="2186"/>
  <c r="F136" i="2184"/>
  <c r="G128" i="2180"/>
  <c r="I136" i="2185"/>
  <c r="I139" i="2185" s="1"/>
  <c r="O135" i="2186"/>
  <c r="N136" i="2178"/>
  <c r="F135" i="2176"/>
  <c r="AJ135" i="2180"/>
  <c r="AJ136" i="2180" s="1"/>
  <c r="AJ138" i="2180" s="1"/>
  <c r="AJ140" i="2180" s="1"/>
  <c r="R139" i="2181"/>
  <c r="R138" i="2181"/>
  <c r="R140" i="2181" s="1"/>
  <c r="J139" i="2178"/>
  <c r="J138" i="2178"/>
  <c r="J140" i="2178" s="1"/>
  <c r="X135" i="2182"/>
  <c r="X136" i="2182" s="1"/>
  <c r="X138" i="2182" s="1"/>
  <c r="X140" i="2182" s="1"/>
  <c r="AC135" i="2182"/>
  <c r="AC136" i="2182" s="1"/>
  <c r="AC138" i="2182" s="1"/>
  <c r="AC140" i="2182" s="1"/>
  <c r="R128" i="2180"/>
  <c r="AQ135" i="2183"/>
  <c r="AQ136" i="2183" s="1"/>
  <c r="AQ138" i="2183" s="1"/>
  <c r="AQ140" i="2183" s="1"/>
  <c r="O128" i="2180"/>
  <c r="R136" i="2175"/>
  <c r="AG135" i="2186"/>
  <c r="AG136" i="2186" s="1"/>
  <c r="AG139" i="2186" s="1"/>
  <c r="AG138" i="2186"/>
  <c r="AG140" i="2186" s="1"/>
  <c r="AM135" i="2185"/>
  <c r="AM136" i="2185" s="1"/>
  <c r="AM139" i="2185" s="1"/>
  <c r="N136" i="2176"/>
  <c r="N139" i="2176" s="1"/>
  <c r="U135" i="2180"/>
  <c r="U136" i="2180" s="1"/>
  <c r="U138" i="2180" s="1"/>
  <c r="U140" i="2180" s="1"/>
  <c r="H138" i="2179"/>
  <c r="H140" i="2179" s="1"/>
  <c r="Q138" i="2181"/>
  <c r="Q140" i="2181" s="1"/>
  <c r="O135" i="2185"/>
  <c r="J136" i="2177"/>
  <c r="AN135" i="2180"/>
  <c r="AN136" i="2180" s="1"/>
  <c r="AN138" i="2180" s="1"/>
  <c r="AN140" i="2180" s="1"/>
  <c r="S135" i="2183"/>
  <c r="P135" i="2184"/>
  <c r="AO135" i="2180"/>
  <c r="AO136" i="2180" s="1"/>
  <c r="AO139" i="2180" s="1"/>
  <c r="AM126" i="2176"/>
  <c r="AM128" i="2176" s="1"/>
  <c r="AJ135" i="2181"/>
  <c r="AJ136" i="2181" s="1"/>
  <c r="AJ139" i="2181" s="1"/>
  <c r="G135" i="2178"/>
  <c r="L135" i="2182"/>
  <c r="O138" i="2179"/>
  <c r="O140" i="2179" s="1"/>
  <c r="O139" i="2179"/>
  <c r="G135" i="2186"/>
  <c r="AA126" i="2182"/>
  <c r="AA128" i="2182" s="1"/>
  <c r="W126" i="2182"/>
  <c r="W128" i="2182" s="1"/>
  <c r="D147" i="2180"/>
  <c r="AF126" i="2182"/>
  <c r="AF128" i="2182" s="1"/>
  <c r="G136" i="2176"/>
  <c r="O135" i="2183"/>
  <c r="J138" i="2175"/>
  <c r="J140" i="2175" s="1"/>
  <c r="J139" i="2175"/>
  <c r="P126" i="2186"/>
  <c r="P128" i="2186" s="1"/>
  <c r="AC126" i="2176"/>
  <c r="AC128" i="2176" s="1"/>
  <c r="AR135" i="2181"/>
  <c r="AR136" i="2181" s="1"/>
  <c r="AR139" i="2181" s="1"/>
  <c r="W135" i="2183"/>
  <c r="W136" i="2183" s="1"/>
  <c r="W139" i="2183" s="1"/>
  <c r="U138" i="2177"/>
  <c r="U140" i="2177" s="1"/>
  <c r="AF126" i="2186"/>
  <c r="AF128" i="2186" s="1"/>
  <c r="F126" i="2180"/>
  <c r="F128" i="2180" s="1"/>
  <c r="AM126" i="2180"/>
  <c r="AM128" i="2180" s="1"/>
  <c r="S136" i="2176"/>
  <c r="L139" i="2178"/>
  <c r="L138" i="2178"/>
  <c r="L140" i="2178" s="1"/>
  <c r="K136" i="2176"/>
  <c r="AC135" i="2183"/>
  <c r="AC136" i="2183" s="1"/>
  <c r="AC139" i="2183" s="1"/>
  <c r="M128" i="2176"/>
  <c r="I139" i="2179"/>
  <c r="I138" i="2179"/>
  <c r="I140" i="2179" s="1"/>
  <c r="AQ138" i="2175"/>
  <c r="AQ140" i="2175" s="1"/>
  <c r="E126" i="2182"/>
  <c r="E128" i="2182" s="1"/>
  <c r="T126" i="2186"/>
  <c r="T128" i="2186" s="1"/>
  <c r="H128" i="2186"/>
  <c r="X126" i="2176"/>
  <c r="X128" i="2176" s="1"/>
  <c r="Q126" i="2183"/>
  <c r="Q128" i="2183" s="1"/>
  <c r="X138" i="2183"/>
  <c r="X140" i="2183" s="1"/>
  <c r="AP126" i="2183"/>
  <c r="AP128" i="2183" s="1"/>
  <c r="AK138" i="2182"/>
  <c r="AK140" i="2182" s="1"/>
  <c r="F128" i="2185"/>
  <c r="O136" i="2177"/>
  <c r="AG138" i="2184"/>
  <c r="AG140" i="2184" s="1"/>
  <c r="Z126" i="2180"/>
  <c r="Z128" i="2180" s="1"/>
  <c r="AO126" i="2176"/>
  <c r="AO128" i="2176" s="1"/>
  <c r="AP135" i="2184"/>
  <c r="AP136" i="2184" s="1"/>
  <c r="AP139" i="2184" s="1"/>
  <c r="F136" i="2179"/>
  <c r="H126" i="2180"/>
  <c r="H128" i="2180" s="1"/>
  <c r="U138" i="2184"/>
  <c r="U140" i="2184" s="1"/>
  <c r="AL138" i="2178"/>
  <c r="AL140" i="2178" s="1"/>
  <c r="R135" i="2184"/>
  <c r="P139" i="2185"/>
  <c r="P138" i="2185"/>
  <c r="P140" i="2185" s="1"/>
  <c r="L128" i="2186"/>
  <c r="Q136" i="2174"/>
  <c r="M138" i="2181"/>
  <c r="M140" i="2181" s="1"/>
  <c r="E138" i="2174"/>
  <c r="M136" i="2177"/>
  <c r="AN135" i="2175"/>
  <c r="AN136" i="2175" s="1"/>
  <c r="AN139" i="2175" s="1"/>
  <c r="AH135" i="2181"/>
  <c r="AH136" i="2181" s="1"/>
  <c r="AH139" i="2181" s="1"/>
  <c r="J135" i="2186"/>
  <c r="AJ135" i="2179"/>
  <c r="AJ136" i="2179" s="1"/>
  <c r="AJ139" i="2179" s="1"/>
  <c r="AM135" i="2182"/>
  <c r="AM136" i="2182" s="1"/>
  <c r="AM139" i="2182" s="1"/>
  <c r="Y126" i="2186"/>
  <c r="Y128" i="2186" s="1"/>
  <c r="AI126" i="2182"/>
  <c r="AI128" i="2182" s="1"/>
  <c r="R136" i="2177"/>
  <c r="AI126" i="2183"/>
  <c r="AI128" i="2183" s="1"/>
  <c r="G136" i="2184"/>
  <c r="J135" i="2185"/>
  <c r="AP126" i="2176"/>
  <c r="AP128" i="2176" s="1"/>
  <c r="AG126" i="2183"/>
  <c r="AG128" i="2183" s="1"/>
  <c r="AF135" i="2184"/>
  <c r="AF136" i="2184" s="1"/>
  <c r="AF138" i="2184" s="1"/>
  <c r="AF140" i="2184" s="1"/>
  <c r="M135" i="2179"/>
  <c r="P128" i="2180"/>
  <c r="Z126" i="2185"/>
  <c r="Z128" i="2185" s="1"/>
  <c r="E126" i="2186"/>
  <c r="E128" i="2186" s="1"/>
  <c r="H126" i="2176"/>
  <c r="H128" i="2176" s="1"/>
  <c r="L136" i="2185"/>
  <c r="AE135" i="2186"/>
  <c r="AE136" i="2186" s="1"/>
  <c r="AE138" i="2186" s="1"/>
  <c r="AE140" i="2186" s="1"/>
  <c r="K128" i="2180"/>
  <c r="N126" i="2186"/>
  <c r="N128" i="2186" s="1"/>
  <c r="H136" i="2178"/>
  <c r="I136" i="2177"/>
  <c r="I139" i="2177" s="1"/>
  <c r="E136" i="2178"/>
  <c r="AR135" i="2180"/>
  <c r="AR136" i="2180" s="1"/>
  <c r="AR138" i="2180" s="1"/>
  <c r="AR140" i="2180" s="1"/>
  <c r="AA135" i="2180"/>
  <c r="AA136" i="2180" s="1"/>
  <c r="AA138" i="2180" s="1"/>
  <c r="AA140" i="2180" s="1"/>
  <c r="D147" i="2176"/>
  <c r="AP126" i="2182"/>
  <c r="AP128" i="2182" s="1"/>
  <c r="AG126" i="2176"/>
  <c r="AG128" i="2176" s="1"/>
  <c r="V126" i="2180"/>
  <c r="V128" i="2180" s="1"/>
  <c r="H135" i="2184"/>
  <c r="O126" i="2176"/>
  <c r="O128" i="2176" s="1"/>
  <c r="U135" i="2183"/>
  <c r="U136" i="2183" s="1"/>
  <c r="U139" i="2183" s="1"/>
  <c r="H138" i="2185"/>
  <c r="H140" i="2185" s="1"/>
  <c r="AA126" i="2185"/>
  <c r="AA128" i="2185" s="1"/>
  <c r="AE126" i="2180"/>
  <c r="AE128" i="2180" s="1"/>
  <c r="AQ126" i="2182"/>
  <c r="AQ128" i="2182" s="1"/>
  <c r="AR126" i="2186"/>
  <c r="AR128" i="2186" s="1"/>
  <c r="N136" i="2175"/>
  <c r="J126" i="2176"/>
  <c r="J128" i="2176" s="1"/>
  <c r="J126" i="2180"/>
  <c r="J128" i="2180" s="1"/>
  <c r="M138" i="2186"/>
  <c r="M140" i="2186" s="1"/>
  <c r="I138" i="2181"/>
  <c r="I140" i="2181" s="1"/>
  <c r="D23" i="701"/>
  <c r="G8" i="701"/>
  <c r="G7" i="701"/>
  <c r="P8" i="65"/>
  <c r="P14" i="65"/>
  <c r="P13" i="65"/>
  <c r="X20" i="65"/>
  <c r="X11" i="65"/>
  <c r="P16" i="65"/>
  <c r="X21" i="65"/>
  <c r="P15" i="65"/>
  <c r="X8" i="65"/>
  <c r="X10" i="65"/>
  <c r="X22" i="65"/>
  <c r="P10" i="65"/>
  <c r="P7" i="65"/>
  <c r="P11" i="65"/>
  <c r="P25" i="65"/>
  <c r="P24" i="65"/>
  <c r="X23" i="65"/>
  <c r="AN139" i="2186" l="1"/>
  <c r="U135" i="2186"/>
  <c r="U136" i="2186" s="1"/>
  <c r="U139" i="2186" s="1"/>
  <c r="AN139" i="2185"/>
  <c r="AO135" i="2185"/>
  <c r="AO136" i="2185" s="1"/>
  <c r="AO139" i="2185" s="1"/>
  <c r="T138" i="2178"/>
  <c r="T140" i="2178" s="1"/>
  <c r="J135" i="2174"/>
  <c r="J136" i="2174" s="1"/>
  <c r="J139" i="2174" s="1"/>
  <c r="J138" i="2174"/>
  <c r="J140" i="2174" s="1"/>
  <c r="AA135" i="2174"/>
  <c r="AA136" i="2174" s="1"/>
  <c r="AA139" i="2174" s="1"/>
  <c r="AA138" i="2174"/>
  <c r="AA140" i="2174" s="1"/>
  <c r="AR135" i="2174"/>
  <c r="AR136" i="2174" s="1"/>
  <c r="AR138" i="2174" s="1"/>
  <c r="AR140" i="2174" s="1"/>
  <c r="AR139" i="2174"/>
  <c r="AB139" i="2174"/>
  <c r="AC135" i="2174"/>
  <c r="AC136" i="2174" s="1"/>
  <c r="AC139" i="2174" s="1"/>
  <c r="AI135" i="2174"/>
  <c r="AI136" i="2174" s="1"/>
  <c r="AI138" i="2174" s="1"/>
  <c r="AI140" i="2174" s="1"/>
  <c r="T135" i="2174"/>
  <c r="T136" i="2174" s="1"/>
  <c r="T139" i="2174" s="1"/>
  <c r="L135" i="2174"/>
  <c r="L136" i="2174" s="1"/>
  <c r="L139" i="2174" s="1"/>
  <c r="AH138" i="2174"/>
  <c r="AH140" i="2174" s="1"/>
  <c r="AN135" i="2174"/>
  <c r="AN136" i="2174" s="1"/>
  <c r="AN139" i="2174" s="1"/>
  <c r="C8" i="2189"/>
  <c r="C8" i="2188"/>
  <c r="C8" i="2190"/>
  <c r="C8" i="2191"/>
  <c r="M138" i="2185"/>
  <c r="M140" i="2185" s="1"/>
  <c r="AB138" i="2180"/>
  <c r="AB140" i="2180" s="1"/>
  <c r="Y139" i="2180"/>
  <c r="AL138" i="2183"/>
  <c r="AL140" i="2183" s="1"/>
  <c r="AQ135" i="2178"/>
  <c r="AQ136" i="2178" s="1"/>
  <c r="AQ138" i="2178" s="1"/>
  <c r="AQ140" i="2178" s="1"/>
  <c r="AH135" i="2178"/>
  <c r="AH136" i="2178" s="1"/>
  <c r="AH139" i="2178" s="1"/>
  <c r="AH138" i="2178"/>
  <c r="AH140" i="2178" s="1"/>
  <c r="AB135" i="2178"/>
  <c r="AB136" i="2178" s="1"/>
  <c r="AB139" i="2178" s="1"/>
  <c r="Z135" i="2178"/>
  <c r="Z136" i="2178" s="1"/>
  <c r="Z139" i="2178" s="1"/>
  <c r="AJ135" i="2178"/>
  <c r="AJ136" i="2178" s="1"/>
  <c r="AJ139" i="2178" s="1"/>
  <c r="AO135" i="2178"/>
  <c r="AO136" i="2178" s="1"/>
  <c r="AO139" i="2178" s="1"/>
  <c r="AP135" i="2178"/>
  <c r="AP136" i="2178" s="1"/>
  <c r="AP138" i="2178" s="1"/>
  <c r="AP140" i="2178" s="1"/>
  <c r="AP139" i="2178"/>
  <c r="AO135" i="2177"/>
  <c r="AO136" i="2177" s="1"/>
  <c r="AO139" i="2177" s="1"/>
  <c r="AO138" i="2177"/>
  <c r="AO140" i="2177" s="1"/>
  <c r="AN135" i="2177"/>
  <c r="AN136" i="2177" s="1"/>
  <c r="AN139" i="2177" s="1"/>
  <c r="AG138" i="2177"/>
  <c r="AG140" i="2177" s="1"/>
  <c r="AH135" i="2177"/>
  <c r="AH136" i="2177" s="1"/>
  <c r="AH139" i="2177" s="1"/>
  <c r="AM138" i="2177"/>
  <c r="AM140" i="2177" s="1"/>
  <c r="AP135" i="2177"/>
  <c r="AP136" i="2177" s="1"/>
  <c r="AP138" i="2177" s="1"/>
  <c r="AP140" i="2177" s="1"/>
  <c r="AK138" i="2186"/>
  <c r="AK140" i="2186" s="1"/>
  <c r="AK139" i="2186"/>
  <c r="AO139" i="2186"/>
  <c r="AO138" i="2186"/>
  <c r="AO140" i="2186" s="1"/>
  <c r="V139" i="2186"/>
  <c r="V138" i="2186"/>
  <c r="V140" i="2186" s="1"/>
  <c r="AQ139" i="2186"/>
  <c r="AQ138" i="2186"/>
  <c r="AQ140" i="2186" s="1"/>
  <c r="AQ138" i="2185"/>
  <c r="AQ140" i="2185" s="1"/>
  <c r="AJ139" i="2185"/>
  <c r="AR138" i="2185"/>
  <c r="AR140" i="2185" s="1"/>
  <c r="AJ139" i="2183"/>
  <c r="AC139" i="2182"/>
  <c r="AD138" i="2182"/>
  <c r="AD140" i="2182" s="1"/>
  <c r="AM138" i="2182"/>
  <c r="AM140" i="2182" s="1"/>
  <c r="AR138" i="2181"/>
  <c r="AR140" i="2181" s="1"/>
  <c r="AA139" i="2180"/>
  <c r="AJ139" i="2180"/>
  <c r="AR138" i="2179"/>
  <c r="AR140" i="2179" s="1"/>
  <c r="X138" i="2185"/>
  <c r="X140" i="2185" s="1"/>
  <c r="AQ139" i="2183"/>
  <c r="AC138" i="2183"/>
  <c r="AC140" i="2183" s="1"/>
  <c r="AB138" i="2183"/>
  <c r="AB140" i="2183" s="1"/>
  <c r="X139" i="2182"/>
  <c r="AM139" i="2181"/>
  <c r="Y135" i="2181"/>
  <c r="Y136" i="2181" s="1"/>
  <c r="Y139" i="2181" s="1"/>
  <c r="AB139" i="2181"/>
  <c r="AR139" i="2180"/>
  <c r="T139" i="2180"/>
  <c r="AG138" i="2180"/>
  <c r="AG140" i="2180" s="1"/>
  <c r="X139" i="2180"/>
  <c r="AL139" i="2180"/>
  <c r="AB138" i="2190"/>
  <c r="AB140" i="2190" s="1"/>
  <c r="AH139" i="2190"/>
  <c r="AI139" i="2190"/>
  <c r="AD139" i="2190"/>
  <c r="U138" i="2189"/>
  <c r="U140" i="2189" s="1"/>
  <c r="AC138" i="2189"/>
  <c r="AC140" i="2189" s="1"/>
  <c r="Y138" i="2192"/>
  <c r="Y140" i="2192" s="1"/>
  <c r="AC139" i="2192"/>
  <c r="Z139" i="2190"/>
  <c r="AR138" i="2189"/>
  <c r="AR140" i="2189" s="1"/>
  <c r="AL139" i="2189"/>
  <c r="Z138" i="2189"/>
  <c r="Z140" i="2189" s="1"/>
  <c r="AQ138" i="2189"/>
  <c r="AQ140" i="2189" s="1"/>
  <c r="AQ138" i="2187"/>
  <c r="AQ140" i="2187" s="1"/>
  <c r="AA139" i="2187"/>
  <c r="AL139" i="2187"/>
  <c r="AC138" i="2187"/>
  <c r="AC140" i="2187" s="1"/>
  <c r="AF138" i="2192"/>
  <c r="AF140" i="2192" s="1"/>
  <c r="X135" i="2191"/>
  <c r="X136" i="2191" s="1"/>
  <c r="X139" i="2191" s="1"/>
  <c r="AJ138" i="2190"/>
  <c r="AJ140" i="2190" s="1"/>
  <c r="X138" i="2190"/>
  <c r="X140" i="2190" s="1"/>
  <c r="AK135" i="2190"/>
  <c r="AK136" i="2190" s="1"/>
  <c r="AK138" i="2190" s="1"/>
  <c r="AK140" i="2190" s="1"/>
  <c r="AD139" i="2189"/>
  <c r="AP139" i="2189"/>
  <c r="Y135" i="2189"/>
  <c r="Y136" i="2189" s="1"/>
  <c r="Y138" i="2189" s="1"/>
  <c r="Y140" i="2189" s="1"/>
  <c r="AP139" i="2188"/>
  <c r="AH138" i="2188"/>
  <c r="AH140" i="2188" s="1"/>
  <c r="AB138" i="2188"/>
  <c r="AB140" i="2188" s="1"/>
  <c r="AL138" i="2188"/>
  <c r="AL140" i="2188" s="1"/>
  <c r="U138" i="2188"/>
  <c r="U140" i="2188" s="1"/>
  <c r="AJ139" i="2188"/>
  <c r="AC138" i="2188"/>
  <c r="AC140" i="2188" s="1"/>
  <c r="AE138" i="2188"/>
  <c r="AE140" i="2188" s="1"/>
  <c r="AB135" i="2189"/>
  <c r="AB136" i="2189" s="1"/>
  <c r="AB139" i="2189" s="1"/>
  <c r="AN135" i="2189"/>
  <c r="AN136" i="2189" s="1"/>
  <c r="AN138" i="2189" s="1"/>
  <c r="AN140" i="2189" s="1"/>
  <c r="X135" i="2188"/>
  <c r="X136" i="2188" s="1"/>
  <c r="X139" i="2188" s="1"/>
  <c r="H138" i="2187"/>
  <c r="H140" i="2187" s="1"/>
  <c r="H139" i="2187"/>
  <c r="S135" i="2189"/>
  <c r="AF139" i="2189"/>
  <c r="N136" i="2187"/>
  <c r="K135" i="2191"/>
  <c r="AJ139" i="2189"/>
  <c r="AE139" i="2190"/>
  <c r="AP139" i="2191"/>
  <c r="X139" i="2189"/>
  <c r="U135" i="2191"/>
  <c r="U136" i="2191" s="1"/>
  <c r="U139" i="2191" s="1"/>
  <c r="I136" i="2191"/>
  <c r="E136" i="2192"/>
  <c r="AK138" i="2188"/>
  <c r="AK140" i="2188" s="1"/>
  <c r="Q136" i="2192"/>
  <c r="AC138" i="2191"/>
  <c r="AC140" i="2191" s="1"/>
  <c r="M135" i="2191"/>
  <c r="Z135" i="2188"/>
  <c r="Z136" i="2188" s="1"/>
  <c r="Z139" i="2188" s="1"/>
  <c r="N135" i="2191"/>
  <c r="E136" i="2188"/>
  <c r="O135" i="2189"/>
  <c r="AG135" i="2189"/>
  <c r="AG136" i="2189" s="1"/>
  <c r="AG139" i="2189" s="1"/>
  <c r="R135" i="2189"/>
  <c r="N136" i="2192"/>
  <c r="S138" i="2187"/>
  <c r="S140" i="2187" s="1"/>
  <c r="S139" i="2187"/>
  <c r="E136" i="2189"/>
  <c r="L135" i="2189"/>
  <c r="V138" i="2191"/>
  <c r="V140" i="2191" s="1"/>
  <c r="Y135" i="2191"/>
  <c r="Y136" i="2191" s="1"/>
  <c r="Y139" i="2191" s="1"/>
  <c r="AR138" i="2188"/>
  <c r="AR140" i="2188" s="1"/>
  <c r="S135" i="2190"/>
  <c r="R135" i="2188"/>
  <c r="AO135" i="2188"/>
  <c r="AO136" i="2188" s="1"/>
  <c r="AO139" i="2188" s="1"/>
  <c r="AO138" i="2190"/>
  <c r="AO140" i="2190" s="1"/>
  <c r="AP139" i="2190"/>
  <c r="J136" i="2189"/>
  <c r="O136" i="2190"/>
  <c r="P135" i="2188"/>
  <c r="Q138" i="2189"/>
  <c r="Q140" i="2189" s="1"/>
  <c r="Q139" i="2189"/>
  <c r="R135" i="2191"/>
  <c r="F135" i="2189"/>
  <c r="E136" i="2187"/>
  <c r="Q136" i="2190"/>
  <c r="N136" i="2190"/>
  <c r="I135" i="2188"/>
  <c r="F136" i="2188"/>
  <c r="F136" i="2192"/>
  <c r="O135" i="2188"/>
  <c r="Z135" i="2191"/>
  <c r="Z136" i="2191" s="1"/>
  <c r="Z138" i="2191" s="1"/>
  <c r="Z140" i="2191" s="1"/>
  <c r="L135" i="2188"/>
  <c r="S136" i="2188"/>
  <c r="J135" i="2190"/>
  <c r="AQ135" i="2190"/>
  <c r="AQ136" i="2190" s="1"/>
  <c r="AQ139" i="2190" s="1"/>
  <c r="AI135" i="2189"/>
  <c r="AI136" i="2189" s="1"/>
  <c r="AI139" i="2189" s="1"/>
  <c r="G139" i="2192"/>
  <c r="G138" i="2192"/>
  <c r="G140" i="2192" s="1"/>
  <c r="K135" i="2189"/>
  <c r="K135" i="2190"/>
  <c r="H139" i="2191"/>
  <c r="H138" i="2191"/>
  <c r="H140" i="2191" s="1"/>
  <c r="Y135" i="2188"/>
  <c r="Y136" i="2188" s="1"/>
  <c r="Y139" i="2188" s="1"/>
  <c r="I138" i="2189"/>
  <c r="I140" i="2189" s="1"/>
  <c r="I139" i="2189"/>
  <c r="O139" i="2187"/>
  <c r="O138" i="2187"/>
  <c r="O140" i="2187" s="1"/>
  <c r="AM135" i="2191"/>
  <c r="AM136" i="2191" s="1"/>
  <c r="AM139" i="2191" s="1"/>
  <c r="AB135" i="2191"/>
  <c r="AB136" i="2191" s="1"/>
  <c r="AB139" i="2191" s="1"/>
  <c r="F135" i="2190"/>
  <c r="AN135" i="2188"/>
  <c r="AN136" i="2188" s="1"/>
  <c r="AN139" i="2188" s="1"/>
  <c r="AM138" i="2189"/>
  <c r="AM140" i="2189" s="1"/>
  <c r="Q136" i="2191"/>
  <c r="AL138" i="2191"/>
  <c r="AL140" i="2191" s="1"/>
  <c r="M136" i="2188"/>
  <c r="G139" i="2189"/>
  <c r="G138" i="2189"/>
  <c r="G140" i="2189" s="1"/>
  <c r="H139" i="2190"/>
  <c r="H138" i="2190"/>
  <c r="H140" i="2190" s="1"/>
  <c r="F135" i="2191"/>
  <c r="R136" i="2190"/>
  <c r="T138" i="2189"/>
  <c r="T140" i="2189" s="1"/>
  <c r="J135" i="2188"/>
  <c r="AD135" i="2191"/>
  <c r="AD136" i="2191" s="1"/>
  <c r="AD138" i="2191" s="1"/>
  <c r="AD140" i="2191" s="1"/>
  <c r="S138" i="2191"/>
  <c r="S140" i="2191" s="1"/>
  <c r="G136" i="2190"/>
  <c r="J136" i="2191"/>
  <c r="AD135" i="2188"/>
  <c r="AD136" i="2188" s="1"/>
  <c r="AD138" i="2188" s="1"/>
  <c r="AD140" i="2188" s="1"/>
  <c r="M136" i="2192"/>
  <c r="O139" i="2191"/>
  <c r="O138" i="2191"/>
  <c r="O140" i="2191" s="1"/>
  <c r="N135" i="2189"/>
  <c r="P138" i="2191"/>
  <c r="P140" i="2191" s="1"/>
  <c r="P139" i="2191"/>
  <c r="M136" i="2187"/>
  <c r="I136" i="2192"/>
  <c r="H138" i="2188"/>
  <c r="H140" i="2188" s="1"/>
  <c r="H139" i="2188"/>
  <c r="E136" i="2190"/>
  <c r="AH135" i="2191"/>
  <c r="AH136" i="2191" s="1"/>
  <c r="AH139" i="2191" s="1"/>
  <c r="AA135" i="2189"/>
  <c r="AA136" i="2189" s="1"/>
  <c r="AA139" i="2189" s="1"/>
  <c r="K138" i="2188"/>
  <c r="K140" i="2188" s="1"/>
  <c r="E139" i="2191"/>
  <c r="E138" i="2191"/>
  <c r="Q135" i="2188"/>
  <c r="P135" i="2190"/>
  <c r="N135" i="2188"/>
  <c r="K136" i="2187"/>
  <c r="L139" i="2191"/>
  <c r="L138" i="2191"/>
  <c r="L140" i="2191" s="1"/>
  <c r="P139" i="2189"/>
  <c r="P138" i="2189"/>
  <c r="P140" i="2189" s="1"/>
  <c r="F138" i="2187"/>
  <c r="F140" i="2187" s="1"/>
  <c r="F139" i="2187"/>
  <c r="M135" i="2190"/>
  <c r="H136" i="2189"/>
  <c r="G138" i="2188"/>
  <c r="G140" i="2188" s="1"/>
  <c r="AE138" i="2178"/>
  <c r="AE140" i="2178" s="1"/>
  <c r="AD138" i="2177"/>
  <c r="AD140" i="2177" s="1"/>
  <c r="AB139" i="2176"/>
  <c r="AJ138" i="2176"/>
  <c r="AJ140" i="2176" s="1"/>
  <c r="AN139" i="2176"/>
  <c r="AA138" i="2175"/>
  <c r="AA140" i="2175" s="1"/>
  <c r="C8" i="2176"/>
  <c r="C8" i="2186"/>
  <c r="AC135" i="2176"/>
  <c r="AC136" i="2176" s="1"/>
  <c r="AC139" i="2176" s="1"/>
  <c r="AH138" i="2181"/>
  <c r="AH140" i="2181" s="1"/>
  <c r="AR135" i="2186"/>
  <c r="AR136" i="2186" s="1"/>
  <c r="AR139" i="2186" s="1"/>
  <c r="O135" i="2176"/>
  <c r="AE139" i="2186"/>
  <c r="M136" i="2179"/>
  <c r="J136" i="2185"/>
  <c r="Y135" i="2186"/>
  <c r="Y136" i="2186" s="1"/>
  <c r="M139" i="2177"/>
  <c r="M138" i="2177"/>
  <c r="M140" i="2177" s="1"/>
  <c r="AM135" i="2180"/>
  <c r="AM136" i="2180" s="1"/>
  <c r="AM139" i="2180" s="1"/>
  <c r="J139" i="2177"/>
  <c r="J138" i="2177"/>
  <c r="J140" i="2177" s="1"/>
  <c r="U139" i="2180"/>
  <c r="Y135" i="2176"/>
  <c r="Y136" i="2176" s="1"/>
  <c r="Y139" i="2176" s="1"/>
  <c r="Y135" i="2183"/>
  <c r="Y136" i="2183" s="1"/>
  <c r="Y138" i="2183" s="1"/>
  <c r="Y140" i="2183" s="1"/>
  <c r="Y139" i="2184"/>
  <c r="M135" i="2182"/>
  <c r="E135" i="2176"/>
  <c r="R135" i="2186"/>
  <c r="E136" i="2185"/>
  <c r="P139" i="2183"/>
  <c r="P138" i="2183"/>
  <c r="P140" i="2183" s="1"/>
  <c r="N136" i="2183"/>
  <c r="F136" i="2178"/>
  <c r="AF139" i="2185"/>
  <c r="AI135" i="2180"/>
  <c r="AI136" i="2180" s="1"/>
  <c r="AI139" i="2180" s="1"/>
  <c r="I135" i="2183"/>
  <c r="AJ135" i="2182"/>
  <c r="AJ136" i="2182" s="1"/>
  <c r="AJ139" i="2182" s="1"/>
  <c r="AI139" i="2181"/>
  <c r="AC138" i="2180"/>
  <c r="AC140" i="2180" s="1"/>
  <c r="P139" i="2177"/>
  <c r="P138" i="2177"/>
  <c r="P140" i="2177" s="1"/>
  <c r="AK139" i="2180"/>
  <c r="Z138" i="2183"/>
  <c r="Z140" i="2183" s="1"/>
  <c r="K135" i="2183"/>
  <c r="H139" i="2174"/>
  <c r="H138" i="2174"/>
  <c r="H140" i="2174" s="1"/>
  <c r="N136" i="2177"/>
  <c r="O136" i="2182"/>
  <c r="I135" i="2180"/>
  <c r="R136" i="2184"/>
  <c r="F135" i="2185"/>
  <c r="T135" i="2186"/>
  <c r="T136" i="2186" s="1"/>
  <c r="T139" i="2186" s="1"/>
  <c r="F135" i="2180"/>
  <c r="L136" i="2180"/>
  <c r="O136" i="2186"/>
  <c r="F136" i="2186"/>
  <c r="K135" i="2182"/>
  <c r="AM135" i="2186"/>
  <c r="AM136" i="2186" s="1"/>
  <c r="AM139" i="2186" s="1"/>
  <c r="F136" i="2177"/>
  <c r="AH135" i="2180"/>
  <c r="AH136" i="2180" s="1"/>
  <c r="AH138" i="2180" s="1"/>
  <c r="AH140" i="2180" s="1"/>
  <c r="I139" i="2186"/>
  <c r="I138" i="2186"/>
  <c r="I140" i="2186" s="1"/>
  <c r="M139" i="2183"/>
  <c r="M138" i="2183"/>
  <c r="M140" i="2183" s="1"/>
  <c r="G139" i="2177"/>
  <c r="G138" i="2177"/>
  <c r="G140" i="2177" s="1"/>
  <c r="O139" i="2184"/>
  <c r="O138" i="2184"/>
  <c r="O140" i="2184" s="1"/>
  <c r="E136" i="2184"/>
  <c r="X139" i="2186"/>
  <c r="S135" i="2182"/>
  <c r="AF139" i="2180"/>
  <c r="W135" i="2186"/>
  <c r="W136" i="2186" s="1"/>
  <c r="W139" i="2186" s="1"/>
  <c r="AN135" i="2183"/>
  <c r="AN136" i="2183" s="1"/>
  <c r="AN139" i="2183" s="1"/>
  <c r="K138" i="2177"/>
  <c r="K140" i="2177" s="1"/>
  <c r="K139" i="2177"/>
  <c r="G136" i="2183"/>
  <c r="Q135" i="2180"/>
  <c r="AQ135" i="2182"/>
  <c r="AQ136" i="2182" s="1"/>
  <c r="AQ138" i="2182" s="1"/>
  <c r="AQ140" i="2182" s="1"/>
  <c r="J136" i="2186"/>
  <c r="AP138" i="2184"/>
  <c r="AP140" i="2184" s="1"/>
  <c r="G138" i="2176"/>
  <c r="G140" i="2176" s="1"/>
  <c r="G139" i="2176"/>
  <c r="O136" i="2185"/>
  <c r="L135" i="2183"/>
  <c r="S136" i="2181"/>
  <c r="AB135" i="2182"/>
  <c r="AB136" i="2182" s="1"/>
  <c r="AB138" i="2182" s="1"/>
  <c r="AB140" i="2182" s="1"/>
  <c r="M138" i="2178"/>
  <c r="M140" i="2178" s="1"/>
  <c r="M139" i="2178"/>
  <c r="E138" i="2175"/>
  <c r="E139" i="2175"/>
  <c r="AJ135" i="2186"/>
  <c r="AJ136" i="2186" s="1"/>
  <c r="Q139" i="2178"/>
  <c r="Q138" i="2178"/>
  <c r="Q140" i="2178" s="1"/>
  <c r="K139" i="2186"/>
  <c r="K138" i="2186"/>
  <c r="K140" i="2186" s="1"/>
  <c r="V135" i="2176"/>
  <c r="V136" i="2176" s="1"/>
  <c r="V139" i="2176" s="1"/>
  <c r="AI135" i="2176"/>
  <c r="AI136" i="2176" s="1"/>
  <c r="AI139" i="2176" s="1"/>
  <c r="Q136" i="2186"/>
  <c r="H136" i="2184"/>
  <c r="L139" i="2185"/>
  <c r="L138" i="2185"/>
  <c r="L140" i="2185" s="1"/>
  <c r="AE135" i="2180"/>
  <c r="AE136" i="2180" s="1"/>
  <c r="AE139" i="2180" s="1"/>
  <c r="H135" i="2182"/>
  <c r="P135" i="2182"/>
  <c r="AH135" i="2183"/>
  <c r="AH136" i="2183" s="1"/>
  <c r="AH138" i="2183" s="1"/>
  <c r="AH140" i="2183" s="1"/>
  <c r="M135" i="2180"/>
  <c r="R136" i="2185"/>
  <c r="E136" i="2179"/>
  <c r="AD138" i="2183"/>
  <c r="AD140" i="2183" s="1"/>
  <c r="I139" i="2178"/>
  <c r="I138" i="2178"/>
  <c r="I140" i="2178" s="1"/>
  <c r="S139" i="2185"/>
  <c r="S138" i="2185"/>
  <c r="S140" i="2185" s="1"/>
  <c r="V135" i="2182"/>
  <c r="V136" i="2182" s="1"/>
  <c r="V138" i="2182" s="1"/>
  <c r="V140" i="2182" s="1"/>
  <c r="M139" i="2184"/>
  <c r="M138" i="2184"/>
  <c r="M140" i="2184" s="1"/>
  <c r="S136" i="2180"/>
  <c r="AQ138" i="2180"/>
  <c r="AQ140" i="2180" s="1"/>
  <c r="F136" i="2181"/>
  <c r="AG138" i="2182"/>
  <c r="AG140" i="2182" s="1"/>
  <c r="W139" i="2181"/>
  <c r="U138" i="2176"/>
  <c r="U140" i="2176" s="1"/>
  <c r="W138" i="2180"/>
  <c r="W140" i="2180" s="1"/>
  <c r="AK138" i="2176"/>
  <c r="AK140" i="2176" s="1"/>
  <c r="L135" i="2176"/>
  <c r="E140" i="2174"/>
  <c r="H135" i="2176"/>
  <c r="G139" i="2184"/>
  <c r="G138" i="2184"/>
  <c r="G140" i="2184" s="1"/>
  <c r="J135" i="2180"/>
  <c r="V135" i="2180"/>
  <c r="V136" i="2180" s="1"/>
  <c r="V139" i="2180" s="1"/>
  <c r="N135" i="2186"/>
  <c r="E135" i="2186"/>
  <c r="AF139" i="2184"/>
  <c r="AI135" i="2183"/>
  <c r="AI136" i="2183" s="1"/>
  <c r="AI139" i="2183" s="1"/>
  <c r="AJ138" i="2179"/>
  <c r="AJ140" i="2179" s="1"/>
  <c r="AO135" i="2176"/>
  <c r="AO136" i="2176" s="1"/>
  <c r="AO139" i="2176" s="1"/>
  <c r="L136" i="2182"/>
  <c r="AO138" i="2180"/>
  <c r="AO140" i="2180" s="1"/>
  <c r="S136" i="2183"/>
  <c r="AM138" i="2185"/>
  <c r="AM140" i="2185" s="1"/>
  <c r="F136" i="2176"/>
  <c r="E136" i="2181"/>
  <c r="M138" i="2175"/>
  <c r="M140" i="2175" s="1"/>
  <c r="M139" i="2175"/>
  <c r="AH135" i="2182"/>
  <c r="AH136" i="2182" s="1"/>
  <c r="AH138" i="2182" s="1"/>
  <c r="AH140" i="2182" s="1"/>
  <c r="J135" i="2182"/>
  <c r="L136" i="2181"/>
  <c r="AE135" i="2183"/>
  <c r="AE136" i="2183" s="1"/>
  <c r="AE139" i="2183" s="1"/>
  <c r="AL135" i="2182"/>
  <c r="AL136" i="2182" s="1"/>
  <c r="AL138" i="2182" s="1"/>
  <c r="AL140" i="2182" s="1"/>
  <c r="AH135" i="2176"/>
  <c r="AH136" i="2176" s="1"/>
  <c r="AH138" i="2176" s="1"/>
  <c r="AH140" i="2176" s="1"/>
  <c r="AO139" i="2183"/>
  <c r="S138" i="2177"/>
  <c r="S140" i="2177" s="1"/>
  <c r="AN135" i="2182"/>
  <c r="AN136" i="2182" s="1"/>
  <c r="AN138" i="2182" s="1"/>
  <c r="AN140" i="2182" s="1"/>
  <c r="AQ138" i="2176"/>
  <c r="AQ140" i="2176" s="1"/>
  <c r="AB138" i="2185"/>
  <c r="AB140" i="2185" s="1"/>
  <c r="P136" i="2176"/>
  <c r="AO138" i="2182"/>
  <c r="AO140" i="2182" s="1"/>
  <c r="K136" i="2175"/>
  <c r="K139" i="2184"/>
  <c r="K138" i="2184"/>
  <c r="K140" i="2184" s="1"/>
  <c r="AP135" i="2180"/>
  <c r="AP136" i="2180" s="1"/>
  <c r="AP139" i="2180" s="1"/>
  <c r="AE139" i="2181"/>
  <c r="E138" i="2177"/>
  <c r="K138" i="2176"/>
  <c r="K140" i="2176" s="1"/>
  <c r="K139" i="2176"/>
  <c r="J135" i="2176"/>
  <c r="AG135" i="2176"/>
  <c r="AG136" i="2176" s="1"/>
  <c r="AG139" i="2176" s="1"/>
  <c r="K135" i="2180"/>
  <c r="Z135" i="2185"/>
  <c r="Z136" i="2185" s="1"/>
  <c r="Z139" i="2185" s="1"/>
  <c r="AG135" i="2183"/>
  <c r="AG136" i="2183" s="1"/>
  <c r="AG138" i="2183" s="1"/>
  <c r="AG140" i="2183" s="1"/>
  <c r="R139" i="2177"/>
  <c r="R138" i="2177"/>
  <c r="R140" i="2177" s="1"/>
  <c r="Q138" i="2174"/>
  <c r="Q140" i="2174" s="1"/>
  <c r="Q139" i="2174"/>
  <c r="Z135" i="2180"/>
  <c r="Z136" i="2180" s="1"/>
  <c r="Z139" i="2180" s="1"/>
  <c r="Q135" i="2183"/>
  <c r="W138" i="2183"/>
  <c r="W140" i="2183" s="1"/>
  <c r="W135" i="2182"/>
  <c r="W136" i="2182" s="1"/>
  <c r="W139" i="2182" s="1"/>
  <c r="AJ138" i="2181"/>
  <c r="AJ140" i="2181" s="1"/>
  <c r="AN139" i="2180"/>
  <c r="R138" i="2175"/>
  <c r="R140" i="2175" s="1"/>
  <c r="R139" i="2175"/>
  <c r="H138" i="2181"/>
  <c r="H140" i="2181" s="1"/>
  <c r="H139" i="2181"/>
  <c r="AC139" i="2185"/>
  <c r="AK138" i="2183"/>
  <c r="AK140" i="2183" s="1"/>
  <c r="Z135" i="2182"/>
  <c r="Z136" i="2182" s="1"/>
  <c r="Z138" i="2182" s="1"/>
  <c r="Z140" i="2182" s="1"/>
  <c r="AD135" i="2185"/>
  <c r="AD136" i="2185" s="1"/>
  <c r="AD139" i="2185" s="1"/>
  <c r="AH138" i="2186"/>
  <c r="AH140" i="2186" s="1"/>
  <c r="S139" i="2178"/>
  <c r="S138" i="2178"/>
  <c r="S140" i="2178" s="1"/>
  <c r="AF135" i="2176"/>
  <c r="AF136" i="2176" s="1"/>
  <c r="AF138" i="2176" s="1"/>
  <c r="AF140" i="2176" s="1"/>
  <c r="L139" i="2175"/>
  <c r="L138" i="2175"/>
  <c r="L140" i="2175" s="1"/>
  <c r="N139" i="2181"/>
  <c r="N138" i="2181"/>
  <c r="N140" i="2181" s="1"/>
  <c r="AR138" i="2182"/>
  <c r="AR140" i="2182" s="1"/>
  <c r="E136" i="2180"/>
  <c r="S139" i="2175"/>
  <c r="S138" i="2175"/>
  <c r="S140" i="2175" s="1"/>
  <c r="R135" i="2182"/>
  <c r="AE135" i="2182"/>
  <c r="AE136" i="2182" s="1"/>
  <c r="AE138" i="2182" s="1"/>
  <c r="AE140" i="2182" s="1"/>
  <c r="E136" i="2183"/>
  <c r="J136" i="2184"/>
  <c r="N138" i="2176"/>
  <c r="N140" i="2176" s="1"/>
  <c r="AF135" i="2186"/>
  <c r="AF136" i="2186" s="1"/>
  <c r="AF138" i="2186" s="1"/>
  <c r="AF140" i="2186" s="1"/>
  <c r="AF139" i="2186"/>
  <c r="AP135" i="2183"/>
  <c r="AP136" i="2183" s="1"/>
  <c r="AP138" i="2183" s="1"/>
  <c r="AP140" i="2183" s="1"/>
  <c r="AF135" i="2182"/>
  <c r="AF136" i="2182" s="1"/>
  <c r="AF138" i="2182" s="1"/>
  <c r="AF140" i="2182" s="1"/>
  <c r="AM135" i="2176"/>
  <c r="AM136" i="2176" s="1"/>
  <c r="AM139" i="2176" s="1"/>
  <c r="N139" i="2175"/>
  <c r="N138" i="2175"/>
  <c r="N140" i="2175" s="1"/>
  <c r="U138" i="2183"/>
  <c r="U140" i="2183" s="1"/>
  <c r="AP135" i="2182"/>
  <c r="AP136" i="2182" s="1"/>
  <c r="AP138" i="2182" s="1"/>
  <c r="AP140" i="2182" s="1"/>
  <c r="P135" i="2180"/>
  <c r="AP135" i="2176"/>
  <c r="AP136" i="2176" s="1"/>
  <c r="AP139" i="2176" s="1"/>
  <c r="AN138" i="2175"/>
  <c r="AN140" i="2175" s="1"/>
  <c r="L135" i="2186"/>
  <c r="H135" i="2180"/>
  <c r="X135" i="2176"/>
  <c r="X136" i="2176" s="1"/>
  <c r="X139" i="2176" s="1"/>
  <c r="M135" i="2176"/>
  <c r="O136" i="2183"/>
  <c r="AA135" i="2182"/>
  <c r="AA136" i="2182" s="1"/>
  <c r="AA139" i="2182" s="1"/>
  <c r="R135" i="2180"/>
  <c r="G135" i="2180"/>
  <c r="AD138" i="2180"/>
  <c r="AD140" i="2180" s="1"/>
  <c r="N139" i="2179"/>
  <c r="N138" i="2179"/>
  <c r="N140" i="2179" s="1"/>
  <c r="H139" i="2183"/>
  <c r="H138" i="2183"/>
  <c r="H140" i="2183" s="1"/>
  <c r="N139" i="2184"/>
  <c r="N138" i="2184"/>
  <c r="N140" i="2184" s="1"/>
  <c r="U135" i="2182"/>
  <c r="U136" i="2182" s="1"/>
  <c r="U139" i="2182" s="1"/>
  <c r="H136" i="2175"/>
  <c r="AI135" i="2185"/>
  <c r="AI136" i="2185" s="1"/>
  <c r="AI139" i="2185" s="1"/>
  <c r="G135" i="2185"/>
  <c r="Q135" i="2176"/>
  <c r="AL138" i="2186"/>
  <c r="AL140" i="2186" s="1"/>
  <c r="L139" i="2184"/>
  <c r="L138" i="2184"/>
  <c r="L140" i="2184" s="1"/>
  <c r="Z138" i="2176"/>
  <c r="Z140" i="2176" s="1"/>
  <c r="O139" i="2181"/>
  <c r="O138" i="2181"/>
  <c r="O140" i="2181" s="1"/>
  <c r="S135" i="2186"/>
  <c r="I136" i="2184"/>
  <c r="N139" i="2174"/>
  <c r="N138" i="2174"/>
  <c r="N140" i="2174" s="1"/>
  <c r="AA139" i="2184"/>
  <c r="Q136" i="2184"/>
  <c r="AC138" i="2186"/>
  <c r="AC140" i="2186" s="1"/>
  <c r="Q139" i="2175"/>
  <c r="Q138" i="2175"/>
  <c r="Q140" i="2175" s="1"/>
  <c r="Y138" i="2185"/>
  <c r="Y140" i="2185" s="1"/>
  <c r="I138" i="2177"/>
  <c r="I140" i="2177" s="1"/>
  <c r="N135" i="2182"/>
  <c r="R135" i="2176"/>
  <c r="AA139" i="2183"/>
  <c r="I138" i="2185"/>
  <c r="I140" i="2185" s="1"/>
  <c r="H139" i="2178"/>
  <c r="H138" i="2178"/>
  <c r="H140" i="2178" s="1"/>
  <c r="E135" i="2182"/>
  <c r="AA135" i="2185"/>
  <c r="AA136" i="2185" s="1"/>
  <c r="AA139" i="2185" s="1"/>
  <c r="P135" i="2186"/>
  <c r="G136" i="2178"/>
  <c r="E139" i="2178"/>
  <c r="E138" i="2178"/>
  <c r="AI135" i="2182"/>
  <c r="AI136" i="2182" s="1"/>
  <c r="AI139" i="2182" s="1"/>
  <c r="F138" i="2179"/>
  <c r="F140" i="2179" s="1"/>
  <c r="F139" i="2179"/>
  <c r="O138" i="2177"/>
  <c r="O140" i="2177" s="1"/>
  <c r="O139" i="2177"/>
  <c r="H135" i="2186"/>
  <c r="S138" i="2176"/>
  <c r="S140" i="2176" s="1"/>
  <c r="S139" i="2176"/>
  <c r="G136" i="2186"/>
  <c r="P136" i="2184"/>
  <c r="F136" i="2183"/>
  <c r="O135" i="2180"/>
  <c r="N139" i="2178"/>
  <c r="N138" i="2178"/>
  <c r="N140" i="2178" s="1"/>
  <c r="F139" i="2184"/>
  <c r="F138" i="2184"/>
  <c r="F140" i="2184" s="1"/>
  <c r="AR135" i="2176"/>
  <c r="AR136" i="2176" s="1"/>
  <c r="AR138" i="2176" s="1"/>
  <c r="AR140" i="2176" s="1"/>
  <c r="I135" i="2176"/>
  <c r="AB135" i="2186"/>
  <c r="AB136" i="2186" s="1"/>
  <c r="AB139" i="2186" s="1"/>
  <c r="G139" i="2174"/>
  <c r="G138" i="2174"/>
  <c r="G140" i="2174" s="1"/>
  <c r="P139" i="2175"/>
  <c r="P138" i="2175"/>
  <c r="P140" i="2175" s="1"/>
  <c r="H139" i="2177"/>
  <c r="H138" i="2177"/>
  <c r="H140" i="2177" s="1"/>
  <c r="L136" i="2179"/>
  <c r="F136" i="2182"/>
  <c r="K136" i="2181"/>
  <c r="N136" i="2180"/>
  <c r="O136" i="2178"/>
  <c r="J135" i="2183"/>
  <c r="G135" i="2182"/>
  <c r="Q135" i="2182"/>
  <c r="R135" i="2183"/>
  <c r="I135" i="2182"/>
  <c r="N138" i="2185"/>
  <c r="N140" i="2185" s="1"/>
  <c r="G14" i="701"/>
  <c r="G6" i="701"/>
  <c r="G9" i="701"/>
  <c r="G12" i="701"/>
  <c r="X9" i="65"/>
  <c r="P27" i="65"/>
  <c r="X27" i="65"/>
  <c r="P23" i="65"/>
  <c r="P20" i="65"/>
  <c r="P22" i="65"/>
  <c r="P9" i="65"/>
  <c r="P21" i="65"/>
  <c r="U138" i="2186" l="1"/>
  <c r="U140" i="2186" s="1"/>
  <c r="AO138" i="2185"/>
  <c r="AO140" i="2185" s="1"/>
  <c r="AC138" i="2174"/>
  <c r="AC140" i="2174" s="1"/>
  <c r="L138" i="2174"/>
  <c r="L140" i="2174" s="1"/>
  <c r="AI139" i="2174"/>
  <c r="AN138" i="2174"/>
  <c r="AN140" i="2174" s="1"/>
  <c r="T138" i="2174"/>
  <c r="T140" i="2174" s="1"/>
  <c r="AB139" i="2182"/>
  <c r="Z138" i="2178"/>
  <c r="Z140" i="2178" s="1"/>
  <c r="AO138" i="2178"/>
  <c r="AO140" i="2178" s="1"/>
  <c r="AJ138" i="2178"/>
  <c r="AJ140" i="2178" s="1"/>
  <c r="AB138" i="2178"/>
  <c r="AB140" i="2178" s="1"/>
  <c r="AQ139" i="2178"/>
  <c r="AP139" i="2177"/>
  <c r="AH138" i="2177"/>
  <c r="AH140" i="2177" s="1"/>
  <c r="AN138" i="2177"/>
  <c r="AN140" i="2177" s="1"/>
  <c r="AJ139" i="2186"/>
  <c r="AJ138" i="2186"/>
  <c r="AJ140" i="2186" s="1"/>
  <c r="Y138" i="2186"/>
  <c r="Y140" i="2186" s="1"/>
  <c r="Y139" i="2186"/>
  <c r="AD138" i="2185"/>
  <c r="AD140" i="2185" s="1"/>
  <c r="Z139" i="2182"/>
  <c r="AP139" i="2182"/>
  <c r="AA138" i="2185"/>
  <c r="AA140" i="2185" s="1"/>
  <c r="Y139" i="2183"/>
  <c r="AN138" i="2183"/>
  <c r="AN140" i="2183" s="1"/>
  <c r="AH139" i="2183"/>
  <c r="AI138" i="2182"/>
  <c r="AI140" i="2182" s="1"/>
  <c r="AL139" i="2182"/>
  <c r="AQ139" i="2182"/>
  <c r="AN139" i="2182"/>
  <c r="AF139" i="2182"/>
  <c r="AE139" i="2182"/>
  <c r="AH139" i="2182"/>
  <c r="Y138" i="2181"/>
  <c r="Y140" i="2181" s="1"/>
  <c r="V138" i="2180"/>
  <c r="V140" i="2180" s="1"/>
  <c r="AH139" i="2180"/>
  <c r="AG138" i="2189"/>
  <c r="AG140" i="2189" s="1"/>
  <c r="AB138" i="2189"/>
  <c r="AB140" i="2189" s="1"/>
  <c r="AH138" i="2191"/>
  <c r="AH140" i="2191" s="1"/>
  <c r="AI138" i="2189"/>
  <c r="AI140" i="2189" s="1"/>
  <c r="Z139" i="2191"/>
  <c r="AA138" i="2189"/>
  <c r="AA140" i="2189" s="1"/>
  <c r="AB138" i="2191"/>
  <c r="AB140" i="2191" s="1"/>
  <c r="X138" i="2191"/>
  <c r="X140" i="2191" s="1"/>
  <c r="AK139" i="2190"/>
  <c r="Y139" i="2189"/>
  <c r="AN138" i="2188"/>
  <c r="AN140" i="2188" s="1"/>
  <c r="AD139" i="2188"/>
  <c r="Q136" i="2188"/>
  <c r="R136" i="2191"/>
  <c r="I139" i="2191"/>
  <c r="I138" i="2191"/>
  <c r="I140" i="2191" s="1"/>
  <c r="J138" i="2191"/>
  <c r="J140" i="2191" s="1"/>
  <c r="J139" i="2191"/>
  <c r="F136" i="2191"/>
  <c r="F136" i="2190"/>
  <c r="Y138" i="2188"/>
  <c r="Y140" i="2188" s="1"/>
  <c r="AQ138" i="2190"/>
  <c r="AQ140" i="2190" s="1"/>
  <c r="Q138" i="2190"/>
  <c r="Q140" i="2190" s="1"/>
  <c r="Q139" i="2190"/>
  <c r="N136" i="2191"/>
  <c r="E140" i="2191"/>
  <c r="AD139" i="2191"/>
  <c r="K136" i="2190"/>
  <c r="J136" i="2190"/>
  <c r="O139" i="2190"/>
  <c r="O138" i="2190"/>
  <c r="O140" i="2190" s="1"/>
  <c r="Y138" i="2191"/>
  <c r="Y140" i="2191" s="1"/>
  <c r="K136" i="2191"/>
  <c r="AN139" i="2189"/>
  <c r="N136" i="2188"/>
  <c r="I138" i="2192"/>
  <c r="I140" i="2192" s="1"/>
  <c r="I139" i="2192"/>
  <c r="F138" i="2192"/>
  <c r="F140" i="2192" s="1"/>
  <c r="F139" i="2192"/>
  <c r="AM138" i="2191"/>
  <c r="AM140" i="2191" s="1"/>
  <c r="AO138" i="2188"/>
  <c r="AO140" i="2188" s="1"/>
  <c r="E139" i="2189"/>
  <c r="E138" i="2189"/>
  <c r="X138" i="2188"/>
  <c r="X140" i="2188" s="1"/>
  <c r="P136" i="2190"/>
  <c r="E138" i="2190"/>
  <c r="E139" i="2190"/>
  <c r="M138" i="2187"/>
  <c r="M140" i="2187" s="1"/>
  <c r="M139" i="2187"/>
  <c r="Q139" i="2191"/>
  <c r="Q138" i="2191"/>
  <c r="Q140" i="2191" s="1"/>
  <c r="F139" i="2188"/>
  <c r="F138" i="2188"/>
  <c r="F140" i="2188" s="1"/>
  <c r="E139" i="2187"/>
  <c r="E138" i="2187"/>
  <c r="R136" i="2188"/>
  <c r="U138" i="2191"/>
  <c r="U140" i="2191" s="1"/>
  <c r="M138" i="2192"/>
  <c r="M140" i="2192" s="1"/>
  <c r="M139" i="2192"/>
  <c r="G138" i="2190"/>
  <c r="G140" i="2190" s="1"/>
  <c r="G139" i="2190"/>
  <c r="J136" i="2188"/>
  <c r="J138" i="2189"/>
  <c r="J140" i="2189" s="1"/>
  <c r="J139" i="2189"/>
  <c r="N138" i="2192"/>
  <c r="N140" i="2192" s="1"/>
  <c r="N139" i="2192"/>
  <c r="O136" i="2189"/>
  <c r="Q139" i="2192"/>
  <c r="Q138" i="2192"/>
  <c r="Q140" i="2192" s="1"/>
  <c r="S139" i="2188"/>
  <c r="S138" i="2188"/>
  <c r="S140" i="2188" s="1"/>
  <c r="O136" i="2188"/>
  <c r="Z138" i="2188"/>
  <c r="Z140" i="2188" s="1"/>
  <c r="N138" i="2187"/>
  <c r="N140" i="2187" s="1"/>
  <c r="N139" i="2187"/>
  <c r="H139" i="2189"/>
  <c r="H138" i="2189"/>
  <c r="H140" i="2189" s="1"/>
  <c r="M139" i="2188"/>
  <c r="M138" i="2188"/>
  <c r="M140" i="2188" s="1"/>
  <c r="S136" i="2189"/>
  <c r="F136" i="2189"/>
  <c r="M136" i="2190"/>
  <c r="K136" i="2189"/>
  <c r="I136" i="2188"/>
  <c r="S136" i="2190"/>
  <c r="L136" i="2189"/>
  <c r="K138" i="2187"/>
  <c r="K140" i="2187" s="1"/>
  <c r="K139" i="2187"/>
  <c r="N136" i="2189"/>
  <c r="R138" i="2190"/>
  <c r="R140" i="2190" s="1"/>
  <c r="R139" i="2190"/>
  <c r="L136" i="2188"/>
  <c r="N139" i="2190"/>
  <c r="N138" i="2190"/>
  <c r="N140" i="2190" s="1"/>
  <c r="P136" i="2188"/>
  <c r="R136" i="2189"/>
  <c r="E139" i="2188"/>
  <c r="E138" i="2188"/>
  <c r="M136" i="2191"/>
  <c r="E138" i="2192"/>
  <c r="E139" i="2192"/>
  <c r="D151" i="2174"/>
  <c r="AM138" i="2176"/>
  <c r="AM140" i="2176" s="1"/>
  <c r="AR139" i="2176"/>
  <c r="AI138" i="2176"/>
  <c r="AI140" i="2176" s="1"/>
  <c r="AF139" i="2176"/>
  <c r="AH139" i="2176"/>
  <c r="Q136" i="2183"/>
  <c r="E139" i="2181"/>
  <c r="E138" i="2181"/>
  <c r="H136" i="2176"/>
  <c r="F139" i="2177"/>
  <c r="F138" i="2177"/>
  <c r="F140" i="2177" s="1"/>
  <c r="H136" i="2186"/>
  <c r="G136" i="2185"/>
  <c r="E139" i="2180"/>
  <c r="E138" i="2180"/>
  <c r="AG139" i="2183"/>
  <c r="K139" i="2175"/>
  <c r="K138" i="2175"/>
  <c r="K140" i="2175" s="1"/>
  <c r="J136" i="2182"/>
  <c r="L139" i="2182"/>
  <c r="L138" i="2182"/>
  <c r="L140" i="2182" s="1"/>
  <c r="S139" i="2180"/>
  <c r="S138" i="2180"/>
  <c r="S140" i="2180" s="1"/>
  <c r="V138" i="2176"/>
  <c r="V140" i="2176" s="1"/>
  <c r="Q136" i="2180"/>
  <c r="I136" i="2180"/>
  <c r="AM138" i="2180"/>
  <c r="AM140" i="2180" s="1"/>
  <c r="AR138" i="2186"/>
  <c r="AR140" i="2186" s="1"/>
  <c r="M136" i="2180"/>
  <c r="J139" i="2185"/>
  <c r="J138" i="2185"/>
  <c r="J140" i="2185" s="1"/>
  <c r="AB138" i="2186"/>
  <c r="AB140" i="2186" s="1"/>
  <c r="P139" i="2184"/>
  <c r="P138" i="2184"/>
  <c r="P140" i="2184" s="1"/>
  <c r="U138" i="2182"/>
  <c r="U140" i="2182" s="1"/>
  <c r="X138" i="2176"/>
  <c r="X140" i="2176" s="1"/>
  <c r="E140" i="2177"/>
  <c r="F139" i="2176"/>
  <c r="F138" i="2176"/>
  <c r="F140" i="2176" s="1"/>
  <c r="E136" i="2186"/>
  <c r="H136" i="2182"/>
  <c r="H139" i="2184"/>
  <c r="H138" i="2184"/>
  <c r="H140" i="2184" s="1"/>
  <c r="S138" i="2181"/>
  <c r="S140" i="2181" s="1"/>
  <c r="S139" i="2181"/>
  <c r="T138" i="2186"/>
  <c r="T140" i="2186" s="1"/>
  <c r="AI138" i="2180"/>
  <c r="AI140" i="2180" s="1"/>
  <c r="M138" i="2179"/>
  <c r="M140" i="2179" s="1"/>
  <c r="M139" i="2179"/>
  <c r="L139" i="2179"/>
  <c r="L138" i="2179"/>
  <c r="L140" i="2179" s="1"/>
  <c r="Z138" i="2180"/>
  <c r="Z140" i="2180" s="1"/>
  <c r="AG138" i="2176"/>
  <c r="AG140" i="2176" s="1"/>
  <c r="AO138" i="2176"/>
  <c r="AO140" i="2176" s="1"/>
  <c r="J136" i="2180"/>
  <c r="D152" i="2174"/>
  <c r="Q139" i="2186"/>
  <c r="Q138" i="2186"/>
  <c r="Q140" i="2186" s="1"/>
  <c r="E140" i="2175"/>
  <c r="J138" i="2186"/>
  <c r="J140" i="2186" s="1"/>
  <c r="J139" i="2186"/>
  <c r="G139" i="2183"/>
  <c r="G138" i="2183"/>
  <c r="G140" i="2183" s="1"/>
  <c r="W138" i="2186"/>
  <c r="W140" i="2186" s="1"/>
  <c r="AM138" i="2186"/>
  <c r="AM140" i="2186" s="1"/>
  <c r="O139" i="2186"/>
  <c r="O138" i="2186"/>
  <c r="O140" i="2186" s="1"/>
  <c r="M136" i="2182"/>
  <c r="Y138" i="2176"/>
  <c r="Y140" i="2176" s="1"/>
  <c r="O138" i="2178"/>
  <c r="O140" i="2178" s="1"/>
  <c r="O139" i="2178"/>
  <c r="F139" i="2183"/>
  <c r="F138" i="2183"/>
  <c r="F140" i="2183" s="1"/>
  <c r="N138" i="2180"/>
  <c r="N140" i="2180" s="1"/>
  <c r="N139" i="2180"/>
  <c r="G138" i="2178"/>
  <c r="G140" i="2178" s="1"/>
  <c r="G139" i="2178"/>
  <c r="E136" i="2182"/>
  <c r="O138" i="2183"/>
  <c r="O140" i="2183" s="1"/>
  <c r="O139" i="2183"/>
  <c r="AP138" i="2176"/>
  <c r="AP140" i="2176" s="1"/>
  <c r="J139" i="2184"/>
  <c r="J138" i="2184"/>
  <c r="J140" i="2184" s="1"/>
  <c r="R136" i="2182"/>
  <c r="W138" i="2182"/>
  <c r="W140" i="2182" s="1"/>
  <c r="P139" i="2176"/>
  <c r="P138" i="2176"/>
  <c r="P140" i="2176" s="1"/>
  <c r="AE138" i="2183"/>
  <c r="AE140" i="2183" s="1"/>
  <c r="D146" i="2174"/>
  <c r="C5" i="2174" s="1"/>
  <c r="V139" i="2182"/>
  <c r="E139" i="2179"/>
  <c r="E138" i="2179"/>
  <c r="E139" i="2184"/>
  <c r="E138" i="2184"/>
  <c r="K136" i="2183"/>
  <c r="AJ138" i="2182"/>
  <c r="AJ140" i="2182" s="1"/>
  <c r="E139" i="2185"/>
  <c r="E138" i="2185"/>
  <c r="E136" i="2176"/>
  <c r="E140" i="2178"/>
  <c r="G136" i="2182"/>
  <c r="R136" i="2183"/>
  <c r="K139" i="2181"/>
  <c r="K138" i="2181"/>
  <c r="K140" i="2181" s="1"/>
  <c r="O136" i="2180"/>
  <c r="G139" i="2186"/>
  <c r="G138" i="2186"/>
  <c r="G140" i="2186" s="1"/>
  <c r="AI138" i="2185"/>
  <c r="AI140" i="2185" s="1"/>
  <c r="H136" i="2180"/>
  <c r="AP139" i="2183"/>
  <c r="Z138" i="2185"/>
  <c r="Z140" i="2185" s="1"/>
  <c r="J136" i="2176"/>
  <c r="AP138" i="2180"/>
  <c r="AP140" i="2180" s="1"/>
  <c r="S138" i="2183"/>
  <c r="S140" i="2183" s="1"/>
  <c r="S139" i="2183"/>
  <c r="N136" i="2186"/>
  <c r="L136" i="2176"/>
  <c r="F138" i="2181"/>
  <c r="F140" i="2181" s="1"/>
  <c r="F139" i="2181"/>
  <c r="AE138" i="2180"/>
  <c r="AE140" i="2180" s="1"/>
  <c r="L136" i="2183"/>
  <c r="K136" i="2182"/>
  <c r="L138" i="2180"/>
  <c r="L140" i="2180" s="1"/>
  <c r="L139" i="2180"/>
  <c r="F136" i="2185"/>
  <c r="O139" i="2182"/>
  <c r="O138" i="2182"/>
  <c r="O140" i="2182" s="1"/>
  <c r="F139" i="2178"/>
  <c r="F138" i="2178"/>
  <c r="F140" i="2178" s="1"/>
  <c r="O136" i="2176"/>
  <c r="AC138" i="2176"/>
  <c r="AC140" i="2176" s="1"/>
  <c r="P136" i="2182"/>
  <c r="AA138" i="2182"/>
  <c r="AA140" i="2182" s="1"/>
  <c r="I136" i="2176"/>
  <c r="R136" i="2176"/>
  <c r="I138" i="2184"/>
  <c r="I140" i="2184" s="1"/>
  <c r="I139" i="2184"/>
  <c r="G136" i="2180"/>
  <c r="Q138" i="2184"/>
  <c r="Q140" i="2184" s="1"/>
  <c r="Q139" i="2184"/>
  <c r="S136" i="2186"/>
  <c r="Q136" i="2176"/>
  <c r="R136" i="2180"/>
  <c r="M136" i="2176"/>
  <c r="E139" i="2183"/>
  <c r="E138" i="2183"/>
  <c r="L138" i="2181"/>
  <c r="L140" i="2181" s="1"/>
  <c r="L139" i="2181"/>
  <c r="AI138" i="2183"/>
  <c r="AI140" i="2183" s="1"/>
  <c r="R139" i="2185"/>
  <c r="R138" i="2185"/>
  <c r="R140" i="2185" s="1"/>
  <c r="O139" i="2185"/>
  <c r="O138" i="2185"/>
  <c r="O140" i="2185" s="1"/>
  <c r="S136" i="2182"/>
  <c r="N139" i="2177"/>
  <c r="N138" i="2177"/>
  <c r="N140" i="2177" s="1"/>
  <c r="I136" i="2183"/>
  <c r="F139" i="2186"/>
  <c r="F138" i="2186"/>
  <c r="F140" i="2186" s="1"/>
  <c r="I136" i="2182"/>
  <c r="Q136" i="2182"/>
  <c r="J136" i="2183"/>
  <c r="F139" i="2182"/>
  <c r="F138" i="2182"/>
  <c r="F140" i="2182" s="1"/>
  <c r="P136" i="2186"/>
  <c r="N136" i="2182"/>
  <c r="H138" i="2175"/>
  <c r="H140" i="2175" s="1"/>
  <c r="H139" i="2175"/>
  <c r="L136" i="2186"/>
  <c r="P136" i="2180"/>
  <c r="K136" i="2180"/>
  <c r="F136" i="2180"/>
  <c r="R138" i="2184"/>
  <c r="R140" i="2184" s="1"/>
  <c r="R139" i="2184"/>
  <c r="N139" i="2183"/>
  <c r="N138" i="2183"/>
  <c r="N140" i="2183" s="1"/>
  <c r="R136" i="2186"/>
  <c r="G7" i="65"/>
  <c r="D151" i="2178" l="1"/>
  <c r="D151" i="2187"/>
  <c r="D151" i="2192"/>
  <c r="R139" i="2189"/>
  <c r="R138" i="2189"/>
  <c r="R140" i="2189" s="1"/>
  <c r="E140" i="2190"/>
  <c r="N138" i="2189"/>
  <c r="N140" i="2189" s="1"/>
  <c r="N139" i="2189"/>
  <c r="I139" i="2188"/>
  <c r="I138" i="2188"/>
  <c r="I140" i="2188" s="1"/>
  <c r="F139" i="2189"/>
  <c r="F138" i="2189"/>
  <c r="F140" i="2189" s="1"/>
  <c r="O139" i="2188"/>
  <c r="O138" i="2188"/>
  <c r="O140" i="2188" s="1"/>
  <c r="F139" i="2190"/>
  <c r="F138" i="2190"/>
  <c r="F140" i="2190" s="1"/>
  <c r="K139" i="2191"/>
  <c r="K138" i="2191"/>
  <c r="K140" i="2191" s="1"/>
  <c r="K138" i="2190"/>
  <c r="K140" i="2190" s="1"/>
  <c r="K139" i="2190"/>
  <c r="M139" i="2190"/>
  <c r="M138" i="2190"/>
  <c r="M140" i="2190" s="1"/>
  <c r="D146" i="2192"/>
  <c r="C5" i="2192" s="1"/>
  <c r="E140" i="2192"/>
  <c r="D152" i="2192" s="1"/>
  <c r="P139" i="2188"/>
  <c r="P138" i="2188"/>
  <c r="P140" i="2188" s="1"/>
  <c r="S138" i="2190"/>
  <c r="S140" i="2190" s="1"/>
  <c r="S139" i="2190"/>
  <c r="P139" i="2190"/>
  <c r="P138" i="2190"/>
  <c r="P140" i="2190" s="1"/>
  <c r="R138" i="2191"/>
  <c r="R140" i="2191" s="1"/>
  <c r="R139" i="2191"/>
  <c r="M139" i="2191"/>
  <c r="M138" i="2191"/>
  <c r="M140" i="2191" s="1"/>
  <c r="R139" i="2188"/>
  <c r="R138" i="2188"/>
  <c r="R140" i="2188" s="1"/>
  <c r="E140" i="2189"/>
  <c r="N138" i="2188"/>
  <c r="N140" i="2188" s="1"/>
  <c r="N139" i="2188"/>
  <c r="J139" i="2190"/>
  <c r="J138" i="2190"/>
  <c r="J140" i="2190" s="1"/>
  <c r="N139" i="2191"/>
  <c r="N138" i="2191"/>
  <c r="N140" i="2191" s="1"/>
  <c r="F139" i="2191"/>
  <c r="F138" i="2191"/>
  <c r="J139" i="2188"/>
  <c r="J138" i="2188"/>
  <c r="J140" i="2188" s="1"/>
  <c r="Q139" i="2188"/>
  <c r="Q138" i="2188"/>
  <c r="Q140" i="2188" s="1"/>
  <c r="S139" i="2189"/>
  <c r="S138" i="2189"/>
  <c r="S140" i="2189" s="1"/>
  <c r="O139" i="2189"/>
  <c r="O138" i="2189"/>
  <c r="O140" i="2189" s="1"/>
  <c r="E140" i="2188"/>
  <c r="L139" i="2188"/>
  <c r="L138" i="2188"/>
  <c r="L140" i="2188" s="1"/>
  <c r="K139" i="2189"/>
  <c r="K138" i="2189"/>
  <c r="K140" i="2189" s="1"/>
  <c r="L139" i="2189"/>
  <c r="L138" i="2189"/>
  <c r="L140" i="2189" s="1"/>
  <c r="D146" i="2187"/>
  <c r="C5" i="2187" s="1"/>
  <c r="E140" i="2187"/>
  <c r="D152" i="2187" s="1"/>
  <c r="D152" i="2175"/>
  <c r="D151" i="2175"/>
  <c r="D146" i="2175"/>
  <c r="C5" i="2175" s="1"/>
  <c r="J143" i="2175" s="1"/>
  <c r="Q139" i="2182"/>
  <c r="Q138" i="2182"/>
  <c r="Q140" i="2182" s="1"/>
  <c r="L138" i="2183"/>
  <c r="L140" i="2183" s="1"/>
  <c r="L139" i="2183"/>
  <c r="H138" i="2180"/>
  <c r="H140" i="2180" s="1"/>
  <c r="H139" i="2180"/>
  <c r="D146" i="2179"/>
  <c r="C5" i="2179" s="1"/>
  <c r="E140" i="2179"/>
  <c r="D152" i="2179" s="1"/>
  <c r="R138" i="2182"/>
  <c r="R140" i="2182" s="1"/>
  <c r="R139" i="2182"/>
  <c r="E139" i="2182"/>
  <c r="E138" i="2182"/>
  <c r="Q138" i="2176"/>
  <c r="Q140" i="2176" s="1"/>
  <c r="Q139" i="2176"/>
  <c r="P139" i="2182"/>
  <c r="P138" i="2182"/>
  <c r="P140" i="2182" s="1"/>
  <c r="R138" i="2183"/>
  <c r="R140" i="2183" s="1"/>
  <c r="R139" i="2183"/>
  <c r="E140" i="2185"/>
  <c r="D151" i="2179"/>
  <c r="H138" i="2182"/>
  <c r="H140" i="2182" s="1"/>
  <c r="H139" i="2182"/>
  <c r="D151" i="2177"/>
  <c r="R139" i="2186"/>
  <c r="R138" i="2186"/>
  <c r="R140" i="2186" s="1"/>
  <c r="R138" i="2180"/>
  <c r="R140" i="2180" s="1"/>
  <c r="R139" i="2180"/>
  <c r="N139" i="2186"/>
  <c r="N138" i="2186"/>
  <c r="N140" i="2186" s="1"/>
  <c r="F138" i="2185"/>
  <c r="F140" i="2185" s="1"/>
  <c r="F139" i="2185"/>
  <c r="J139" i="2180"/>
  <c r="J138" i="2180"/>
  <c r="J140" i="2180" s="1"/>
  <c r="E140" i="2180"/>
  <c r="H139" i="2176"/>
  <c r="H138" i="2176"/>
  <c r="H140" i="2176" s="1"/>
  <c r="D146" i="2177"/>
  <c r="C5" i="2177" s="1"/>
  <c r="M139" i="2180"/>
  <c r="M138" i="2180"/>
  <c r="M140" i="2180" s="1"/>
  <c r="K138" i="2180"/>
  <c r="K140" i="2180" s="1"/>
  <c r="K139" i="2180"/>
  <c r="N139" i="2182"/>
  <c r="N138" i="2182"/>
  <c r="N140" i="2182" s="1"/>
  <c r="P139" i="2180"/>
  <c r="P138" i="2180"/>
  <c r="P140" i="2180" s="1"/>
  <c r="I139" i="2182"/>
  <c r="I138" i="2182"/>
  <c r="I140" i="2182" s="1"/>
  <c r="P139" i="2186"/>
  <c r="P138" i="2186"/>
  <c r="P140" i="2186" s="1"/>
  <c r="S138" i="2182"/>
  <c r="S140" i="2182" s="1"/>
  <c r="S139" i="2182"/>
  <c r="E140" i="2183"/>
  <c r="S139" i="2186"/>
  <c r="S138" i="2186"/>
  <c r="S140" i="2186" s="1"/>
  <c r="R139" i="2176"/>
  <c r="R138" i="2176"/>
  <c r="R140" i="2176" s="1"/>
  <c r="E142" i="2174"/>
  <c r="S143" i="2174"/>
  <c r="L143" i="2174"/>
  <c r="E143" i="2174"/>
  <c r="P143" i="2174"/>
  <c r="F143" i="2174"/>
  <c r="O143" i="2174"/>
  <c r="R143" i="2174"/>
  <c r="J143" i="2174"/>
  <c r="M143" i="2174"/>
  <c r="I143" i="2174"/>
  <c r="K143" i="2174"/>
  <c r="H143" i="2174"/>
  <c r="N143" i="2174"/>
  <c r="Q143" i="2174"/>
  <c r="G143" i="2174"/>
  <c r="M139" i="2182"/>
  <c r="M138" i="2182"/>
  <c r="M140" i="2182" s="1"/>
  <c r="E139" i="2186"/>
  <c r="E138" i="2186"/>
  <c r="I139" i="2180"/>
  <c r="I138" i="2180"/>
  <c r="I140" i="2180" s="1"/>
  <c r="G138" i="2185"/>
  <c r="G140" i="2185" s="1"/>
  <c r="G139" i="2185"/>
  <c r="E140" i="2181"/>
  <c r="D152" i="2181" s="1"/>
  <c r="D146" i="2181"/>
  <c r="C5" i="2181" s="1"/>
  <c r="L139" i="2176"/>
  <c r="L138" i="2176"/>
  <c r="L140" i="2176" s="1"/>
  <c r="D152" i="2178"/>
  <c r="J139" i="2182"/>
  <c r="J138" i="2182"/>
  <c r="J140" i="2182" s="1"/>
  <c r="G139" i="2182"/>
  <c r="G138" i="2182"/>
  <c r="G140" i="2182" s="1"/>
  <c r="O139" i="2180"/>
  <c r="O138" i="2180"/>
  <c r="O140" i="2180" s="1"/>
  <c r="D151" i="2181"/>
  <c r="F138" i="2180"/>
  <c r="F140" i="2180" s="1"/>
  <c r="F139" i="2180"/>
  <c r="K139" i="2182"/>
  <c r="K138" i="2182"/>
  <c r="K140" i="2182" s="1"/>
  <c r="E140" i="2184"/>
  <c r="D152" i="2184" s="1"/>
  <c r="D146" i="2184"/>
  <c r="C5" i="2184" s="1"/>
  <c r="Q139" i="2180"/>
  <c r="Q138" i="2180"/>
  <c r="Q140" i="2180" s="1"/>
  <c r="Q139" i="2183"/>
  <c r="Q138" i="2183"/>
  <c r="Q140" i="2183" s="1"/>
  <c r="L138" i="2186"/>
  <c r="L140" i="2186" s="1"/>
  <c r="L139" i="2186"/>
  <c r="O139" i="2176"/>
  <c r="O138" i="2176"/>
  <c r="O140" i="2176" s="1"/>
  <c r="J139" i="2176"/>
  <c r="J138" i="2176"/>
  <c r="J140" i="2176" s="1"/>
  <c r="K138" i="2183"/>
  <c r="K140" i="2183" s="1"/>
  <c r="K139" i="2183"/>
  <c r="M138" i="2176"/>
  <c r="M140" i="2176" s="1"/>
  <c r="M139" i="2176"/>
  <c r="J138" i="2183"/>
  <c r="J140" i="2183" s="1"/>
  <c r="J139" i="2183"/>
  <c r="D146" i="2178"/>
  <c r="C5" i="2178" s="1"/>
  <c r="I139" i="2183"/>
  <c r="I138" i="2183"/>
  <c r="I140" i="2183" s="1"/>
  <c r="G139" i="2180"/>
  <c r="G138" i="2180"/>
  <c r="G140" i="2180" s="1"/>
  <c r="I139" i="2176"/>
  <c r="I138" i="2176"/>
  <c r="I140" i="2176" s="1"/>
  <c r="E139" i="2176"/>
  <c r="E138" i="2176"/>
  <c r="D151" i="2184"/>
  <c r="D152" i="2177"/>
  <c r="H138" i="2186"/>
  <c r="H140" i="2186" s="1"/>
  <c r="H139" i="2186"/>
  <c r="G10" i="65"/>
  <c r="G11" i="65"/>
  <c r="G8" i="65"/>
  <c r="G25" i="65"/>
  <c r="G24" i="65"/>
  <c r="D151" i="2183" l="1"/>
  <c r="S143" i="2175"/>
  <c r="O143" i="2175"/>
  <c r="E142" i="2175"/>
  <c r="P143" i="2175"/>
  <c r="R143" i="2175"/>
  <c r="D151" i="2190"/>
  <c r="D151" i="2180"/>
  <c r="D151" i="2185"/>
  <c r="D151" i="2189"/>
  <c r="D151" i="2188"/>
  <c r="E142" i="2192"/>
  <c r="J143" i="2192"/>
  <c r="L143" i="2192"/>
  <c r="S143" i="2192"/>
  <c r="H143" i="2192"/>
  <c r="O143" i="2192"/>
  <c r="P143" i="2192"/>
  <c r="K143" i="2192"/>
  <c r="R143" i="2192"/>
  <c r="G143" i="2192"/>
  <c r="I143" i="2192"/>
  <c r="M143" i="2192"/>
  <c r="E143" i="2192"/>
  <c r="N143" i="2192"/>
  <c r="Q143" i="2192"/>
  <c r="F143" i="2192"/>
  <c r="H143" i="2175"/>
  <c r="N143" i="2175"/>
  <c r="F140" i="2191"/>
  <c r="D152" i="2191" s="1"/>
  <c r="D146" i="2191"/>
  <c r="C5" i="2191" s="1"/>
  <c r="D146" i="2189"/>
  <c r="C5" i="2189" s="1"/>
  <c r="K143" i="2175"/>
  <c r="Q143" i="2175"/>
  <c r="D151" i="2191"/>
  <c r="D152" i="2189"/>
  <c r="D152" i="2190"/>
  <c r="D146" i="2190"/>
  <c r="C5" i="2190" s="1"/>
  <c r="F143" i="2175"/>
  <c r="E143" i="2175"/>
  <c r="I143" i="2175"/>
  <c r="E142" i="2187"/>
  <c r="Q143" i="2187"/>
  <c r="P143" i="2187"/>
  <c r="G143" i="2187"/>
  <c r="J143" i="2187"/>
  <c r="R143" i="2187"/>
  <c r="L143" i="2187"/>
  <c r="I143" i="2187"/>
  <c r="O143" i="2187"/>
  <c r="H143" i="2187"/>
  <c r="S143" i="2187"/>
  <c r="F143" i="2187"/>
  <c r="N143" i="2187"/>
  <c r="K143" i="2187"/>
  <c r="E143" i="2187"/>
  <c r="M143" i="2187"/>
  <c r="D146" i="2188"/>
  <c r="C5" i="2188" s="1"/>
  <c r="M143" i="2175"/>
  <c r="G143" i="2175"/>
  <c r="L143" i="2175"/>
  <c r="D152" i="2188"/>
  <c r="D146" i="2183"/>
  <c r="C5" i="2183" s="1"/>
  <c r="E142" i="2179"/>
  <c r="H143" i="2179"/>
  <c r="S143" i="2179"/>
  <c r="P143" i="2179"/>
  <c r="O143" i="2179"/>
  <c r="I143" i="2179"/>
  <c r="G143" i="2179"/>
  <c r="Q143" i="2179"/>
  <c r="R143" i="2179"/>
  <c r="J143" i="2179"/>
  <c r="K143" i="2179"/>
  <c r="N143" i="2179"/>
  <c r="F143" i="2179"/>
  <c r="E143" i="2179"/>
  <c r="M143" i="2179"/>
  <c r="L143" i="2179"/>
  <c r="F142" i="2174"/>
  <c r="G142" i="2174" s="1"/>
  <c r="H142" i="2174" s="1"/>
  <c r="I142" i="2174" s="1"/>
  <c r="J142" i="2174" s="1"/>
  <c r="K142" i="2174" s="1"/>
  <c r="L142" i="2174" s="1"/>
  <c r="M142" i="2174" s="1"/>
  <c r="N142" i="2174" s="1"/>
  <c r="O142" i="2174" s="1"/>
  <c r="P142" i="2174" s="1"/>
  <c r="Q142" i="2174" s="1"/>
  <c r="R142" i="2174" s="1"/>
  <c r="S142" i="2174" s="1"/>
  <c r="T142" i="2174" s="1"/>
  <c r="U142" i="2174" s="1"/>
  <c r="V142" i="2174" s="1"/>
  <c r="W142" i="2174" s="1"/>
  <c r="X142" i="2174" s="1"/>
  <c r="Y142" i="2174" s="1"/>
  <c r="Z142" i="2174" s="1"/>
  <c r="AA142" i="2174" s="1"/>
  <c r="AB142" i="2174" s="1"/>
  <c r="AC142" i="2174" s="1"/>
  <c r="AD142" i="2174" s="1"/>
  <c r="AE142" i="2174" s="1"/>
  <c r="AF142" i="2174" s="1"/>
  <c r="AG142" i="2174" s="1"/>
  <c r="AH142" i="2174" s="1"/>
  <c r="AI142" i="2174" s="1"/>
  <c r="AJ142" i="2174" s="1"/>
  <c r="AK142" i="2174" s="1"/>
  <c r="AL142" i="2174" s="1"/>
  <c r="AM142" i="2174" s="1"/>
  <c r="AN142" i="2174" s="1"/>
  <c r="AO142" i="2174" s="1"/>
  <c r="AP142" i="2174" s="1"/>
  <c r="AQ142" i="2174" s="1"/>
  <c r="AR142" i="2174" s="1"/>
  <c r="E142" i="2181"/>
  <c r="M143" i="2181"/>
  <c r="J143" i="2181"/>
  <c r="P143" i="2181"/>
  <c r="R143" i="2181"/>
  <c r="I143" i="2181"/>
  <c r="G143" i="2181"/>
  <c r="Q143" i="2181"/>
  <c r="O143" i="2181"/>
  <c r="N143" i="2181"/>
  <c r="H143" i="2181"/>
  <c r="L143" i="2181"/>
  <c r="F143" i="2181"/>
  <c r="K143" i="2181"/>
  <c r="S143" i="2181"/>
  <c r="E143" i="2181"/>
  <c r="D152" i="2183"/>
  <c r="E142" i="2177"/>
  <c r="Q143" i="2177"/>
  <c r="L143" i="2177"/>
  <c r="S143" i="2177"/>
  <c r="R143" i="2177"/>
  <c r="M143" i="2177"/>
  <c r="E143" i="2177"/>
  <c r="G143" i="2177"/>
  <c r="I143" i="2177"/>
  <c r="P143" i="2177"/>
  <c r="J143" i="2177"/>
  <c r="K143" i="2177"/>
  <c r="H143" i="2177"/>
  <c r="O143" i="2177"/>
  <c r="N143" i="2177"/>
  <c r="F143" i="2177"/>
  <c r="D152" i="2180"/>
  <c r="F142" i="2175"/>
  <c r="G142" i="2175" s="1"/>
  <c r="H142" i="2175" s="1"/>
  <c r="I142" i="2175" s="1"/>
  <c r="J142" i="2175" s="1"/>
  <c r="K142" i="2175" s="1"/>
  <c r="L142" i="2175" s="1"/>
  <c r="M142" i="2175" s="1"/>
  <c r="N142" i="2175" s="1"/>
  <c r="O142" i="2175" s="1"/>
  <c r="P142" i="2175" s="1"/>
  <c r="Q142" i="2175" s="1"/>
  <c r="R142" i="2175" s="1"/>
  <c r="S142" i="2175" s="1"/>
  <c r="T142" i="2175" s="1"/>
  <c r="U142" i="2175" s="1"/>
  <c r="V142" i="2175" s="1"/>
  <c r="W142" i="2175" s="1"/>
  <c r="X142" i="2175" s="1"/>
  <c r="Y142" i="2175" s="1"/>
  <c r="Z142" i="2175" s="1"/>
  <c r="AA142" i="2175" s="1"/>
  <c r="AB142" i="2175" s="1"/>
  <c r="AC142" i="2175" s="1"/>
  <c r="AD142" i="2175" s="1"/>
  <c r="AE142" i="2175" s="1"/>
  <c r="AF142" i="2175" s="1"/>
  <c r="AG142" i="2175" s="1"/>
  <c r="AH142" i="2175" s="1"/>
  <c r="AI142" i="2175" s="1"/>
  <c r="AJ142" i="2175" s="1"/>
  <c r="AK142" i="2175" s="1"/>
  <c r="AL142" i="2175" s="1"/>
  <c r="AM142" i="2175" s="1"/>
  <c r="AN142" i="2175" s="1"/>
  <c r="AO142" i="2175" s="1"/>
  <c r="AP142" i="2175" s="1"/>
  <c r="AQ142" i="2175" s="1"/>
  <c r="AR142" i="2175" s="1"/>
  <c r="D146" i="2180"/>
  <c r="C5" i="2180" s="1"/>
  <c r="D146" i="2185"/>
  <c r="C5" i="2185" s="1"/>
  <c r="E140" i="2182"/>
  <c r="D152" i="2182" s="1"/>
  <c r="D146" i="2182"/>
  <c r="C5" i="2182" s="1"/>
  <c r="D152" i="2185"/>
  <c r="D151" i="2182"/>
  <c r="D146" i="2176"/>
  <c r="C5" i="2176" s="1"/>
  <c r="E140" i="2176"/>
  <c r="D152" i="2176" s="1"/>
  <c r="E142" i="2178"/>
  <c r="L143" i="2178"/>
  <c r="K143" i="2178"/>
  <c r="J143" i="2178"/>
  <c r="P143" i="2178"/>
  <c r="R143" i="2178"/>
  <c r="E143" i="2178"/>
  <c r="S143" i="2178"/>
  <c r="I143" i="2178"/>
  <c r="Q143" i="2178"/>
  <c r="M143" i="2178"/>
  <c r="N143" i="2178"/>
  <c r="H143" i="2178"/>
  <c r="F143" i="2178"/>
  <c r="O143" i="2178"/>
  <c r="G143" i="2178"/>
  <c r="D151" i="2176"/>
  <c r="E142" i="2184"/>
  <c r="S143" i="2184"/>
  <c r="L143" i="2184"/>
  <c r="N143" i="2184"/>
  <c r="K143" i="2184"/>
  <c r="M143" i="2184"/>
  <c r="O143" i="2184"/>
  <c r="G143" i="2184"/>
  <c r="F143" i="2184"/>
  <c r="Q143" i="2184"/>
  <c r="P143" i="2184"/>
  <c r="J143" i="2184"/>
  <c r="R143" i="2184"/>
  <c r="I143" i="2184"/>
  <c r="E143" i="2184"/>
  <c r="H143" i="2184"/>
  <c r="E140" i="2186"/>
  <c r="D152" i="2186" s="1"/>
  <c r="D146" i="2186"/>
  <c r="C5" i="2186" s="1"/>
  <c r="D151" i="2186"/>
  <c r="D149" i="2174"/>
  <c r="G23" i="65"/>
  <c r="G22" i="65"/>
  <c r="G9" i="65"/>
  <c r="G21" i="65"/>
  <c r="G20" i="65"/>
  <c r="G27" i="65"/>
  <c r="D149" i="2175" l="1"/>
  <c r="E142" i="2191"/>
  <c r="G143" i="2191"/>
  <c r="P143" i="2191"/>
  <c r="L143" i="2191"/>
  <c r="E143" i="2191"/>
  <c r="O143" i="2191"/>
  <c r="S143" i="2191"/>
  <c r="H143" i="2191"/>
  <c r="Q143" i="2191"/>
  <c r="I143" i="2191"/>
  <c r="J143" i="2191"/>
  <c r="F143" i="2191"/>
  <c r="N143" i="2191"/>
  <c r="K143" i="2191"/>
  <c r="R143" i="2191"/>
  <c r="M143" i="2191"/>
  <c r="D149" i="2192"/>
  <c r="F142" i="2192"/>
  <c r="G142" i="2192" s="1"/>
  <c r="H142" i="2192" s="1"/>
  <c r="I142" i="2192" s="1"/>
  <c r="J142" i="2192" s="1"/>
  <c r="K142" i="2192" s="1"/>
  <c r="L142" i="2192" s="1"/>
  <c r="M142" i="2192" s="1"/>
  <c r="N142" i="2192" s="1"/>
  <c r="O142" i="2192" s="1"/>
  <c r="P142" i="2192" s="1"/>
  <c r="Q142" i="2192" s="1"/>
  <c r="R142" i="2192" s="1"/>
  <c r="S142" i="2192" s="1"/>
  <c r="T142" i="2192" s="1"/>
  <c r="U142" i="2192" s="1"/>
  <c r="V142" i="2192" s="1"/>
  <c r="W142" i="2192" s="1"/>
  <c r="X142" i="2192" s="1"/>
  <c r="Y142" i="2192" s="1"/>
  <c r="Z142" i="2192" s="1"/>
  <c r="AA142" i="2192" s="1"/>
  <c r="AB142" i="2192" s="1"/>
  <c r="AC142" i="2192" s="1"/>
  <c r="AD142" i="2192" s="1"/>
  <c r="AE142" i="2192" s="1"/>
  <c r="AF142" i="2192" s="1"/>
  <c r="AG142" i="2192" s="1"/>
  <c r="AH142" i="2192" s="1"/>
  <c r="AI142" i="2192" s="1"/>
  <c r="AJ142" i="2192" s="1"/>
  <c r="AK142" i="2192" s="1"/>
  <c r="AL142" i="2192" s="1"/>
  <c r="AM142" i="2192" s="1"/>
  <c r="AN142" i="2192" s="1"/>
  <c r="AO142" i="2192" s="1"/>
  <c r="AP142" i="2192" s="1"/>
  <c r="AQ142" i="2192" s="1"/>
  <c r="AR142" i="2192" s="1"/>
  <c r="D149" i="2187"/>
  <c r="E142" i="2188"/>
  <c r="H143" i="2188"/>
  <c r="K143" i="2188"/>
  <c r="G143" i="2188"/>
  <c r="S143" i="2188"/>
  <c r="M143" i="2188"/>
  <c r="E143" i="2188"/>
  <c r="F143" i="2188"/>
  <c r="Q143" i="2188"/>
  <c r="J143" i="2188"/>
  <c r="L143" i="2188"/>
  <c r="N143" i="2188"/>
  <c r="R143" i="2188"/>
  <c r="I143" i="2188"/>
  <c r="P143" i="2188"/>
  <c r="O143" i="2188"/>
  <c r="F142" i="2187"/>
  <c r="G142" i="2187" s="1"/>
  <c r="H142" i="2187" s="1"/>
  <c r="I142" i="2187" s="1"/>
  <c r="J142" i="2187" s="1"/>
  <c r="K142" i="2187" s="1"/>
  <c r="L142" i="2187" s="1"/>
  <c r="M142" i="2187" s="1"/>
  <c r="N142" i="2187" s="1"/>
  <c r="O142" i="2187" s="1"/>
  <c r="P142" i="2187" s="1"/>
  <c r="Q142" i="2187" s="1"/>
  <c r="R142" i="2187" s="1"/>
  <c r="S142" i="2187" s="1"/>
  <c r="T142" i="2187" s="1"/>
  <c r="U142" i="2187" s="1"/>
  <c r="V142" i="2187" s="1"/>
  <c r="W142" i="2187" s="1"/>
  <c r="X142" i="2187" s="1"/>
  <c r="Y142" i="2187" s="1"/>
  <c r="Z142" i="2187" s="1"/>
  <c r="AA142" i="2187" s="1"/>
  <c r="AB142" i="2187" s="1"/>
  <c r="AC142" i="2187" s="1"/>
  <c r="AD142" i="2187" s="1"/>
  <c r="AE142" i="2187" s="1"/>
  <c r="AF142" i="2187" s="1"/>
  <c r="AG142" i="2187" s="1"/>
  <c r="AH142" i="2187" s="1"/>
  <c r="AI142" i="2187" s="1"/>
  <c r="AJ142" i="2187" s="1"/>
  <c r="AK142" i="2187" s="1"/>
  <c r="AL142" i="2187" s="1"/>
  <c r="AM142" i="2187" s="1"/>
  <c r="AN142" i="2187" s="1"/>
  <c r="AO142" i="2187" s="1"/>
  <c r="AP142" i="2187" s="1"/>
  <c r="AQ142" i="2187" s="1"/>
  <c r="AR142" i="2187" s="1"/>
  <c r="E142" i="2190"/>
  <c r="L143" i="2190"/>
  <c r="I143" i="2190"/>
  <c r="H143" i="2190"/>
  <c r="N143" i="2190"/>
  <c r="E143" i="2190"/>
  <c r="G143" i="2190"/>
  <c r="R143" i="2190"/>
  <c r="Q143" i="2190"/>
  <c r="O143" i="2190"/>
  <c r="K143" i="2190"/>
  <c r="S143" i="2190"/>
  <c r="J143" i="2190"/>
  <c r="P143" i="2190"/>
  <c r="F143" i="2190"/>
  <c r="M143" i="2190"/>
  <c r="E142" i="2189"/>
  <c r="M143" i="2189"/>
  <c r="P143" i="2189"/>
  <c r="I143" i="2189"/>
  <c r="Q143" i="2189"/>
  <c r="G143" i="2189"/>
  <c r="H143" i="2189"/>
  <c r="J143" i="2189"/>
  <c r="E143" i="2189"/>
  <c r="R143" i="2189"/>
  <c r="K143" i="2189"/>
  <c r="F143" i="2189"/>
  <c r="N143" i="2189"/>
  <c r="S143" i="2189"/>
  <c r="O143" i="2189"/>
  <c r="L143" i="2189"/>
  <c r="D157" i="2175"/>
  <c r="D157" i="2174"/>
  <c r="F142" i="2177"/>
  <c r="G142" i="2177" s="1"/>
  <c r="H142" i="2177" s="1"/>
  <c r="I142" i="2177" s="1"/>
  <c r="J142" i="2177" s="1"/>
  <c r="K142" i="2177" s="1"/>
  <c r="L142" i="2177" s="1"/>
  <c r="M142" i="2177" s="1"/>
  <c r="N142" i="2177" s="1"/>
  <c r="O142" i="2177" s="1"/>
  <c r="P142" i="2177" s="1"/>
  <c r="Q142" i="2177" s="1"/>
  <c r="R142" i="2177" s="1"/>
  <c r="S142" i="2177" s="1"/>
  <c r="T142" i="2177" s="1"/>
  <c r="U142" i="2177" s="1"/>
  <c r="V142" i="2177" s="1"/>
  <c r="W142" i="2177" s="1"/>
  <c r="X142" i="2177" s="1"/>
  <c r="Y142" i="2177" s="1"/>
  <c r="Z142" i="2177" s="1"/>
  <c r="AA142" i="2177" s="1"/>
  <c r="AB142" i="2177" s="1"/>
  <c r="AC142" i="2177" s="1"/>
  <c r="AD142" i="2177" s="1"/>
  <c r="AE142" i="2177" s="1"/>
  <c r="AF142" i="2177" s="1"/>
  <c r="AG142" i="2177" s="1"/>
  <c r="AH142" i="2177" s="1"/>
  <c r="AI142" i="2177" s="1"/>
  <c r="AJ142" i="2177" s="1"/>
  <c r="AK142" i="2177" s="1"/>
  <c r="AL142" i="2177" s="1"/>
  <c r="AM142" i="2177" s="1"/>
  <c r="AN142" i="2177" s="1"/>
  <c r="AO142" i="2177" s="1"/>
  <c r="AP142" i="2177" s="1"/>
  <c r="AQ142" i="2177" s="1"/>
  <c r="AR142" i="2177" s="1"/>
  <c r="D149" i="2179"/>
  <c r="F142" i="2181"/>
  <c r="G142" i="2181" s="1"/>
  <c r="H142" i="2181" s="1"/>
  <c r="I142" i="2181" s="1"/>
  <c r="J142" i="2181" s="1"/>
  <c r="K142" i="2181" s="1"/>
  <c r="L142" i="2181" s="1"/>
  <c r="M142" i="2181" s="1"/>
  <c r="N142" i="2181" s="1"/>
  <c r="O142" i="2181" s="1"/>
  <c r="P142" i="2181" s="1"/>
  <c r="Q142" i="2181" s="1"/>
  <c r="R142" i="2181" s="1"/>
  <c r="S142" i="2181" s="1"/>
  <c r="T142" i="2181" s="1"/>
  <c r="U142" i="2181" s="1"/>
  <c r="V142" i="2181" s="1"/>
  <c r="W142" i="2181" s="1"/>
  <c r="X142" i="2181" s="1"/>
  <c r="Y142" i="2181" s="1"/>
  <c r="Z142" i="2181" s="1"/>
  <c r="AA142" i="2181" s="1"/>
  <c r="AB142" i="2181" s="1"/>
  <c r="AC142" i="2181" s="1"/>
  <c r="AD142" i="2181" s="1"/>
  <c r="AE142" i="2181" s="1"/>
  <c r="AF142" i="2181" s="1"/>
  <c r="AG142" i="2181" s="1"/>
  <c r="AH142" i="2181" s="1"/>
  <c r="AI142" i="2181" s="1"/>
  <c r="AJ142" i="2181" s="1"/>
  <c r="AK142" i="2181" s="1"/>
  <c r="AL142" i="2181" s="1"/>
  <c r="AM142" i="2181" s="1"/>
  <c r="AN142" i="2181" s="1"/>
  <c r="AO142" i="2181" s="1"/>
  <c r="AP142" i="2181" s="1"/>
  <c r="AQ142" i="2181" s="1"/>
  <c r="AR142" i="2181" s="1"/>
  <c r="D149" i="2181"/>
  <c r="E142" i="2186"/>
  <c r="M143" i="2186"/>
  <c r="K143" i="2186"/>
  <c r="I143" i="2186"/>
  <c r="J143" i="2186"/>
  <c r="Q143" i="2186"/>
  <c r="G143" i="2186"/>
  <c r="O143" i="2186"/>
  <c r="F143" i="2186"/>
  <c r="N143" i="2186"/>
  <c r="L143" i="2186"/>
  <c r="S143" i="2186"/>
  <c r="H143" i="2186"/>
  <c r="E143" i="2186"/>
  <c r="P143" i="2186"/>
  <c r="R143" i="2186"/>
  <c r="F142" i="2178"/>
  <c r="G142" i="2178" s="1"/>
  <c r="H142" i="2178" s="1"/>
  <c r="I142" i="2178" s="1"/>
  <c r="J142" i="2178" s="1"/>
  <c r="K142" i="2178" s="1"/>
  <c r="L142" i="2178" s="1"/>
  <c r="M142" i="2178" s="1"/>
  <c r="N142" i="2178" s="1"/>
  <c r="O142" i="2178" s="1"/>
  <c r="P142" i="2178" s="1"/>
  <c r="Q142" i="2178" s="1"/>
  <c r="R142" i="2178" s="1"/>
  <c r="S142" i="2178" s="1"/>
  <c r="T142" i="2178" s="1"/>
  <c r="U142" i="2178" s="1"/>
  <c r="V142" i="2178" s="1"/>
  <c r="W142" i="2178" s="1"/>
  <c r="X142" i="2178" s="1"/>
  <c r="Y142" i="2178" s="1"/>
  <c r="Z142" i="2178" s="1"/>
  <c r="AA142" i="2178" s="1"/>
  <c r="AB142" i="2178" s="1"/>
  <c r="AC142" i="2178" s="1"/>
  <c r="AD142" i="2178" s="1"/>
  <c r="AE142" i="2178" s="1"/>
  <c r="AF142" i="2178" s="1"/>
  <c r="AG142" i="2178" s="1"/>
  <c r="AH142" i="2178" s="1"/>
  <c r="AI142" i="2178" s="1"/>
  <c r="AJ142" i="2178" s="1"/>
  <c r="AK142" i="2178" s="1"/>
  <c r="AL142" i="2178" s="1"/>
  <c r="AM142" i="2178" s="1"/>
  <c r="AN142" i="2178" s="1"/>
  <c r="AO142" i="2178" s="1"/>
  <c r="AP142" i="2178" s="1"/>
  <c r="AQ142" i="2178" s="1"/>
  <c r="AR142" i="2178" s="1"/>
  <c r="E142" i="2185"/>
  <c r="K143" i="2185"/>
  <c r="H143" i="2185"/>
  <c r="P143" i="2185"/>
  <c r="Q143" i="2185"/>
  <c r="N143" i="2185"/>
  <c r="I143" i="2185"/>
  <c r="S143" i="2185"/>
  <c r="L143" i="2185"/>
  <c r="M143" i="2185"/>
  <c r="O143" i="2185"/>
  <c r="R143" i="2185"/>
  <c r="E143" i="2185"/>
  <c r="J143" i="2185"/>
  <c r="G143" i="2185"/>
  <c r="F143" i="2185"/>
  <c r="F142" i="2179"/>
  <c r="G142" i="2179" s="1"/>
  <c r="H142" i="2179" s="1"/>
  <c r="I142" i="2179" s="1"/>
  <c r="J142" i="2179" s="1"/>
  <c r="K142" i="2179" s="1"/>
  <c r="L142" i="2179" s="1"/>
  <c r="M142" i="2179" s="1"/>
  <c r="N142" i="2179" s="1"/>
  <c r="O142" i="2179" s="1"/>
  <c r="P142" i="2179" s="1"/>
  <c r="Q142" i="2179" s="1"/>
  <c r="R142" i="2179" s="1"/>
  <c r="S142" i="2179" s="1"/>
  <c r="T142" i="2179" s="1"/>
  <c r="U142" i="2179" s="1"/>
  <c r="V142" i="2179" s="1"/>
  <c r="W142" i="2179" s="1"/>
  <c r="X142" i="2179" s="1"/>
  <c r="Y142" i="2179" s="1"/>
  <c r="Z142" i="2179" s="1"/>
  <c r="AA142" i="2179" s="1"/>
  <c r="AB142" i="2179" s="1"/>
  <c r="AC142" i="2179" s="1"/>
  <c r="AD142" i="2179" s="1"/>
  <c r="AE142" i="2179" s="1"/>
  <c r="AF142" i="2179" s="1"/>
  <c r="AG142" i="2179" s="1"/>
  <c r="AH142" i="2179" s="1"/>
  <c r="AI142" i="2179" s="1"/>
  <c r="AJ142" i="2179" s="1"/>
  <c r="AK142" i="2179" s="1"/>
  <c r="AL142" i="2179" s="1"/>
  <c r="AM142" i="2179" s="1"/>
  <c r="AN142" i="2179" s="1"/>
  <c r="AO142" i="2179" s="1"/>
  <c r="AP142" i="2179" s="1"/>
  <c r="AQ142" i="2179" s="1"/>
  <c r="AR142" i="2179" s="1"/>
  <c r="F142" i="2184"/>
  <c r="G142" i="2184" s="1"/>
  <c r="H142" i="2184" s="1"/>
  <c r="I142" i="2184" s="1"/>
  <c r="J142" i="2184" s="1"/>
  <c r="K142" i="2184" s="1"/>
  <c r="L142" i="2184" s="1"/>
  <c r="M142" i="2184" s="1"/>
  <c r="N142" i="2184" s="1"/>
  <c r="O142" i="2184" s="1"/>
  <c r="P142" i="2184" s="1"/>
  <c r="Q142" i="2184" s="1"/>
  <c r="R142" i="2184" s="1"/>
  <c r="S142" i="2184" s="1"/>
  <c r="T142" i="2184" s="1"/>
  <c r="U142" i="2184" s="1"/>
  <c r="V142" i="2184" s="1"/>
  <c r="W142" i="2184" s="1"/>
  <c r="X142" i="2184" s="1"/>
  <c r="Y142" i="2184" s="1"/>
  <c r="Z142" i="2184" s="1"/>
  <c r="AA142" i="2184" s="1"/>
  <c r="AB142" i="2184" s="1"/>
  <c r="AC142" i="2184" s="1"/>
  <c r="AD142" i="2184" s="1"/>
  <c r="AE142" i="2184" s="1"/>
  <c r="AF142" i="2184" s="1"/>
  <c r="AG142" i="2184" s="1"/>
  <c r="AH142" i="2184" s="1"/>
  <c r="AI142" i="2184" s="1"/>
  <c r="AJ142" i="2184" s="1"/>
  <c r="AK142" i="2184" s="1"/>
  <c r="AL142" i="2184" s="1"/>
  <c r="AM142" i="2184" s="1"/>
  <c r="AN142" i="2184" s="1"/>
  <c r="AO142" i="2184" s="1"/>
  <c r="AP142" i="2184" s="1"/>
  <c r="AQ142" i="2184" s="1"/>
  <c r="AR142" i="2184" s="1"/>
  <c r="E142" i="2182"/>
  <c r="F143" i="2182"/>
  <c r="L143" i="2182"/>
  <c r="O143" i="2182"/>
  <c r="E143" i="2182"/>
  <c r="K143" i="2182"/>
  <c r="J143" i="2182"/>
  <c r="G143" i="2182"/>
  <c r="I143" i="2182"/>
  <c r="S143" i="2182"/>
  <c r="Q143" i="2182"/>
  <c r="H143" i="2182"/>
  <c r="M143" i="2182"/>
  <c r="P143" i="2182"/>
  <c r="N143" i="2182"/>
  <c r="R143" i="2182"/>
  <c r="D149" i="2177"/>
  <c r="D149" i="2184"/>
  <c r="E142" i="2180"/>
  <c r="N143" i="2180"/>
  <c r="E143" i="2180"/>
  <c r="S143" i="2180"/>
  <c r="L143" i="2180"/>
  <c r="Q143" i="2180"/>
  <c r="R143" i="2180"/>
  <c r="F143" i="2180"/>
  <c r="O143" i="2180"/>
  <c r="I143" i="2180"/>
  <c r="P143" i="2180"/>
  <c r="M143" i="2180"/>
  <c r="J143" i="2180"/>
  <c r="H143" i="2180"/>
  <c r="G143" i="2180"/>
  <c r="K143" i="2180"/>
  <c r="D149" i="2178"/>
  <c r="E142" i="2176"/>
  <c r="S143" i="2176"/>
  <c r="N143" i="2176"/>
  <c r="K143" i="2176"/>
  <c r="G143" i="2176"/>
  <c r="P143" i="2176"/>
  <c r="F143" i="2176"/>
  <c r="L143" i="2176"/>
  <c r="I143" i="2176"/>
  <c r="R143" i="2176"/>
  <c r="M143" i="2176"/>
  <c r="J143" i="2176"/>
  <c r="O143" i="2176"/>
  <c r="H143" i="2176"/>
  <c r="Q143" i="2176"/>
  <c r="E143" i="2176"/>
  <c r="E142" i="2183"/>
  <c r="H143" i="2183"/>
  <c r="M143" i="2183"/>
  <c r="P143" i="2183"/>
  <c r="E143" i="2183"/>
  <c r="S143" i="2183"/>
  <c r="O143" i="2183"/>
  <c r="G143" i="2183"/>
  <c r="F143" i="2183"/>
  <c r="N143" i="2183"/>
  <c r="Q143" i="2183"/>
  <c r="J143" i="2183"/>
  <c r="I143" i="2183"/>
  <c r="K143" i="2183"/>
  <c r="R143" i="2183"/>
  <c r="L143" i="2183"/>
  <c r="C6" i="6"/>
  <c r="C3" i="6"/>
  <c r="D157" i="2187" l="1"/>
  <c r="F142" i="2188"/>
  <c r="G142" i="2188" s="1"/>
  <c r="H142" i="2188" s="1"/>
  <c r="I142" i="2188" s="1"/>
  <c r="J142" i="2188" s="1"/>
  <c r="K142" i="2188" s="1"/>
  <c r="L142" i="2188" s="1"/>
  <c r="M142" i="2188" s="1"/>
  <c r="N142" i="2188" s="1"/>
  <c r="O142" i="2188" s="1"/>
  <c r="P142" i="2188" s="1"/>
  <c r="Q142" i="2188" s="1"/>
  <c r="R142" i="2188" s="1"/>
  <c r="S142" i="2188" s="1"/>
  <c r="T142" i="2188" s="1"/>
  <c r="U142" i="2188" s="1"/>
  <c r="V142" i="2188" s="1"/>
  <c r="W142" i="2188" s="1"/>
  <c r="X142" i="2188" s="1"/>
  <c r="Y142" i="2188" s="1"/>
  <c r="Z142" i="2188" s="1"/>
  <c r="AA142" i="2188" s="1"/>
  <c r="AB142" i="2188" s="1"/>
  <c r="AC142" i="2188" s="1"/>
  <c r="AD142" i="2188" s="1"/>
  <c r="AE142" i="2188" s="1"/>
  <c r="AF142" i="2188" s="1"/>
  <c r="AG142" i="2188" s="1"/>
  <c r="AH142" i="2188" s="1"/>
  <c r="AI142" i="2188" s="1"/>
  <c r="AJ142" i="2188" s="1"/>
  <c r="AK142" i="2188" s="1"/>
  <c r="AL142" i="2188" s="1"/>
  <c r="AM142" i="2188" s="1"/>
  <c r="AN142" i="2188" s="1"/>
  <c r="AO142" i="2188" s="1"/>
  <c r="AP142" i="2188" s="1"/>
  <c r="AQ142" i="2188" s="1"/>
  <c r="AR142" i="2188" s="1"/>
  <c r="D149" i="2191"/>
  <c r="D149" i="2188"/>
  <c r="D157" i="2192"/>
  <c r="D149" i="2189"/>
  <c r="F142" i="2189"/>
  <c r="G142" i="2189" s="1"/>
  <c r="H142" i="2189" s="1"/>
  <c r="I142" i="2189" s="1"/>
  <c r="J142" i="2189" s="1"/>
  <c r="K142" i="2189" s="1"/>
  <c r="L142" i="2189" s="1"/>
  <c r="M142" i="2189" s="1"/>
  <c r="N142" i="2189" s="1"/>
  <c r="O142" i="2189" s="1"/>
  <c r="P142" i="2189" s="1"/>
  <c r="Q142" i="2189" s="1"/>
  <c r="R142" i="2189" s="1"/>
  <c r="S142" i="2189" s="1"/>
  <c r="T142" i="2189" s="1"/>
  <c r="U142" i="2189" s="1"/>
  <c r="V142" i="2189" s="1"/>
  <c r="W142" i="2189" s="1"/>
  <c r="X142" i="2189" s="1"/>
  <c r="Y142" i="2189" s="1"/>
  <c r="Z142" i="2189" s="1"/>
  <c r="AA142" i="2189" s="1"/>
  <c r="AB142" i="2189" s="1"/>
  <c r="AC142" i="2189" s="1"/>
  <c r="AD142" i="2189" s="1"/>
  <c r="AE142" i="2189" s="1"/>
  <c r="AF142" i="2189" s="1"/>
  <c r="AG142" i="2189" s="1"/>
  <c r="AH142" i="2189" s="1"/>
  <c r="AI142" i="2189" s="1"/>
  <c r="AJ142" i="2189" s="1"/>
  <c r="AK142" i="2189" s="1"/>
  <c r="AL142" i="2189" s="1"/>
  <c r="AM142" i="2189" s="1"/>
  <c r="AN142" i="2189" s="1"/>
  <c r="AO142" i="2189" s="1"/>
  <c r="AP142" i="2189" s="1"/>
  <c r="AQ142" i="2189" s="1"/>
  <c r="AR142" i="2189" s="1"/>
  <c r="F142" i="2190"/>
  <c r="G142" i="2190" s="1"/>
  <c r="H142" i="2190" s="1"/>
  <c r="I142" i="2190" s="1"/>
  <c r="J142" i="2190" s="1"/>
  <c r="K142" i="2190" s="1"/>
  <c r="L142" i="2190" s="1"/>
  <c r="M142" i="2190" s="1"/>
  <c r="N142" i="2190" s="1"/>
  <c r="O142" i="2190" s="1"/>
  <c r="P142" i="2190" s="1"/>
  <c r="Q142" i="2190" s="1"/>
  <c r="R142" i="2190" s="1"/>
  <c r="S142" i="2190" s="1"/>
  <c r="T142" i="2190" s="1"/>
  <c r="U142" i="2190" s="1"/>
  <c r="V142" i="2190" s="1"/>
  <c r="W142" i="2190" s="1"/>
  <c r="X142" i="2190" s="1"/>
  <c r="Y142" i="2190" s="1"/>
  <c r="Z142" i="2190" s="1"/>
  <c r="AA142" i="2190" s="1"/>
  <c r="AB142" i="2190" s="1"/>
  <c r="AC142" i="2190" s="1"/>
  <c r="AD142" i="2190" s="1"/>
  <c r="AE142" i="2190" s="1"/>
  <c r="AF142" i="2190" s="1"/>
  <c r="AG142" i="2190" s="1"/>
  <c r="AH142" i="2190" s="1"/>
  <c r="AI142" i="2190" s="1"/>
  <c r="AJ142" i="2190" s="1"/>
  <c r="AK142" i="2190" s="1"/>
  <c r="AL142" i="2190" s="1"/>
  <c r="AM142" i="2190" s="1"/>
  <c r="AN142" i="2190" s="1"/>
  <c r="AO142" i="2190" s="1"/>
  <c r="AP142" i="2190" s="1"/>
  <c r="AQ142" i="2190" s="1"/>
  <c r="AR142" i="2190" s="1"/>
  <c r="F142" i="2191"/>
  <c r="G142" i="2191" s="1"/>
  <c r="H142" i="2191" s="1"/>
  <c r="I142" i="2191" s="1"/>
  <c r="J142" i="2191" s="1"/>
  <c r="K142" i="2191" s="1"/>
  <c r="L142" i="2191" s="1"/>
  <c r="M142" i="2191" s="1"/>
  <c r="N142" i="2191" s="1"/>
  <c r="O142" i="2191" s="1"/>
  <c r="P142" i="2191" s="1"/>
  <c r="Q142" i="2191" s="1"/>
  <c r="R142" i="2191" s="1"/>
  <c r="S142" i="2191" s="1"/>
  <c r="T142" i="2191" s="1"/>
  <c r="U142" i="2191" s="1"/>
  <c r="V142" i="2191" s="1"/>
  <c r="W142" i="2191" s="1"/>
  <c r="X142" i="2191" s="1"/>
  <c r="Y142" i="2191" s="1"/>
  <c r="Z142" i="2191" s="1"/>
  <c r="AA142" i="2191" s="1"/>
  <c r="AB142" i="2191" s="1"/>
  <c r="AC142" i="2191" s="1"/>
  <c r="AD142" i="2191" s="1"/>
  <c r="AE142" i="2191" s="1"/>
  <c r="AF142" i="2191" s="1"/>
  <c r="AG142" i="2191" s="1"/>
  <c r="AH142" i="2191" s="1"/>
  <c r="AI142" i="2191" s="1"/>
  <c r="AJ142" i="2191" s="1"/>
  <c r="AK142" i="2191" s="1"/>
  <c r="AL142" i="2191" s="1"/>
  <c r="AM142" i="2191" s="1"/>
  <c r="AN142" i="2191" s="1"/>
  <c r="AO142" i="2191" s="1"/>
  <c r="AP142" i="2191" s="1"/>
  <c r="AQ142" i="2191" s="1"/>
  <c r="AR142" i="2191" s="1"/>
  <c r="D149" i="2190"/>
  <c r="D157" i="2181"/>
  <c r="D157" i="2177"/>
  <c r="D157" i="2179"/>
  <c r="D149" i="2185"/>
  <c r="F142" i="2186"/>
  <c r="G142" i="2186" s="1"/>
  <c r="H142" i="2186" s="1"/>
  <c r="I142" i="2186" s="1"/>
  <c r="J142" i="2186" s="1"/>
  <c r="K142" i="2186" s="1"/>
  <c r="L142" i="2186" s="1"/>
  <c r="M142" i="2186" s="1"/>
  <c r="N142" i="2186" s="1"/>
  <c r="O142" i="2186" s="1"/>
  <c r="P142" i="2186" s="1"/>
  <c r="Q142" i="2186" s="1"/>
  <c r="R142" i="2186" s="1"/>
  <c r="S142" i="2186" s="1"/>
  <c r="T142" i="2186" s="1"/>
  <c r="U142" i="2186" s="1"/>
  <c r="V142" i="2186" s="1"/>
  <c r="W142" i="2186" s="1"/>
  <c r="X142" i="2186" s="1"/>
  <c r="Y142" i="2186" s="1"/>
  <c r="Z142" i="2186" s="1"/>
  <c r="AA142" i="2186" s="1"/>
  <c r="AB142" i="2186" s="1"/>
  <c r="AC142" i="2186" s="1"/>
  <c r="AD142" i="2186" s="1"/>
  <c r="AE142" i="2186" s="1"/>
  <c r="AF142" i="2186" s="1"/>
  <c r="AG142" i="2186" s="1"/>
  <c r="AH142" i="2186" s="1"/>
  <c r="AI142" i="2186" s="1"/>
  <c r="AJ142" i="2186" s="1"/>
  <c r="AK142" i="2186" s="1"/>
  <c r="AL142" i="2186" s="1"/>
  <c r="AM142" i="2186" s="1"/>
  <c r="AN142" i="2186" s="1"/>
  <c r="AO142" i="2186" s="1"/>
  <c r="AP142" i="2186" s="1"/>
  <c r="AQ142" i="2186" s="1"/>
  <c r="AR142" i="2186" s="1"/>
  <c r="F142" i="2183"/>
  <c r="G142" i="2183" s="1"/>
  <c r="H142" i="2183" s="1"/>
  <c r="I142" i="2183" s="1"/>
  <c r="J142" i="2183" s="1"/>
  <c r="K142" i="2183" s="1"/>
  <c r="L142" i="2183" s="1"/>
  <c r="M142" i="2183" s="1"/>
  <c r="N142" i="2183" s="1"/>
  <c r="O142" i="2183" s="1"/>
  <c r="P142" i="2183" s="1"/>
  <c r="Q142" i="2183" s="1"/>
  <c r="R142" i="2183" s="1"/>
  <c r="S142" i="2183" s="1"/>
  <c r="T142" i="2183" s="1"/>
  <c r="U142" i="2183" s="1"/>
  <c r="V142" i="2183" s="1"/>
  <c r="W142" i="2183" s="1"/>
  <c r="X142" i="2183" s="1"/>
  <c r="Y142" i="2183" s="1"/>
  <c r="Z142" i="2183" s="1"/>
  <c r="AA142" i="2183" s="1"/>
  <c r="AB142" i="2183" s="1"/>
  <c r="AC142" i="2183" s="1"/>
  <c r="AD142" i="2183" s="1"/>
  <c r="AE142" i="2183" s="1"/>
  <c r="AF142" i="2183" s="1"/>
  <c r="AG142" i="2183" s="1"/>
  <c r="AH142" i="2183" s="1"/>
  <c r="AI142" i="2183" s="1"/>
  <c r="AJ142" i="2183" s="1"/>
  <c r="AK142" i="2183" s="1"/>
  <c r="AL142" i="2183" s="1"/>
  <c r="AM142" i="2183" s="1"/>
  <c r="AN142" i="2183" s="1"/>
  <c r="AO142" i="2183" s="1"/>
  <c r="AP142" i="2183" s="1"/>
  <c r="AQ142" i="2183" s="1"/>
  <c r="AR142" i="2183" s="1"/>
  <c r="D157" i="2184"/>
  <c r="F142" i="2182"/>
  <c r="G142" i="2182" s="1"/>
  <c r="H142" i="2182" s="1"/>
  <c r="I142" i="2182" s="1"/>
  <c r="J142" i="2182" s="1"/>
  <c r="K142" i="2182" s="1"/>
  <c r="L142" i="2182" s="1"/>
  <c r="M142" i="2182" s="1"/>
  <c r="N142" i="2182" s="1"/>
  <c r="O142" i="2182" s="1"/>
  <c r="P142" i="2182" s="1"/>
  <c r="Q142" i="2182" s="1"/>
  <c r="R142" i="2182" s="1"/>
  <c r="S142" i="2182" s="1"/>
  <c r="T142" i="2182" s="1"/>
  <c r="U142" i="2182" s="1"/>
  <c r="V142" i="2182" s="1"/>
  <c r="W142" i="2182" s="1"/>
  <c r="X142" i="2182" s="1"/>
  <c r="Y142" i="2182" s="1"/>
  <c r="Z142" i="2182" s="1"/>
  <c r="AA142" i="2182" s="1"/>
  <c r="AB142" i="2182" s="1"/>
  <c r="AC142" i="2182" s="1"/>
  <c r="AD142" i="2182" s="1"/>
  <c r="AE142" i="2182" s="1"/>
  <c r="AF142" i="2182" s="1"/>
  <c r="AG142" i="2182" s="1"/>
  <c r="AH142" i="2182" s="1"/>
  <c r="AI142" i="2182" s="1"/>
  <c r="AJ142" i="2182" s="1"/>
  <c r="AK142" i="2182" s="1"/>
  <c r="AL142" i="2182" s="1"/>
  <c r="AM142" i="2182" s="1"/>
  <c r="AN142" i="2182" s="1"/>
  <c r="AO142" i="2182" s="1"/>
  <c r="AP142" i="2182" s="1"/>
  <c r="AQ142" i="2182" s="1"/>
  <c r="AR142" i="2182" s="1"/>
  <c r="F142" i="2176"/>
  <c r="G142" i="2176" s="1"/>
  <c r="H142" i="2176" s="1"/>
  <c r="I142" i="2176" s="1"/>
  <c r="J142" i="2176" s="1"/>
  <c r="K142" i="2176" s="1"/>
  <c r="L142" i="2176" s="1"/>
  <c r="M142" i="2176" s="1"/>
  <c r="N142" i="2176" s="1"/>
  <c r="O142" i="2176" s="1"/>
  <c r="P142" i="2176" s="1"/>
  <c r="Q142" i="2176" s="1"/>
  <c r="R142" i="2176" s="1"/>
  <c r="S142" i="2176" s="1"/>
  <c r="T142" i="2176" s="1"/>
  <c r="U142" i="2176" s="1"/>
  <c r="V142" i="2176" s="1"/>
  <c r="W142" i="2176" s="1"/>
  <c r="X142" i="2176" s="1"/>
  <c r="Y142" i="2176" s="1"/>
  <c r="Z142" i="2176" s="1"/>
  <c r="AA142" i="2176" s="1"/>
  <c r="AB142" i="2176" s="1"/>
  <c r="AC142" i="2176" s="1"/>
  <c r="AD142" i="2176" s="1"/>
  <c r="AE142" i="2176" s="1"/>
  <c r="AF142" i="2176" s="1"/>
  <c r="AG142" i="2176" s="1"/>
  <c r="AH142" i="2176" s="1"/>
  <c r="AI142" i="2176" s="1"/>
  <c r="AJ142" i="2176" s="1"/>
  <c r="AK142" i="2176" s="1"/>
  <c r="AL142" i="2176" s="1"/>
  <c r="AM142" i="2176" s="1"/>
  <c r="AN142" i="2176" s="1"/>
  <c r="AO142" i="2176" s="1"/>
  <c r="AP142" i="2176" s="1"/>
  <c r="AQ142" i="2176" s="1"/>
  <c r="AR142" i="2176" s="1"/>
  <c r="D149" i="2180"/>
  <c r="D149" i="2186"/>
  <c r="D149" i="2182"/>
  <c r="F142" i="2180"/>
  <c r="G142" i="2180" s="1"/>
  <c r="H142" i="2180" s="1"/>
  <c r="I142" i="2180" s="1"/>
  <c r="J142" i="2180" s="1"/>
  <c r="K142" i="2180" s="1"/>
  <c r="L142" i="2180" s="1"/>
  <c r="M142" i="2180" s="1"/>
  <c r="N142" i="2180" s="1"/>
  <c r="O142" i="2180" s="1"/>
  <c r="P142" i="2180" s="1"/>
  <c r="Q142" i="2180" s="1"/>
  <c r="R142" i="2180" s="1"/>
  <c r="S142" i="2180" s="1"/>
  <c r="T142" i="2180" s="1"/>
  <c r="U142" i="2180" s="1"/>
  <c r="V142" i="2180" s="1"/>
  <c r="W142" i="2180" s="1"/>
  <c r="X142" i="2180" s="1"/>
  <c r="Y142" i="2180" s="1"/>
  <c r="Z142" i="2180" s="1"/>
  <c r="AA142" i="2180" s="1"/>
  <c r="AB142" i="2180" s="1"/>
  <c r="AC142" i="2180" s="1"/>
  <c r="AD142" i="2180" s="1"/>
  <c r="AE142" i="2180" s="1"/>
  <c r="AF142" i="2180" s="1"/>
  <c r="AG142" i="2180" s="1"/>
  <c r="AH142" i="2180" s="1"/>
  <c r="AI142" i="2180" s="1"/>
  <c r="AJ142" i="2180" s="1"/>
  <c r="AK142" i="2180" s="1"/>
  <c r="AL142" i="2180" s="1"/>
  <c r="AM142" i="2180" s="1"/>
  <c r="AN142" i="2180" s="1"/>
  <c r="AO142" i="2180" s="1"/>
  <c r="AP142" i="2180" s="1"/>
  <c r="AQ142" i="2180" s="1"/>
  <c r="AR142" i="2180" s="1"/>
  <c r="F142" i="2185"/>
  <c r="G142" i="2185" s="1"/>
  <c r="H142" i="2185" s="1"/>
  <c r="I142" i="2185" s="1"/>
  <c r="J142" i="2185" s="1"/>
  <c r="K142" i="2185" s="1"/>
  <c r="L142" i="2185" s="1"/>
  <c r="M142" i="2185" s="1"/>
  <c r="N142" i="2185" s="1"/>
  <c r="O142" i="2185" s="1"/>
  <c r="P142" i="2185" s="1"/>
  <c r="Q142" i="2185" s="1"/>
  <c r="R142" i="2185" s="1"/>
  <c r="S142" i="2185" s="1"/>
  <c r="T142" i="2185" s="1"/>
  <c r="U142" i="2185" s="1"/>
  <c r="V142" i="2185" s="1"/>
  <c r="W142" i="2185" s="1"/>
  <c r="X142" i="2185" s="1"/>
  <c r="Y142" i="2185" s="1"/>
  <c r="Z142" i="2185" s="1"/>
  <c r="AA142" i="2185" s="1"/>
  <c r="AB142" i="2185" s="1"/>
  <c r="AC142" i="2185" s="1"/>
  <c r="AD142" i="2185" s="1"/>
  <c r="AE142" i="2185" s="1"/>
  <c r="AF142" i="2185" s="1"/>
  <c r="AG142" i="2185" s="1"/>
  <c r="AH142" i="2185" s="1"/>
  <c r="AI142" i="2185" s="1"/>
  <c r="AJ142" i="2185" s="1"/>
  <c r="AK142" i="2185" s="1"/>
  <c r="AL142" i="2185" s="1"/>
  <c r="AM142" i="2185" s="1"/>
  <c r="AN142" i="2185" s="1"/>
  <c r="AO142" i="2185" s="1"/>
  <c r="AP142" i="2185" s="1"/>
  <c r="AQ142" i="2185" s="1"/>
  <c r="AR142" i="2185" s="1"/>
  <c r="D149" i="2183"/>
  <c r="D149" i="2176"/>
  <c r="D157" i="2178"/>
  <c r="D157" i="2188" l="1"/>
  <c r="D157" i="2180"/>
  <c r="D157" i="2190"/>
  <c r="D157" i="2189"/>
  <c r="D157" i="2191"/>
  <c r="D157" i="2176"/>
  <c r="D157" i="2183"/>
  <c r="D157" i="2186"/>
  <c r="D157" i="2182"/>
  <c r="D157" i="2185"/>
  <c r="V14" i="65"/>
  <c r="P18" i="65"/>
  <c r="Q13" i="65"/>
  <c r="C16" i="65"/>
  <c r="V16" i="65"/>
  <c r="D16" i="65"/>
  <c r="Q15" i="65"/>
  <c r="Q16" i="65"/>
  <c r="G19" i="65"/>
  <c r="Q14" i="65"/>
  <c r="T18" i="65"/>
  <c r="R19" i="65"/>
  <c r="W17" i="65"/>
  <c r="Q18" i="65"/>
  <c r="U17" i="65"/>
  <c r="U16" i="65"/>
  <c r="X18" i="65"/>
  <c r="U13" i="65"/>
  <c r="R16" i="65"/>
  <c r="X14" i="65"/>
  <c r="D19" i="65"/>
  <c r="X17" i="65"/>
  <c r="X13" i="65"/>
  <c r="G13" i="65"/>
  <c r="P19" i="65"/>
  <c r="R15" i="65"/>
  <c r="T14" i="65"/>
  <c r="D13" i="65"/>
  <c r="V13" i="65"/>
  <c r="G14" i="65"/>
  <c r="X15" i="65"/>
  <c r="W16" i="65"/>
  <c r="T16" i="65"/>
  <c r="Q17" i="65"/>
  <c r="G16" i="65"/>
  <c r="G15" i="65"/>
  <c r="U19" i="65"/>
  <c r="D15" i="65"/>
  <c r="G17" i="65"/>
  <c r="C15" i="65"/>
  <c r="T19" i="65"/>
  <c r="V17" i="65"/>
  <c r="X19" i="65"/>
  <c r="R14" i="65"/>
  <c r="R17" i="65"/>
  <c r="U14" i="65"/>
  <c r="W13" i="65"/>
  <c r="U18" i="65"/>
  <c r="V15" i="65"/>
  <c r="C13" i="65"/>
  <c r="W15" i="65"/>
  <c r="Q19" i="65"/>
  <c r="D14" i="65"/>
  <c r="D17" i="65"/>
  <c r="D18" i="65"/>
  <c r="X16" i="65"/>
  <c r="G18" i="65"/>
  <c r="C14" i="65"/>
  <c r="U15" i="65"/>
  <c r="T15" i="65"/>
  <c r="R18" i="65"/>
  <c r="T13" i="65"/>
  <c r="R13" i="65"/>
  <c r="T17" i="65"/>
  <c r="W14" i="65"/>
  <c r="L5" i="149" l="1"/>
  <c r="L4" i="149"/>
  <c r="J7" i="149"/>
  <c r="J6" i="149"/>
  <c r="C165" i="2174"/>
  <c r="J5" i="149"/>
  <c r="J4" i="149"/>
  <c r="C163" i="2186"/>
  <c r="I18" i="65"/>
  <c r="I19" i="65"/>
  <c r="W18" i="65"/>
  <c r="M27" i="65"/>
  <c r="V19" i="65"/>
  <c r="Y27" i="65"/>
  <c r="J27" i="65"/>
  <c r="I13" i="65"/>
  <c r="V18" i="65"/>
  <c r="W19" i="65"/>
  <c r="I17" i="65"/>
  <c r="I14" i="65"/>
  <c r="L27" i="65"/>
  <c r="I15" i="65"/>
  <c r="I16" i="65"/>
  <c r="C7" i="2192" l="1"/>
  <c r="C7" i="2189"/>
  <c r="C7" i="2184"/>
  <c r="C6" i="2184" s="1"/>
  <c r="C7" i="2180"/>
  <c r="C7" i="2191"/>
  <c r="C7" i="2188"/>
  <c r="C7" i="2183"/>
  <c r="C7" i="2181"/>
  <c r="C6" i="2181" s="1"/>
  <c r="C7" i="2187"/>
  <c r="C7" i="2190"/>
  <c r="C7" i="2185"/>
  <c r="C6" i="2185" s="1"/>
  <c r="C7" i="2182"/>
  <c r="C7" i="2179"/>
  <c r="F5" i="149"/>
  <c r="D5" i="149"/>
  <c r="C164" i="2177" s="1"/>
  <c r="C170" i="2177"/>
  <c r="C169" i="2177" s="1"/>
  <c r="C170" i="2174"/>
  <c r="C169" i="2174" s="1"/>
  <c r="C170" i="2178"/>
  <c r="C169" i="2178" s="1"/>
  <c r="C170" i="2175"/>
  <c r="C169" i="2175" s="1"/>
  <c r="C170" i="2176"/>
  <c r="C169" i="2176" s="1"/>
  <c r="F4" i="149"/>
  <c r="D4" i="149"/>
  <c r="C163" i="2179" s="1"/>
  <c r="C169" i="2187"/>
  <c r="C169" i="2192"/>
  <c r="C169" i="2191"/>
  <c r="C169" i="2190"/>
  <c r="C169" i="2189"/>
  <c r="C169" i="2188"/>
  <c r="C169" i="2185"/>
  <c r="C169" i="2184"/>
  <c r="C169" i="2183"/>
  <c r="C169" i="2182"/>
  <c r="C169" i="2181"/>
  <c r="C169" i="2180"/>
  <c r="C169" i="2179"/>
  <c r="C21" i="2174"/>
  <c r="C163" i="2187"/>
  <c r="K27" i="65"/>
  <c r="E27" i="65"/>
  <c r="F27" i="65" s="1"/>
  <c r="C21" i="2176"/>
  <c r="C21" i="2178"/>
  <c r="C21" i="2175"/>
  <c r="C21" i="2177"/>
  <c r="C6" i="2186"/>
  <c r="C6" i="2183"/>
  <c r="C20" i="2177"/>
  <c r="C7" i="2177" s="1"/>
  <c r="C20" i="2174"/>
  <c r="C20" i="2176"/>
  <c r="C20" i="2178"/>
  <c r="C20" i="2175"/>
  <c r="C163" i="2192"/>
  <c r="C163" i="2183"/>
  <c r="C164" i="2178"/>
  <c r="C164" i="2176"/>
  <c r="C165" i="2175"/>
  <c r="C165" i="2178"/>
  <c r="C165" i="2177"/>
  <c r="C165" i="2176"/>
  <c r="O17" i="65"/>
  <c r="O7" i="65"/>
  <c r="L25" i="65"/>
  <c r="L22" i="65"/>
  <c r="L19" i="65"/>
  <c r="W10" i="65"/>
  <c r="J14" i="65"/>
  <c r="J25" i="65"/>
  <c r="O24" i="65"/>
  <c r="O14" i="65"/>
  <c r="Y25" i="65"/>
  <c r="V11" i="65"/>
  <c r="J19" i="65"/>
  <c r="J23" i="65"/>
  <c r="M13" i="65"/>
  <c r="M21" i="65"/>
  <c r="O19" i="65"/>
  <c r="O9" i="65"/>
  <c r="J16" i="65"/>
  <c r="J24" i="65"/>
  <c r="W11" i="65"/>
  <c r="L23" i="65"/>
  <c r="O20" i="65"/>
  <c r="O10" i="65"/>
  <c r="W7" i="65"/>
  <c r="W9" i="65"/>
  <c r="V10" i="65"/>
  <c r="W8" i="65"/>
  <c r="X7" i="65"/>
  <c r="L17" i="65"/>
  <c r="J20" i="65"/>
  <c r="O18" i="65"/>
  <c r="O8" i="65"/>
  <c r="J13" i="65"/>
  <c r="M24" i="65"/>
  <c r="V8" i="65"/>
  <c r="L24" i="65"/>
  <c r="L15" i="65"/>
  <c r="O22" i="65"/>
  <c r="O13" i="65"/>
  <c r="Y21" i="65"/>
  <c r="L13" i="65"/>
  <c r="J21" i="65"/>
  <c r="M17" i="65"/>
  <c r="O23" i="65"/>
  <c r="O15" i="65"/>
  <c r="Y17" i="65"/>
  <c r="L14" i="65"/>
  <c r="J17" i="65"/>
  <c r="V9" i="65"/>
  <c r="L16" i="65"/>
  <c r="J18" i="65"/>
  <c r="V7" i="65"/>
  <c r="O21" i="65"/>
  <c r="O11" i="65"/>
  <c r="Y24" i="65"/>
  <c r="L20" i="65"/>
  <c r="M25" i="65"/>
  <c r="L7" i="65"/>
  <c r="L18" i="65"/>
  <c r="O25" i="65"/>
  <c r="O16" i="65"/>
  <c r="Y13" i="65"/>
  <c r="J22" i="65"/>
  <c r="J15" i="65"/>
  <c r="L21" i="65"/>
  <c r="C163" i="2178" l="1"/>
  <c r="C164" i="2174"/>
  <c r="C164" i="2175"/>
  <c r="C163" i="2175" s="1"/>
  <c r="C7" i="2176"/>
  <c r="H27" i="65"/>
  <c r="C7" i="2175"/>
  <c r="C7" i="2174"/>
  <c r="C7" i="2178"/>
  <c r="C163" i="2181"/>
  <c r="C163" i="2185"/>
  <c r="C163" i="2184"/>
  <c r="C163" i="2180"/>
  <c r="C163" i="2182"/>
  <c r="C163" i="2188"/>
  <c r="C163" i="2176"/>
  <c r="K8" i="65"/>
  <c r="K7" i="65"/>
  <c r="K24" i="65"/>
  <c r="E24" i="65"/>
  <c r="F24" i="65" s="1"/>
  <c r="K11" i="65"/>
  <c r="K10" i="65"/>
  <c r="K25" i="65"/>
  <c r="E25" i="65"/>
  <c r="F25" i="65" s="1"/>
  <c r="K22" i="65"/>
  <c r="E22" i="65"/>
  <c r="F22" i="65" s="1"/>
  <c r="E14" i="65"/>
  <c r="F14" i="65" s="1"/>
  <c r="K14" i="65"/>
  <c r="K9" i="65"/>
  <c r="K13" i="65"/>
  <c r="E13" i="65"/>
  <c r="F13" i="65" s="1"/>
  <c r="K20" i="65"/>
  <c r="E20" i="65"/>
  <c r="F20" i="65" s="1"/>
  <c r="K23" i="65"/>
  <c r="E23" i="65"/>
  <c r="F23" i="65" s="1"/>
  <c r="K16" i="65"/>
  <c r="E16" i="65"/>
  <c r="F16" i="65" s="1"/>
  <c r="K21" i="65"/>
  <c r="E21" i="65"/>
  <c r="F21" i="65" s="1"/>
  <c r="C163" i="2177"/>
  <c r="C6" i="2192"/>
  <c r="C6" i="2187"/>
  <c r="C6" i="2190"/>
  <c r="C6" i="2180"/>
  <c r="C6" i="2179"/>
  <c r="C6" i="2188"/>
  <c r="C6" i="2191"/>
  <c r="C6" i="2182"/>
  <c r="C6" i="2189"/>
  <c r="E17" i="65"/>
  <c r="F17" i="65" s="1"/>
  <c r="K17" i="65"/>
  <c r="K15" i="65"/>
  <c r="E15" i="65"/>
  <c r="F15" i="65" s="1"/>
  <c r="K19" i="65"/>
  <c r="K18" i="65"/>
  <c r="E18" i="65"/>
  <c r="F18" i="65" s="1"/>
  <c r="E19" i="65"/>
  <c r="F19" i="65" s="1"/>
  <c r="Y19" i="65"/>
  <c r="Y14" i="65"/>
  <c r="M9" i="65"/>
  <c r="J7" i="65"/>
  <c r="Y20" i="65"/>
  <c r="J11" i="65"/>
  <c r="Y7" i="65"/>
  <c r="M8" i="65"/>
  <c r="M7" i="65"/>
  <c r="L10" i="65"/>
  <c r="Y15" i="65"/>
  <c r="J10" i="65"/>
  <c r="Y22" i="65"/>
  <c r="L8" i="65"/>
  <c r="L9" i="65"/>
  <c r="M20" i="65"/>
  <c r="M19" i="65"/>
  <c r="Y16" i="65"/>
  <c r="M16" i="65"/>
  <c r="Y23" i="65"/>
  <c r="M11" i="65"/>
  <c r="L11" i="65"/>
  <c r="Y11" i="65"/>
  <c r="Y9" i="65"/>
  <c r="J8" i="65"/>
  <c r="M15" i="65"/>
  <c r="M10" i="65"/>
  <c r="M14" i="65"/>
  <c r="M22" i="65"/>
  <c r="Y10" i="65"/>
  <c r="Y8" i="65"/>
  <c r="M23" i="65"/>
  <c r="Y18" i="65"/>
  <c r="J9" i="65"/>
  <c r="M18" i="65"/>
  <c r="H21" i="65" l="1"/>
  <c r="H15" i="65"/>
  <c r="H17" i="65"/>
  <c r="H16" i="65"/>
  <c r="H13" i="65"/>
  <c r="H20" i="65"/>
  <c r="H14" i="65"/>
  <c r="H25" i="65"/>
  <c r="H23" i="65"/>
  <c r="H22" i="65"/>
  <c r="H24" i="65"/>
  <c r="E7" i="65"/>
  <c r="F7" i="65" s="1"/>
  <c r="E11" i="65"/>
  <c r="F11" i="65" s="1"/>
  <c r="E10" i="65"/>
  <c r="F10" i="65" s="1"/>
  <c r="E9" i="65"/>
  <c r="F9" i="65" s="1"/>
  <c r="E8" i="65"/>
  <c r="F8" i="65" s="1"/>
  <c r="C6" i="2174"/>
  <c r="C6" i="2178"/>
  <c r="C6" i="2177"/>
  <c r="C6" i="2176"/>
  <c r="C6" i="2175"/>
  <c r="H19" i="65"/>
  <c r="H18" i="65"/>
  <c r="B13" i="65"/>
  <c r="B17" i="65"/>
  <c r="C19" i="65"/>
  <c r="B16" i="65"/>
  <c r="B15" i="65"/>
  <c r="B14" i="65"/>
  <c r="C18" i="65"/>
  <c r="B18" i="65"/>
  <c r="B19" i="65"/>
  <c r="C17" i="65"/>
  <c r="H11" i="65" l="1"/>
  <c r="H9" i="65"/>
  <c r="H8" i="65"/>
  <c r="H7" i="65"/>
  <c r="H10" i="65"/>
</calcChain>
</file>

<file path=xl/sharedStrings.xml><?xml version="1.0" encoding="utf-8"?>
<sst xmlns="http://schemas.openxmlformats.org/spreadsheetml/2006/main" count="4830" uniqueCount="419">
  <si>
    <t>Berekening basisbedragen</t>
  </si>
  <si>
    <t>Auteur</t>
  </si>
  <si>
    <t>OT-model Sander Lensink, Mike Muller en Chris Henriquez</t>
  </si>
  <si>
    <t>Datum</t>
  </si>
  <si>
    <t>Versie</t>
  </si>
  <si>
    <t>Verantwoording</t>
  </si>
  <si>
    <t>Contactinformatie voor deze rekensheet: sde@pbl.nl.</t>
  </si>
  <si>
    <t>Vooraf in te vullen!</t>
  </si>
  <si>
    <t>Jaar</t>
  </si>
  <si>
    <t>SDE++ of SCE</t>
  </si>
  <si>
    <t>SCE</t>
  </si>
  <si>
    <t>Decimalen</t>
  </si>
  <si>
    <t>Kleurcodering bij gebruik OT-model:</t>
  </si>
  <si>
    <t>Wit: Niets invullen</t>
  </si>
  <si>
    <t>Groen: Waarde door gebruiker in te vullen</t>
  </si>
  <si>
    <t>Lichtoranje: Cellen om te gebruiken om inkomsten toe te voegen (optioneel)</t>
  </si>
  <si>
    <t>Lijsten:</t>
  </si>
  <si>
    <t>Productie eenheid</t>
  </si>
  <si>
    <t>kWh</t>
  </si>
  <si>
    <t>t CO2</t>
  </si>
  <si>
    <t>Vermogenseenheid</t>
  </si>
  <si>
    <t>kW</t>
  </si>
  <si>
    <t>t CO2/uur</t>
  </si>
  <si>
    <t>Domeinen</t>
  </si>
  <si>
    <t>CCS/CCU</t>
  </si>
  <si>
    <t>Elektriciteit</t>
  </si>
  <si>
    <t>Moleculen</t>
  </si>
  <si>
    <t>n.v.t.</t>
  </si>
  <si>
    <t>Sheet</t>
  </si>
  <si>
    <t>Categorie</t>
  </si>
  <si>
    <t>Productietype</t>
  </si>
  <si>
    <t>Domein</t>
  </si>
  <si>
    <t>Subsidie-intensiteit</t>
  </si>
  <si>
    <t>Subsidie-intensiteit afgetopt</t>
  </si>
  <si>
    <t>Basisbedrag</t>
  </si>
  <si>
    <t>Basisbedrag afgetopt</t>
  </si>
  <si>
    <t>Berekeningswijze correctiebedrag</t>
  </si>
  <si>
    <t>Langetermijnprijs gewogen</t>
  </si>
  <si>
    <t>Langetermijnprijs</t>
  </si>
  <si>
    <t>Bodemprijs of basisprijs</t>
  </si>
  <si>
    <t>Berekende voorlopig correctiebedrag</t>
  </si>
  <si>
    <t>Voorlopige GvO-waarde</t>
  </si>
  <si>
    <t>Voorlopige waarde ETS-correctie (nevenbaten indien van toepassing op project)</t>
  </si>
  <si>
    <t xml:space="preserve">Emissiefactor  </t>
  </si>
  <si>
    <t>Vollasturen</t>
  </si>
  <si>
    <t>Warmte-kracht-verhouding</t>
  </si>
  <si>
    <t>Specifieke parameters voor opties die net en niet-netlevering hebben-&gt;</t>
  </si>
  <si>
    <t>Berekeningswijze correctiebedrag netlevering</t>
  </si>
  <si>
    <t>Berekeningswijze correctiebedrag niet-netlevering</t>
  </si>
  <si>
    <t>Langetermijnprijs netlevering</t>
  </si>
  <si>
    <t>Langetermijnprijs niet-netlevering</t>
  </si>
  <si>
    <t>Verrekeningsfactor bespaarde emissies</t>
  </si>
  <si>
    <t>[eenheid]</t>
  </si>
  <si>
    <r>
      <t xml:space="preserve"> [€/tCO</t>
    </r>
    <r>
      <rPr>
        <vertAlign val="subscript"/>
        <sz val="10"/>
        <color theme="0"/>
        <rFont val="Verdana"/>
        <family val="2"/>
      </rPr>
      <t>2</t>
    </r>
    <r>
      <rPr>
        <sz val="10"/>
        <color theme="0"/>
        <rFont val="Verdana"/>
        <family val="2"/>
      </rPr>
      <t>]</t>
    </r>
  </si>
  <si>
    <t>[€/eenheid]</t>
  </si>
  <si>
    <t>[Methode-ID]</t>
  </si>
  <si>
    <r>
      <t>[kg CO</t>
    </r>
    <r>
      <rPr>
        <vertAlign val="subscript"/>
        <sz val="10"/>
        <color theme="0"/>
        <rFont val="Verdana"/>
        <family val="2"/>
      </rPr>
      <t>2</t>
    </r>
    <r>
      <rPr>
        <sz val="10"/>
        <color theme="0"/>
        <rFont val="Verdana"/>
        <family val="2"/>
      </rPr>
      <t>/eenheid]</t>
    </r>
  </si>
  <si>
    <t>[uur/jaar]</t>
  </si>
  <si>
    <t>[W/K]</t>
  </si>
  <si>
    <t>A=(B-C)/D*1000</t>
  </si>
  <si>
    <t>B</t>
  </si>
  <si>
    <t>C</t>
  </si>
  <si>
    <t>D</t>
  </si>
  <si>
    <t>Subsidieregeling Coöperatieve Energieopwekking</t>
  </si>
  <si>
    <t>Zonne-energie</t>
  </si>
  <si>
    <t>Windenergie</t>
  </si>
  <si>
    <t>Energie uit water</t>
  </si>
  <si>
    <t>Methode-ID</t>
  </si>
  <si>
    <t>Omschrijving</t>
  </si>
  <si>
    <t>Basis- of bodemprijs</t>
  </si>
  <si>
    <t>Waarde</t>
  </si>
  <si>
    <t>Formule</t>
  </si>
  <si>
    <t>2/3 x LT_e</t>
  </si>
  <si>
    <t>LT_e</t>
  </si>
  <si>
    <t>Elektriciteit-WOL</t>
  </si>
  <si>
    <t>2/3 x LT_e x LT_PIF_WOL</t>
  </si>
  <si>
    <t>LT_e x LT_PIF_WOL</t>
  </si>
  <si>
    <t>GVO_e</t>
  </si>
  <si>
    <t>Elektriciteit-ZonPV-netlevering</t>
  </si>
  <si>
    <t>2/3 x LT_e x LT_PIF_PV</t>
  </si>
  <si>
    <t>LT_e x LT_PIF_PV</t>
  </si>
  <si>
    <t>Elektricteit-ZonPV-niet-netlevering, klein</t>
  </si>
  <si>
    <t>2/3 x LT_e x LT_PIF_PV + EB3_e + ODE3_e + transporttarief</t>
  </si>
  <si>
    <t>LT_e x LT_PIF_PV + EB3_e + ODE3_e + transporttarief</t>
  </si>
  <si>
    <t>Elektricteit-ZonPV-niet-netlevering, groot</t>
  </si>
  <si>
    <t>2/3 x LT_e x LT_PIF_PV + EB3_e + ODE3_e</t>
  </si>
  <si>
    <t>LT_e x LT_PIF_PV + EB3_e + ODE3_e</t>
  </si>
  <si>
    <t>EUA-prijs</t>
  </si>
  <si>
    <t>HBE</t>
  </si>
  <si>
    <t>Code</t>
  </si>
  <si>
    <t>Eenheid</t>
  </si>
  <si>
    <t>Berekeningswijze (alle gemiddelden zijn ongewogen)</t>
  </si>
  <si>
    <t>€/kWh</t>
  </si>
  <si>
    <t>Langetermijnelektriciteitsprijs</t>
  </si>
  <si>
    <t>PIF_WOL</t>
  </si>
  <si>
    <t>Profiel- en onbalansfactor wind op land</t>
  </si>
  <si>
    <t>LT_PIF_WOL</t>
  </si>
  <si>
    <t>Langetermijnprofiel- en langetermijnonbalansfactor wind op land</t>
  </si>
  <si>
    <t>PIF_PV</t>
  </si>
  <si>
    <t>Profiel- en onbalansfactor zon-PV</t>
  </si>
  <si>
    <t>LT_PIF_PV</t>
  </si>
  <si>
    <t>Langetermijnprofiel- en langetermijnonbalansfactor zon-PV</t>
  </si>
  <si>
    <r>
      <t>€/kWh</t>
    </r>
    <r>
      <rPr>
        <vertAlign val="subscript"/>
        <sz val="11"/>
        <rFont val="Calibri"/>
        <family val="2"/>
      </rPr>
      <t>LHV</t>
    </r>
  </si>
  <si>
    <t>transport</t>
  </si>
  <si>
    <t>Marginale transporttarieven</t>
  </si>
  <si>
    <t>WK</t>
  </si>
  <si>
    <t>Warmtekrachtverhouding</t>
  </si>
  <si>
    <t>-</t>
  </si>
  <si>
    <t>Categorie-specifiek</t>
  </si>
  <si>
    <t>EB3_e</t>
  </si>
  <si>
    <t>Energiebelasting elektriciteit, 3e schijf</t>
  </si>
  <si>
    <t>ODE3_e</t>
  </si>
  <si>
    <t>Opslag Duurzame Energie elektriciteit, 3e schijf</t>
  </si>
  <si>
    <t>EB1</t>
  </si>
  <si>
    <t>Energiebelasting gas, 1e schijf</t>
  </si>
  <si>
    <t>ODE1</t>
  </si>
  <si>
    <t>Opslag Duurzame Energie gas, 1e schijf</t>
  </si>
  <si>
    <t>EB2</t>
  </si>
  <si>
    <t>Energiebelasting gas, 2e schijf</t>
  </si>
  <si>
    <t>ODE2</t>
  </si>
  <si>
    <t>Opslag Duurzame Energie gas, 2e schijf</t>
  </si>
  <si>
    <t>EB3</t>
  </si>
  <si>
    <t>Energiebelasting gas, 3e schijf</t>
  </si>
  <si>
    <t>ODE3</t>
  </si>
  <si>
    <t>Opslag Duurzame Energie gas, 3e schijf</t>
  </si>
  <si>
    <t>Garantie van Oorsprong certificaat voor elektriciteit</t>
  </si>
  <si>
    <r>
      <t>€/kWh</t>
    </r>
    <r>
      <rPr>
        <vertAlign val="subscript"/>
        <sz val="11"/>
        <rFont val="Calibri"/>
        <family val="2"/>
        <scheme val="minor"/>
      </rPr>
      <t>e</t>
    </r>
  </si>
  <si>
    <t>Gebaseerd op informatie uit verkregen marktinformatie (zelfde waarde wordt aangehouden als gepubliceerd in de laatste Notitie Definitieve Correctiebedragen</t>
  </si>
  <si>
    <t>Hernieuwbare Brandstofeenheid</t>
  </si>
  <si>
    <r>
      <t>€/kWh</t>
    </r>
    <r>
      <rPr>
        <vertAlign val="subscript"/>
        <sz val="11"/>
        <rFont val="Calibri"/>
        <family val="2"/>
        <scheme val="minor"/>
      </rPr>
      <t>LHV</t>
    </r>
  </si>
  <si>
    <t>ETS-correctie-methodes</t>
  </si>
  <si>
    <t>ETS-correctie-ID</t>
  </si>
  <si>
    <t>ETS-correctie berekening</t>
  </si>
  <si>
    <t>Voorlopige ETS-correctie waarde (€/eenheid)</t>
  </si>
  <si>
    <t>nvt</t>
  </si>
  <si>
    <t>Geen ETS-correctie</t>
  </si>
  <si>
    <t>ETS-correctie = 0</t>
  </si>
  <si>
    <t>CCS 100% ETS-correctie</t>
  </si>
  <si>
    <t>100% ETS-correctie (CCS)</t>
  </si>
  <si>
    <t>ETS-correctie = EUA-prijs</t>
  </si>
  <si>
    <t>kWh_th</t>
  </si>
  <si>
    <t>Warmte 100% ETS-correctie</t>
  </si>
  <si>
    <t>100% ETS-correctie (warmte)</t>
  </si>
  <si>
    <t>ETS-correctie = ETS_max_warmte</t>
  </si>
  <si>
    <t>Formule wanneer warmte geleverd door bio-WKK (ETS correctie geldt alleen voor het warmte-deel): ETS-correctie = ETS_max_warmte * (WK-factor/(1+WK-factor))</t>
  </si>
  <si>
    <t>kWh_e_input</t>
  </si>
  <si>
    <t>Hybride glasoven</t>
  </si>
  <si>
    <t>100% ETS voordeel (hybride glasoven)</t>
  </si>
  <si>
    <t>ETS-correctie = (EUA/1000) * (Ef_gas * 3,6/1000) * Gasbesparing_HG</t>
  </si>
  <si>
    <t>Elektrificatie offshore platforms</t>
  </si>
  <si>
    <t>ETS voordeel = Vermeden_emissies * EUA_prijs * (100% - percentage_gratis_rechten_niet_CL_offshore_gaswinning)</t>
  </si>
  <si>
    <t>ETS-correctie = Gasbesparing_EOP * (Ef_gas * 3,6/1000) / 1000 * EUA * (100%-Niet_CL_gevoelig_offshore_gaswinning)</t>
  </si>
  <si>
    <t>Restwarmte zonder warmtepomp levering aan stadverwarming</t>
  </si>
  <si>
    <t>ETS voordeel = ETS_max_warmte * gratis_toegewezen_rechten_%_warmtenet</t>
  </si>
  <si>
    <t>ETS-correctie = ETS_max_warmte * Allocatie_gratis_EUA_warmtenet</t>
  </si>
  <si>
    <t>Restwarmte met warmtepomp levering aan stadverwarming</t>
  </si>
  <si>
    <t>ETS voordeel = ETS_max_warmte * gratis_toegewezen_rechten_%_warmtenet*((COP-1)/COP)</t>
  </si>
  <si>
    <t>ETS-correctie = ETS_max_warmte * Allocatie_gratis_EUA_warmtenet*((COP-1)/COP)</t>
  </si>
  <si>
    <t>COP-afhankelijk</t>
  </si>
  <si>
    <t>Met COP wordt hier bedoeld de Seasonal COP (SCOP, ofwel Seasonal Performance Factor (SPF))</t>
  </si>
  <si>
    <t>Hernieuwbare warmte met warmtepomp</t>
  </si>
  <si>
    <t>ETS voordeel = ETS_max_warmte * (COP - 1) / COP (verlaging gratis emissierechten naar rato voor warmte uit elektriciteit)</t>
  </si>
  <si>
    <t>ETS-correctie = ETS_max_warmte * ((COP-1)/COP)</t>
  </si>
  <si>
    <t>Hernieuwbare warmte zonder warmtepomp levering aan stadsverwarming</t>
  </si>
  <si>
    <t>ETS voordeel = ETS_max_warmte * aandeel_gasketelwarmtevervanging_in_warmtenet</t>
  </si>
  <si>
    <t>ETS-correctie = ETS_max_warmte * Aandeel_gasketelwarmtevervanging_in_warmtenet_niet_flexibele_warmte</t>
  </si>
  <si>
    <t>Formule wanneer warmte geleverd door bio-WKK (ETS correctie geldt alleen voor het warmte-deel): ETS-correctie = ETS_max_warmte * (WK-factor/(1+WK-factor)) * Aandeel_gasketelwarmtevervanging_in_warmtenet_niet_flexibele_warmte</t>
  </si>
  <si>
    <t>Hernieuwbare warmte met warmtepomp levering aan stadsverwarming</t>
  </si>
  <si>
    <t>ETS voordeel = ETS_max_warmte * aandeel_gasketelwarmtevervanging_in_warmtenet * (100% - (1/COP) * gratis_toegewezen_rechten_%_warmtenet)</t>
  </si>
  <si>
    <t>ETS-correctie = ETS_max_warmte * Aandeel_gasketelwarmtevervanging_in_warmtenet_niet_flexibele_warmte * (100% - ((1/COP) * Allocatie_gratis_EUA_warmtenet))</t>
  </si>
  <si>
    <t>Elektrische boiler levering aan stadsverwarming</t>
  </si>
  <si>
    <t>ETS voordeel = ETS_max_warmte * aandeel_gasketelwarmtevervanging_in_warmtenet_flexibele_warmte * (100% - gratis_toegewezen_rechten_%_warmtenet)</t>
  </si>
  <si>
    <t>ETS-correctie = ETS_max_warmte * Aandeel_gasketelwarmtevervanging_in_warmtenet_flexibele_warmte * (100% - Allocatie_gratis_EUA_warmtenet)</t>
  </si>
  <si>
    <t>Inputs</t>
  </si>
  <si>
    <t>Variabele</t>
  </si>
  <si>
    <t>Toelichting/opmerking</t>
  </si>
  <si>
    <t>€/ton CO2</t>
  </si>
  <si>
    <t>Gem EUA-waarde in EUR/tonCO2. EUA staat voor EU Allowance ofwel een emissierecht om 1 ton CO2 te mogen uitstoten</t>
  </si>
  <si>
    <t>eff_gasketel</t>
  </si>
  <si>
    <t>Rendement gasketel</t>
  </si>
  <si>
    <t>Emfac_gas</t>
  </si>
  <si>
    <t>kgCO2/GJ,gas[LHV]</t>
  </si>
  <si>
    <t>Emissiefactor Nederlands aardgas [LHV] op basis van meest recente RVO-publicatie</t>
  </si>
  <si>
    <t>ETS_max_warmte</t>
  </si>
  <si>
    <t>EUR/kWh,th</t>
  </si>
  <si>
    <t>Voorlopige waarde van de maximale kosten voor ETS indien alle rechten zouden moeten worden ingekocht (per kWh geleverde warmte), indien de warmte zou zijn opgewekt met aardgas in een ketel (rekening houdend met een aangenomen ketelrendement en emissiefactor van gas), uitgedrukt in EUR/kWh_th</t>
  </si>
  <si>
    <t>Allocatie_gratis_EUA_warmtenet</t>
  </si>
  <si>
    <t>Percentage gratis gealloceerde rechten bij levering aan warmtenet</t>
  </si>
  <si>
    <t>Aandeel_gasketelwarmtevervanging_in_warmtenet_niet_flexibele_warmte</t>
  </si>
  <si>
    <t>Aanname aandeel gasketelwarmtevervanging in warmtenet (niet-flexibele warmte)</t>
  </si>
  <si>
    <t>Aandeel_gasketelwarmtevervanging_in_warmtenet_flexibele_warmte</t>
  </si>
  <si>
    <t>Aanname aandeel gasketelwarmtevervanging in warmtenet (flexibele warmte)</t>
  </si>
  <si>
    <t>Niet_CL_gevoelig_offshore_gaswinning</t>
  </si>
  <si>
    <t>Aandeel niet-Carbon-Leakage( CL)-gevoelig offshore gaswinning in fase 4 van het EU ETS</t>
  </si>
  <si>
    <t>Gasbesparing_HG</t>
  </si>
  <si>
    <t>kWh,gas[LHV]/kWh,e,input</t>
  </si>
  <si>
    <t>Besparing van gas door hybride glasoven tov conventionele glasoven uitgedrukt per ingaande elektriciteit hybride glasoven. Dit is een vast getal dat is berekend op basis van informatie uit de marktconsultatie</t>
  </si>
  <si>
    <t>Gasbesparing_EOP</t>
  </si>
  <si>
    <t>Aardgas-vermeden-[kWh]-per-Elektriciteit gebruikt-[kWh]-ratio = 3.48. Dit is een vast getal dat is berekend op basis van informatie uit de marktconsultatie</t>
  </si>
  <si>
    <t>Beslisboom</t>
  </si>
  <si>
    <t>Fotovoltaïsche zonnepanelen, 15 – 100 kWp (kva, referentie 60 kWp)</t>
  </si>
  <si>
    <t>BASISBEDRAG</t>
  </si>
  <si>
    <t>Toelichting</t>
  </si>
  <si>
    <t>CO2-subsidie-intensiteit</t>
  </si>
  <si>
    <t>Euro/t CO2</t>
  </si>
  <si>
    <t>Netto vermeden emissies per geproduceerde eenheid</t>
  </si>
  <si>
    <t>Productie-eenheid</t>
  </si>
  <si>
    <t>Berekeningswijze correctiebedrag methode-ID</t>
  </si>
  <si>
    <t>Berekeningswijze ETS methode-ID</t>
  </si>
  <si>
    <t>ZON-PV SPECIFIEKE INPUT PARAMETERS</t>
  </si>
  <si>
    <t>Berekeningswijze correctiebedrag methode-ID netlevering</t>
  </si>
  <si>
    <t>Berekeningswijze correctiebedrag methode-ID niet-netlevering</t>
  </si>
  <si>
    <t>Netlevering deel</t>
  </si>
  <si>
    <t>Niet-netlevering deel</t>
  </si>
  <si>
    <t>CONVERSIEFACTOREN</t>
  </si>
  <si>
    <t>Verbrandingswaarde methaan (onderwaarde)</t>
  </si>
  <si>
    <t>MJ/Nm3</t>
  </si>
  <si>
    <t>Verbrandingswaarde hernieuwbaar gas (onderwaarde)</t>
  </si>
  <si>
    <t>Verbrandingswaarde hernieuwbaar gas (bovenwaarde)</t>
  </si>
  <si>
    <t>kWh naar MJ</t>
  </si>
  <si>
    <t>MJ/kWh</t>
  </si>
  <si>
    <t>INPUTVARIABELEN</t>
  </si>
  <si>
    <t>Inputvermogen</t>
  </si>
  <si>
    <t>Seasonal Performance Factor (SPF)</t>
  </si>
  <si>
    <t>SPF (COP) van de warmtepomp, niet van het hele systeem. In te vullen door expert.</t>
  </si>
  <si>
    <t>Gaat het om een installatie voor hernieuwbaar gas?</t>
  </si>
  <si>
    <t>Methaangehalte hernieuwbaar gas voor gaszuivering</t>
  </si>
  <si>
    <t>Vermogen hernieuwbaargasproductie (voor zuivering)</t>
  </si>
  <si>
    <t>Nm3/uur</t>
  </si>
  <si>
    <t>Outputvermogen (thermisch of hernieuwbaar gas)</t>
  </si>
  <si>
    <t>Outputvermogen (hernieuwbaar gas)</t>
  </si>
  <si>
    <t>Outputvermogen (elektrisch of overig)</t>
  </si>
  <si>
    <t>Vollasturen levering (thermisch of hernieuwbaar gas)</t>
  </si>
  <si>
    <t>uur/jaar</t>
  </si>
  <si>
    <t>Bij een installatie voor gecombineerde opwekking, wordt de bedrijfstijd genomen als maximum van de vollasturen warmte en vollasturen elektriciteit.</t>
  </si>
  <si>
    <t>Vollasturen levering  (elektrisch of overig)</t>
  </si>
  <si>
    <t>RENDEMENTEN</t>
  </si>
  <si>
    <t>Max. elektrisch rendement</t>
  </si>
  <si>
    <t>Elektrisch rendement</t>
  </si>
  <si>
    <t>Thermisch rendement of rendement gasproductie</t>
  </si>
  <si>
    <t>Elektriciteitsderving bij warmtelevering</t>
  </si>
  <si>
    <t>elektriciteit : warmte</t>
  </si>
  <si>
    <t>KOSTEN</t>
  </si>
  <si>
    <t>Investeringskosten input gebaseerd</t>
  </si>
  <si>
    <t>Investeringskosten output gebaseerd</t>
  </si>
  <si>
    <t>Totale investeringskosten</t>
  </si>
  <si>
    <t>Euro (miljoen)</t>
  </si>
  <si>
    <t>Vaste operationele kosten input gebaseerd</t>
  </si>
  <si>
    <t>Vaste operationele kosten output gebaseerd</t>
  </si>
  <si>
    <t>Totale jaarlijkse vaste operationele kosten</t>
  </si>
  <si>
    <t>Euro (duizend)</t>
  </si>
  <si>
    <t>Variabele operationele kosten</t>
  </si>
  <si>
    <t xml:space="preserve">    Kosten elektriciteit-input</t>
  </si>
  <si>
    <t xml:space="preserve">    Kosten gas-input</t>
  </si>
  <si>
    <t xml:space="preserve">    Kosten warmte-input</t>
  </si>
  <si>
    <t xml:space="preserve">    Overige variabele operationele kosten (incl. contractkosten)</t>
  </si>
  <si>
    <t>ENERGIEGEBRUIK</t>
  </si>
  <si>
    <t>Energie-inhoud brandstof</t>
  </si>
  <si>
    <t>GJ/ton</t>
  </si>
  <si>
    <t>Biomassadoorzet</t>
  </si>
  <si>
    <t>ton/jaar</t>
  </si>
  <si>
    <t>Netto brandstofprijs (aan de poort, incl. risico-opslag)</t>
  </si>
  <si>
    <t>Euro/ton</t>
  </si>
  <si>
    <t xml:space="preserve">Relatief elektriciteitsgebruik </t>
  </si>
  <si>
    <t>Elektriciteitsgebruik</t>
  </si>
  <si>
    <t>MWh/jaar</t>
  </si>
  <si>
    <t>Relatief warmtegebruik</t>
  </si>
  <si>
    <t xml:space="preserve">Warmtegebruik </t>
  </si>
  <si>
    <t>Relatief aardgasgebruik</t>
  </si>
  <si>
    <t>Aardgasgebruik</t>
  </si>
  <si>
    <t>EMISSIEFACTOREN</t>
  </si>
  <si>
    <t>Emissiefactor van warmteproductie per eenheid</t>
  </si>
  <si>
    <t>Emissiefactor van elektriciteitsproductie per eenheid</t>
  </si>
  <si>
    <t>Emissiefactor van gasproductie per eenheid</t>
  </si>
  <si>
    <t>Emissiefactor gebruik van biomassa</t>
  </si>
  <si>
    <t>kg CO2/ton</t>
  </si>
  <si>
    <t>Emissiefactor gebruik van warmte</t>
  </si>
  <si>
    <t>kg CO2/kWh</t>
  </si>
  <si>
    <t>Emissiefactor gebruik van elektriciteit</t>
  </si>
  <si>
    <t>Emissiefactor gebruik van gas</t>
  </si>
  <si>
    <t>PARAMETERS NA SUBSIDIEPERIODE</t>
  </si>
  <si>
    <t>Elektriciteitsprijs na subsidieperiode (incl PIF)</t>
  </si>
  <si>
    <t>Euro/kWh</t>
  </si>
  <si>
    <t>Vollasturen na subsidieperiode elektriciteit of overige</t>
  </si>
  <si>
    <t>Prijs warmte of hernieuwbaar gas na subsidieperiode</t>
  </si>
  <si>
    <t>Vollasturen na subsidieperiode warmte of hernieuwbaar gas</t>
  </si>
  <si>
    <t>INVESTERINGSSUBSIDIES</t>
  </si>
  <si>
    <t>Investeringssubsidie t.g.v. vreemd vermogen</t>
  </si>
  <si>
    <t>Euro</t>
  </si>
  <si>
    <t>Investeringssubsidie t.g.v. eigen vermogen (NCW)</t>
  </si>
  <si>
    <t>FINANCIELE PARAMETERS</t>
  </si>
  <si>
    <t>Inflatie</t>
  </si>
  <si>
    <t>Rendement op vreemd vermogen</t>
  </si>
  <si>
    <t>Rendement op eigen vermogen</t>
  </si>
  <si>
    <t>Percentage vreemd vermogen in investering</t>
  </si>
  <si>
    <t>Percentage eigen vermogen in investering</t>
  </si>
  <si>
    <t>Vennootschapsbelasting</t>
  </si>
  <si>
    <t>TERMIJNEN</t>
  </si>
  <si>
    <t>Economische levensduur</t>
  </si>
  <si>
    <t>jaar</t>
  </si>
  <si>
    <t>Termijn lening</t>
  </si>
  <si>
    <t xml:space="preserve">Afschrijvingstermijn </t>
  </si>
  <si>
    <t>Beleidsperiode</t>
  </si>
  <si>
    <t>Termijn m.b.t. totale vermeden emissies</t>
  </si>
  <si>
    <t>ONREGELMATIGE CASHFLOWS</t>
  </si>
  <si>
    <t>Voer in cel C97 het jaar in waarin de onregelmatige cashflow plaatsvindt en in cel D97 de kosten (als negatieve waarde) in dat specifieke jaar.</t>
  </si>
  <si>
    <t>Afsluitprovisie op lening</t>
  </si>
  <si>
    <t>Afsluitprovisie op lening handmatig</t>
  </si>
  <si>
    <t>Indien de afsluitprovisie handmatig moet worden ingevoerd, voer dan in cel C99 het bedrag van de afsluitprovisie.</t>
  </si>
  <si>
    <t>JAREN</t>
  </si>
  <si>
    <t>Basisbedrag (niet invullen voor basisbedragberekening, deze cellen kunnen gebruikt worden om de inkomsten toe te voegen)</t>
  </si>
  <si>
    <t>Correctiebedrag (niet invullen voor basisbedragberekening, deze cellen kunnen gebruikt worden om de inkomsten toe te voegen)</t>
  </si>
  <si>
    <t>Inflator</t>
  </si>
  <si>
    <t>index</t>
  </si>
  <si>
    <r>
      <t xml:space="preserve">Tabel: </t>
    </r>
    <r>
      <rPr>
        <sz val="11"/>
        <color theme="1"/>
        <rFont val="Georgia"/>
        <family val="1"/>
      </rPr>
      <t>Nominale kasstroom (positieve bedragen = gunstig voor de producent)</t>
    </r>
  </si>
  <si>
    <t>INITIELE INVESTERING</t>
  </si>
  <si>
    <t>Investering</t>
  </si>
  <si>
    <t>AFZET</t>
  </si>
  <si>
    <t>Afzet elektriciteit of overige</t>
  </si>
  <si>
    <t>Afzet warmte</t>
  </si>
  <si>
    <t>Afzet hernieuwbaar gas</t>
  </si>
  <si>
    <t>kWh (HHV)</t>
  </si>
  <si>
    <t>Afzet</t>
  </si>
  <si>
    <t>KOSTEN EN INKOMSTEN</t>
  </si>
  <si>
    <t>Operationele kosten</t>
  </si>
  <si>
    <t>Brandstofkosten (biomassa)</t>
  </si>
  <si>
    <t>Marktwaarde elektriciteit na einde beleidsperiode</t>
  </si>
  <si>
    <t>Marktwaarde warmte of hernieuwbaar gas na einde beleidsperiode</t>
  </si>
  <si>
    <t>Correctiebedrag</t>
  </si>
  <si>
    <t>SDE-vergoeding</t>
  </si>
  <si>
    <t>Marktinkomsten na einde beleidsperiode</t>
  </si>
  <si>
    <t>Marktinkomsten gedurende beleidsperiode</t>
  </si>
  <si>
    <t>TOTALE KOSTEN EN INKOMSTEN</t>
  </si>
  <si>
    <t>Inkomen totaal (nominaal)</t>
  </si>
  <si>
    <t>Kosten totaal (nominaal)</t>
  </si>
  <si>
    <t>Bruto inkomen (nominaal)</t>
  </si>
  <si>
    <t>AFSCHRIJVING EN SCHULDEN</t>
  </si>
  <si>
    <t>Afschrijving</t>
  </si>
  <si>
    <t>Rente</t>
  </si>
  <si>
    <t>Aflossing</t>
  </si>
  <si>
    <t>Totale lasten lening</t>
  </si>
  <si>
    <t>BELASTING</t>
  </si>
  <si>
    <t>Belastbaar inkomen</t>
  </si>
  <si>
    <t>Belasting bedrag</t>
  </si>
  <si>
    <t>CASHFLOWS</t>
  </si>
  <si>
    <t>Netto inkomen na belasting</t>
  </si>
  <si>
    <t>Project cashflow</t>
  </si>
  <si>
    <t>Equity cashflow</t>
  </si>
  <si>
    <t>Subsidiebasis: afzet</t>
  </si>
  <si>
    <t>Terug te verdienen investering</t>
  </si>
  <si>
    <t>DSCR</t>
  </si>
  <si>
    <r>
      <t xml:space="preserve">Tabel: </t>
    </r>
    <r>
      <rPr>
        <sz val="11"/>
        <color theme="1"/>
        <rFont val="Georgia"/>
        <family val="1"/>
      </rPr>
      <t>Projectparameters</t>
    </r>
  </si>
  <si>
    <t>Verdisconteerde inkomsten</t>
  </si>
  <si>
    <t>euro</t>
  </si>
  <si>
    <t>Verdisconteerde afzet</t>
  </si>
  <si>
    <t>Totale investering</t>
  </si>
  <si>
    <t>DSCR (gemiddeld)</t>
  </si>
  <si>
    <t>Vermogenskostenvergoeding (WACC nominaal/reëel)</t>
  </si>
  <si>
    <t>Projectrendement (IRR)</t>
  </si>
  <si>
    <t>Rendement op eigen vermogen (IRR)</t>
  </si>
  <si>
    <t>Aandeel lening</t>
  </si>
  <si>
    <t>Aandeel eigen vermogen</t>
  </si>
  <si>
    <t>W:E</t>
  </si>
  <si>
    <t>Samengesteld aantal vollasturen</t>
  </si>
  <si>
    <t>Terugverdientijd (inclusief SDE++ subsidie)</t>
  </si>
  <si>
    <t>jaren</t>
  </si>
  <si>
    <t>Bodemprijs of basisprijs netlevering</t>
  </si>
  <si>
    <t>Bodemprijs of basisprijs niet-netlevering</t>
  </si>
  <si>
    <t>Voorlopige waarde ETS-correctie</t>
  </si>
  <si>
    <t>Beleidsperiode geproduceerde eenheden</t>
  </si>
  <si>
    <t>Totale geproduceerde eenheden rekening houdend met 'Termijn m.b.t. totale vermeden emissies'</t>
  </si>
  <si>
    <t>Fotovoltaïsche zonnepanelen, 15 – 500 kWp (gva, referentie 150 kWp)</t>
  </si>
  <si>
    <t>Fotovoltaïsche zonnepanelen, gebouwgebonden 500 kWp - 6 MWp (gva, referentie 2500 kWp)</t>
  </si>
  <si>
    <t>Fotovoltaïsche zonnepanelen, grondgebonden 500 kWp - 6 MWp (gva, referentie 10000 kWp)</t>
  </si>
  <si>
    <t>Fotovoltaïsche zonnepanelen, drijvend op water 500 kWp - 6 MWp (gva, referentie 10000 kWp)</t>
  </si>
  <si>
    <t>Windenergie, 15 kW op kva</t>
  </si>
  <si>
    <t>Windenergie, 1 MW – windsnelheid &gt; 8,50 m/s, op gva</t>
  </si>
  <si>
    <t>Windenergie, 1 MW – windsnelheid 8,00 - 8,50 m/s op gva</t>
  </si>
  <si>
    <t>Windenergie, 1 MW – windsnelheid 7,50 - 8,00 m/s op gva</t>
  </si>
  <si>
    <t>Windenergie, 1 MW – windsnelheid 7,00 - 7,50 m/s op gva</t>
  </si>
  <si>
    <t>Windenergie, 1 MW – windsnelheid 6,75 - 7,00 m/s op gva</t>
  </si>
  <si>
    <t>Windenergie, 1 MW – windsnelheid &lt; 6,75 m/s op gva</t>
  </si>
  <si>
    <t>Windenergie, tot 6MW – windsnelheid &gt; 8,50 m/s, (referentie 20 MW, gva)</t>
  </si>
  <si>
    <t>Windenergie, tot 6MW – windsnelheid 8,00 - 8,50 m/s, (referentie 20 MW, gva)</t>
  </si>
  <si>
    <t>Windenergie, tot 6MW – windsnelheid 7,50 - 8,00 m/s, (referentie 20 MW, gva)</t>
  </si>
  <si>
    <t>Windenergie, tot 6MW – windsnelheid 7,00 - 7,50 m/s, (referentie 20 MW, gva)</t>
  </si>
  <si>
    <t>Windenergie, tot 6MW – windsnelheid 6,75 - 7,00 m/s, (referentie 20 MW, gva)</t>
  </si>
  <si>
    <t>Windenergie, tot 6MW – windsnelheid &lt; 6,75 m/s, (referentie 20 MW, gva)</t>
  </si>
  <si>
    <t>Waterkracht, 50 kW</t>
  </si>
  <si>
    <t>Berekende voorlopig correctiebedrag (incl. GvO, exclusief negatieve uurblokken)</t>
  </si>
  <si>
    <t>Elektriciteitsprijs excl. negatieve uren</t>
  </si>
  <si>
    <t>Elektriciteitsprijs incl. negatieve uren</t>
  </si>
  <si>
    <t>EPEX_tot_2016</t>
  </si>
  <si>
    <t>EPEX_vanaf_2023</t>
  </si>
  <si>
    <t xml:space="preserve">EPEX_tot_2016 </t>
  </si>
  <si>
    <t>EPEX_tot_2016  x PIF_WOL</t>
  </si>
  <si>
    <t>EPEX_tot_2016  x PIF_PV</t>
  </si>
  <si>
    <t>EPEX_tot_2016  x PIF_PV + EB3_e + ODE3_e + transport</t>
  </si>
  <si>
    <t>EPEX_tot_2016  x PIF_PV + EB3_e + ODE3_e</t>
  </si>
  <si>
    <t>EPEX_vanaf_2023  x PIF_WOL</t>
  </si>
  <si>
    <t>EPEX_vanaf_2023  x PIF_PV</t>
  </si>
  <si>
    <t>EPEX_vanaf_2023  x PIF_PV + EB3_e + ODE3_e + transport</t>
  </si>
  <si>
    <t>EPEX_vanaf_2023  x PIF_PV + EB3_e + ODE3_e</t>
  </si>
  <si>
    <t>Berekende voorlopig correctiebedrag (incl. GvO, inclusief negatieve uurblokken)</t>
  </si>
  <si>
    <t>Hogetemperatuurwarmte</t>
  </si>
  <si>
    <t>Lagetemperatuurwarmte</t>
  </si>
  <si>
    <t>PIF_WOL_tot_2016</t>
  </si>
  <si>
    <t>Profiel- en onbalansfactor wind op land voor 2016</t>
  </si>
  <si>
    <t>PIF_PV_tot_2016</t>
  </si>
  <si>
    <t>Profiel- en onbalansfactor zon-PV voor 2016</t>
  </si>
  <si>
    <t>PIF_WOL_vanaf_2023</t>
  </si>
  <si>
    <t>Profiel- en onbalansfactor wind op land categorieen vanaf 2023</t>
  </si>
  <si>
    <t>PIF_PV_vanaf_2023</t>
  </si>
  <si>
    <t>Profiel- en onbalansfactor zon-PV categorieen vanaf 2023</t>
  </si>
  <si>
    <t>Berekende voorlopig correctiebedrag incl. GvO, incl. negatieve uurblokken</t>
  </si>
  <si>
    <t>Berekende voorlopig correctiebedrag incl. GvO, excl. negatieve uurblokken</t>
  </si>
  <si>
    <t>0.0040 (netlevering)</t>
  </si>
  <si>
    <t xml:space="preserve"> 0.0040</t>
  </si>
  <si>
    <t xml:space="preserve"> 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</si>
</sst>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 #,##0.00_ ;_ * \-#,##0.00_ ;_ * &quot;-&quot;??_ ;_ @_ "/>
    <numFmt numFmtId="165" formatCode="0.000"/>
    <numFmt numFmtId="166" formatCode="0.0"/>
    <numFmt numFmtId="167" formatCode="0;\-0;&quot;-&quot;"/>
    <numFmt numFmtId="168" formatCode="0%;\-0%;&quot;n.v.t.&quot;"/>
    <numFmt numFmtId="169" formatCode="_-* #,##0.00_-;_-* #,##0.00\-;_-* &quot;-&quot;??_-;_-@_-"/>
    <numFmt numFmtId="170" formatCode="0.0000"/>
    <numFmt numFmtId="171" formatCode="0.0%"/>
    <numFmt numFmtId="172" formatCode="0.000000"/>
    <numFmt numFmtId="173" formatCode="#,###,###,###,###;\-#,###,###,###,###;&quot;-&quot;"/>
    <numFmt numFmtId="174" formatCode="#,##0.000_ ;\-#,##0.000;&quot;-&quot;"/>
    <numFmt numFmtId="175" formatCode="_(* #,##0_);_(* \(#,##0\);_(* &quot;-&quot;??_);_(@_)"/>
    <numFmt numFmtId="176" formatCode="0.000%"/>
    <numFmt numFmtId="177" formatCode="0.00;\-0.00;&quot;-&quot;"/>
    <numFmt numFmtId="178" formatCode="0.00;\ \-0.00;\ &quot;-&quot;"/>
    <numFmt numFmtId="179" formatCode="[$-413]dd/mmm/yy;@"/>
  </numFmts>
  <fonts count="55" x14ac:knownFonts="1">
    <font>
      <sz val="11"/>
      <color theme="1"/>
      <name val="Calibri"/>
      <family val="2"/>
      <scheme val="minor"/>
    </font>
    <font>
      <sz val="11"/>
      <color theme="1"/>
      <name val="Calibri"/>
      <family val="2"/>
      <scheme val="minor"/>
    </font>
    <font>
      <sz val="10"/>
      <name val="Arial"/>
      <family val="2"/>
    </font>
    <font>
      <sz val="10"/>
      <color theme="0"/>
      <name val="Calibri"/>
      <family val="2"/>
      <scheme val="minor"/>
    </font>
    <font>
      <sz val="11"/>
      <name val="Calibri"/>
      <family val="2"/>
      <scheme val="minor"/>
    </font>
    <font>
      <sz val="10"/>
      <name val="Calibri"/>
      <family val="2"/>
      <scheme val="minor"/>
    </font>
    <font>
      <sz val="10"/>
      <color rgb="FFFF0000"/>
      <name val="Calibri"/>
      <family val="2"/>
      <scheme val="minor"/>
    </font>
    <font>
      <i/>
      <sz val="10"/>
      <name val="Calibri"/>
      <family val="2"/>
      <scheme val="minor"/>
    </font>
    <font>
      <sz val="11"/>
      <name val="Arial"/>
      <family val="2"/>
    </font>
    <font>
      <sz val="14"/>
      <name val="Georgia"/>
      <family val="1"/>
    </font>
    <font>
      <sz val="18"/>
      <name val="Georgia"/>
      <family val="1"/>
    </font>
    <font>
      <sz val="10"/>
      <color rgb="FF7030A0"/>
      <name val="Calibri"/>
      <family val="2"/>
      <scheme val="minor"/>
    </font>
    <font>
      <b/>
      <sz val="12"/>
      <color indexed="10"/>
      <name val="Calibri"/>
      <family val="2"/>
      <scheme val="minor"/>
    </font>
    <font>
      <sz val="10"/>
      <color indexed="10"/>
      <name val="Calibri"/>
      <family val="2"/>
      <scheme val="minor"/>
    </font>
    <font>
      <sz val="10"/>
      <color theme="0"/>
      <name val="Calibri Light"/>
      <family val="2"/>
      <scheme val="major"/>
    </font>
    <font>
      <sz val="10"/>
      <name val="Calibri Light"/>
      <family val="2"/>
      <scheme val="major"/>
    </font>
    <font>
      <b/>
      <sz val="11"/>
      <color theme="1"/>
      <name val="Georgia"/>
      <family val="1"/>
    </font>
    <font>
      <sz val="11"/>
      <color theme="1"/>
      <name val="Georgia"/>
      <family val="1"/>
    </font>
    <font>
      <b/>
      <sz val="10"/>
      <color theme="0"/>
      <name val="Calibri"/>
      <family val="2"/>
      <scheme val="minor"/>
    </font>
    <font>
      <b/>
      <sz val="10"/>
      <name val="Calibri"/>
      <family val="2"/>
      <scheme val="minor"/>
    </font>
    <font>
      <i/>
      <sz val="10"/>
      <color rgb="FFFF0000"/>
      <name val="Calibri"/>
      <family val="2"/>
      <scheme val="minor"/>
    </font>
    <font>
      <b/>
      <sz val="18"/>
      <name val="Arial"/>
      <family val="2"/>
    </font>
    <font>
      <b/>
      <sz val="11"/>
      <name val="Arial"/>
      <family val="2"/>
    </font>
    <font>
      <b/>
      <sz val="13"/>
      <color theme="0"/>
      <name val="Calibri"/>
      <family val="2"/>
      <scheme val="minor"/>
    </font>
    <font>
      <b/>
      <sz val="12"/>
      <name val="Arial"/>
      <family val="2"/>
    </font>
    <font>
      <b/>
      <sz val="14"/>
      <name val="Arial"/>
      <family val="2"/>
    </font>
    <font>
      <sz val="20"/>
      <color theme="0" tint="-4.9989318521683403E-2"/>
      <name val="Calibri"/>
      <family val="2"/>
      <scheme val="minor"/>
    </font>
    <font>
      <sz val="10"/>
      <color theme="0"/>
      <name val="Verdana"/>
      <family val="2"/>
    </font>
    <font>
      <vertAlign val="subscript"/>
      <sz val="10"/>
      <color theme="0"/>
      <name val="Verdana"/>
      <family val="2"/>
    </font>
    <font>
      <sz val="10"/>
      <color theme="1"/>
      <name val="Verdana"/>
      <family val="2"/>
    </font>
    <font>
      <u/>
      <sz val="11"/>
      <color theme="10"/>
      <name val="Calibri"/>
      <family val="2"/>
      <scheme val="minor"/>
    </font>
    <font>
      <b/>
      <sz val="10"/>
      <color theme="1"/>
      <name val="Verdana"/>
      <family val="2"/>
    </font>
    <font>
      <sz val="10"/>
      <name val="Verdana"/>
      <family val="2"/>
    </font>
    <font>
      <sz val="11"/>
      <color theme="0"/>
      <name val="Calibri"/>
      <family val="2"/>
      <scheme val="minor"/>
    </font>
    <font>
      <sz val="12"/>
      <color theme="0"/>
      <name val="Calibri"/>
      <family val="2"/>
      <scheme val="minor"/>
    </font>
    <font>
      <sz val="11"/>
      <name val="Calibri"/>
      <family val="2"/>
    </font>
    <font>
      <vertAlign val="subscript"/>
      <sz val="11"/>
      <name val="Calibri"/>
      <family val="2"/>
    </font>
    <font>
      <i/>
      <sz val="11"/>
      <name val="Calibri"/>
      <family val="2"/>
      <scheme val="minor"/>
    </font>
    <font>
      <b/>
      <sz val="11"/>
      <color rgb="FFFA7D00"/>
      <name val="Calibri"/>
      <family val="2"/>
      <scheme val="minor"/>
    </font>
    <font>
      <b/>
      <sz val="10"/>
      <color rgb="FFFF0000"/>
      <name val="Calibri"/>
      <family val="2"/>
      <scheme val="minor"/>
    </font>
    <font>
      <sz val="10"/>
      <color theme="1"/>
      <name val="Calibri"/>
      <family val="2"/>
      <scheme val="minor"/>
    </font>
    <font>
      <vertAlign val="subscript"/>
      <sz val="11"/>
      <name val="Calibri"/>
      <family val="2"/>
      <scheme val="minor"/>
    </font>
    <font>
      <i/>
      <sz val="11"/>
      <color theme="1"/>
      <name val="Calibri"/>
      <family val="2"/>
      <scheme val="minor"/>
    </font>
    <font>
      <b/>
      <i/>
      <sz val="14"/>
      <name val="Calibri"/>
      <family val="2"/>
      <scheme val="minor"/>
    </font>
    <font>
      <sz val="9"/>
      <name val="Calibri"/>
      <family val="2"/>
      <scheme val="minor"/>
    </font>
    <font>
      <sz val="11"/>
      <color rgb="FFB5CEA8"/>
      <name val="Consolas"/>
      <family val="3"/>
    </font>
    <font>
      <sz val="8"/>
      <name val="Calibri"/>
      <family val="2"/>
      <scheme val="minor"/>
    </font>
    <font>
      <b/>
      <sz val="11"/>
      <color theme="0"/>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b/>
      <sz val="11"/>
      <color theme="1"/>
      <name val="Calibri"/>
      <family val="2"/>
      <scheme val="minor"/>
    </font>
    <font>
      <sz val="11"/>
      <color rgb="FFFA7D00"/>
      <name val="Calibri"/>
      <family val="2"/>
      <scheme val="minor"/>
    </font>
    <font>
      <i/>
      <sz val="9"/>
      <name val="Calibri"/>
      <family val="2"/>
      <scheme val="minor"/>
    </font>
    <font>
      <i/>
      <sz val="10"/>
      <color theme="0"/>
      <name val="Verdana"/>
      <family val="2"/>
    </font>
  </fonts>
  <fills count="18">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CCCC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indexed="64"/>
      </patternFill>
    </fill>
    <fill>
      <patternFill patternType="solid">
        <fgColor rgb="FFB5C800"/>
        <bgColor indexed="64"/>
      </patternFill>
    </fill>
    <fill>
      <patternFill patternType="solid">
        <fgColor rgb="FF999999"/>
        <bgColor indexed="64"/>
      </patternFill>
    </fill>
    <fill>
      <patternFill patternType="solid">
        <fgColor theme="2" tint="-0.249977111117893"/>
        <bgColor indexed="64"/>
      </patternFill>
    </fill>
    <fill>
      <patternFill patternType="solid">
        <fgColor rgb="FF9AB400"/>
        <bgColor indexed="64"/>
      </patternFill>
    </fill>
    <fill>
      <patternFill patternType="solid">
        <fgColor theme="9" tint="-0.499984740745262"/>
        <bgColor indexed="64"/>
      </patternFill>
    </fill>
    <fill>
      <patternFill patternType="solid">
        <fgColor rgb="FFF2F2F2"/>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99"/>
      </patternFill>
    </fill>
  </fills>
  <borders count="72">
    <border>
      <left/>
      <right/>
      <top/>
      <bottom/>
      <diagonal/>
    </border>
    <border>
      <left/>
      <right style="thin">
        <color theme="0"/>
      </right>
      <top/>
      <bottom/>
      <diagonal/>
    </border>
    <border>
      <left/>
      <right style="thin">
        <color rgb="FFCCCCCC"/>
      </right>
      <top/>
      <bottom style="thin">
        <color theme="0"/>
      </bottom>
      <diagonal/>
    </border>
    <border>
      <left/>
      <right/>
      <top/>
      <bottom style="thin">
        <color theme="0"/>
      </bottom>
      <diagonal/>
    </border>
    <border>
      <left/>
      <right style="thin">
        <color rgb="FFCCCCCC"/>
      </right>
      <top style="thin">
        <color theme="0"/>
      </top>
      <bottom style="thin">
        <color theme="0"/>
      </bottom>
      <diagonal/>
    </border>
    <border>
      <left/>
      <right style="thin">
        <color rgb="FFCCCCCC"/>
      </right>
      <top style="thin">
        <color theme="0"/>
      </top>
      <bottom style="thin">
        <color rgb="FFCCCCCC"/>
      </bottom>
      <diagonal/>
    </border>
    <border>
      <left/>
      <right style="thin">
        <color rgb="FFCCCCCC"/>
      </right>
      <top/>
      <bottom/>
      <diagonal/>
    </border>
    <border>
      <left/>
      <right style="thin">
        <color rgb="FFCCCCCC"/>
      </right>
      <top style="thin">
        <color theme="0"/>
      </top>
      <bottom/>
      <diagonal/>
    </border>
    <border>
      <left style="thin">
        <color rgb="FFCCCCCC"/>
      </left>
      <right style="thin">
        <color rgb="FFCCCCCC"/>
      </right>
      <top style="thin">
        <color rgb="FFCCCCCC"/>
      </top>
      <bottom style="thin">
        <color rgb="FFCCCCCC"/>
      </bottom>
      <diagonal/>
    </border>
    <border>
      <left style="thin">
        <color theme="0"/>
      </left>
      <right style="thin">
        <color theme="0"/>
      </right>
      <top/>
      <bottom/>
      <diagonal/>
    </border>
    <border>
      <left style="thin">
        <color theme="0"/>
      </left>
      <right/>
      <top/>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theme="0"/>
      </left>
      <right/>
      <top/>
      <bottom style="thin">
        <color rgb="FFCCCCCC"/>
      </bottom>
      <diagonal/>
    </border>
    <border>
      <left/>
      <right/>
      <top/>
      <bottom style="thin">
        <color rgb="FFCCCCCC"/>
      </bottom>
      <diagonal/>
    </border>
    <border>
      <left/>
      <right/>
      <top style="thick">
        <color rgb="FFB5C80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rgb="FFCCCCCC"/>
      </left>
      <right style="thin">
        <color rgb="FFCCCCCC"/>
      </right>
      <top/>
      <bottom/>
      <diagonal/>
    </border>
    <border>
      <left style="thin">
        <color theme="0"/>
      </left>
      <right style="thin">
        <color auto="1"/>
      </right>
      <top/>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rgb="FFCCCCCC"/>
      </top>
      <bottom/>
      <diagonal/>
    </border>
    <border>
      <left style="thin">
        <color rgb="FFCCCCCC"/>
      </left>
      <right style="thin">
        <color auto="1"/>
      </right>
      <top style="thin">
        <color rgb="FFCCCCCC"/>
      </top>
      <bottom style="thin">
        <color rgb="FFCCCCCC"/>
      </bottom>
      <diagonal/>
    </border>
    <border>
      <left/>
      <right/>
      <top style="thin">
        <color theme="0"/>
      </top>
      <bottom/>
      <diagonal/>
    </border>
    <border>
      <left/>
      <right style="thin">
        <color rgb="FFCCCCCC"/>
      </right>
      <top style="thin">
        <color rgb="FFCCCCCC"/>
      </top>
      <bottom/>
      <diagonal/>
    </border>
    <border>
      <left style="thin">
        <color rgb="FFCCCCCC"/>
      </left>
      <right style="thin">
        <color auto="1"/>
      </right>
      <top style="thin">
        <color rgb="FFCCCCCC"/>
      </top>
      <bottom/>
      <diagonal/>
    </border>
    <border>
      <left style="thin">
        <color rgb="FFCCCCCC"/>
      </left>
      <right style="thin">
        <color auto="1"/>
      </right>
      <top/>
      <bottom style="thin">
        <color rgb="FFCCCCCC"/>
      </bottom>
      <diagonal/>
    </border>
    <border>
      <left/>
      <right style="thin">
        <color auto="1"/>
      </right>
      <top/>
      <bottom style="thin">
        <color rgb="FFCCCCCC"/>
      </bottom>
      <diagonal/>
    </border>
    <border>
      <left/>
      <right style="thin">
        <color auto="1"/>
      </right>
      <top style="thin">
        <color rgb="FFCCCCCC"/>
      </top>
      <bottom/>
      <diagonal/>
    </border>
    <border>
      <left style="thin">
        <color theme="0"/>
      </left>
      <right style="thin">
        <color auto="1"/>
      </right>
      <top/>
      <bottom style="thin">
        <color theme="0"/>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rgb="FFCCCCCC"/>
      </left>
      <right style="thin">
        <color indexed="64"/>
      </right>
      <top/>
      <bottom/>
      <diagonal/>
    </border>
    <border>
      <left style="thin">
        <color theme="0"/>
      </left>
      <right style="thin">
        <color indexed="64"/>
      </right>
      <top style="thin">
        <color rgb="FFCCCCCC"/>
      </top>
      <bottom/>
      <diagonal/>
    </border>
    <border>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medium">
        <color indexed="64"/>
      </top>
      <bottom/>
      <diagonal/>
    </border>
    <border>
      <left/>
      <right style="medium">
        <color indexed="64"/>
      </right>
      <top style="medium">
        <color indexed="64"/>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diagonal/>
    </border>
    <border>
      <left/>
      <right style="medium">
        <color indexed="64"/>
      </right>
      <top/>
      <bottom/>
      <diagonal/>
    </border>
    <border>
      <left style="thin">
        <color rgb="FF7F7F7F"/>
      </left>
      <right style="thin">
        <color rgb="FF7F7F7F"/>
      </right>
      <top style="thin">
        <color rgb="FF7F7F7F"/>
      </top>
      <bottom style="thin">
        <color rgb="FF7F7F7F"/>
      </bottom>
      <diagonal/>
    </border>
    <border>
      <left/>
      <right/>
      <top style="thin">
        <color theme="0" tint="-0.149967955565050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double">
        <color rgb="FFFF8001"/>
      </bottom>
      <diagonal/>
    </border>
    <border>
      <left style="thin">
        <color theme="0" tint="-0.14996795556505021"/>
      </left>
      <right style="thin">
        <color theme="0" tint="-0.14996795556505021"/>
      </right>
      <top style="thin">
        <color theme="0" tint="-0.14996795556505021"/>
      </top>
      <bottom/>
      <diagonal/>
    </border>
    <border>
      <left style="thin">
        <color rgb="FF7F7F7F"/>
      </left>
      <right style="thin">
        <color rgb="FF7F7F7F"/>
      </right>
      <top style="thin">
        <color rgb="FF7F7F7F"/>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indexed="64"/>
      </top>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7F7F7F"/>
      </bottom>
      <diagonal/>
    </border>
    <border>
      <left style="thin">
        <color indexed="64"/>
      </left>
      <right/>
      <top/>
      <bottom style="thin">
        <color rgb="FF7F7F7F"/>
      </bottom>
      <diagonal/>
    </border>
    <border>
      <left style="thin">
        <color indexed="64"/>
      </left>
      <right/>
      <top style="thin">
        <color rgb="FF7F7F7F"/>
      </top>
      <bottom style="thin">
        <color rgb="FF7F7F7F"/>
      </bottom>
      <diagonal/>
    </border>
    <border>
      <left style="thin">
        <color indexed="64"/>
      </left>
      <right/>
      <top style="thin">
        <color rgb="FF7F7F7F"/>
      </top>
      <bottom/>
      <diagonal/>
    </border>
    <border>
      <left style="thin">
        <color indexed="64"/>
      </left>
      <right/>
      <top style="thin">
        <color rgb="FF7F7F7F"/>
      </top>
      <bottom style="thin">
        <color indexed="64"/>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169" fontId="2" fillId="0" borderId="0" applyFont="0" applyFill="0" applyBorder="0" applyAlignment="0" applyProtection="0"/>
    <xf numFmtId="0" fontId="2" fillId="0" borderId="0"/>
    <xf numFmtId="164" fontId="1" fillId="0" borderId="0" applyFont="0" applyFill="0" applyBorder="0" applyAlignment="0" applyProtection="0"/>
    <xf numFmtId="0" fontId="30" fillId="0" borderId="0" applyNumberFormat="0" applyFill="0" applyBorder="0" applyAlignment="0" applyProtection="0"/>
    <xf numFmtId="0" fontId="38" fillId="14" borderId="47" applyNumberFormat="0" applyAlignment="0" applyProtection="0"/>
    <xf numFmtId="0" fontId="48" fillId="0" borderId="55" applyNumberFormat="0" applyFill="0" applyAlignment="0" applyProtection="0"/>
    <xf numFmtId="0" fontId="49" fillId="0" borderId="56" applyNumberFormat="0" applyFill="0" applyAlignment="0" applyProtection="0"/>
    <xf numFmtId="0" fontId="50" fillId="17" borderId="47" applyNumberFormat="0" applyAlignment="0" applyProtection="0"/>
    <xf numFmtId="0" fontId="52" fillId="0" borderId="57" applyNumberFormat="0" applyFill="0" applyAlignment="0" applyProtection="0"/>
  </cellStyleXfs>
  <cellXfs count="436">
    <xf numFmtId="0" fontId="0" fillId="0" borderId="0" xfId="0"/>
    <xf numFmtId="0" fontId="0" fillId="0" borderId="0" xfId="0" applyAlignment="1">
      <alignment horizontal="center" vertical="center" wrapText="1"/>
    </xf>
    <xf numFmtId="0" fontId="3" fillId="3" borderId="1" xfId="3" applyFont="1" applyFill="1" applyBorder="1" applyAlignment="1">
      <alignment horizontal="left"/>
    </xf>
    <xf numFmtId="0" fontId="5" fillId="4" borderId="2" xfId="3" applyFont="1" applyFill="1" applyBorder="1"/>
    <xf numFmtId="0" fontId="5" fillId="4" borderId="3" xfId="3" applyFont="1" applyFill="1" applyBorder="1"/>
    <xf numFmtId="0" fontId="5" fillId="4" borderId="0" xfId="3" applyFont="1" applyFill="1"/>
    <xf numFmtId="0" fontId="5" fillId="4" borderId="4" xfId="3" applyFont="1" applyFill="1" applyBorder="1"/>
    <xf numFmtId="0" fontId="5" fillId="4" borderId="5" xfId="3" applyFont="1" applyFill="1" applyBorder="1"/>
    <xf numFmtId="0" fontId="5" fillId="4" borderId="4" xfId="3" applyFont="1" applyFill="1" applyBorder="1" applyAlignment="1">
      <alignment horizontal="right"/>
    </xf>
    <xf numFmtId="0" fontId="7" fillId="4" borderId="2" xfId="3" applyFont="1" applyFill="1" applyBorder="1" applyAlignment="1">
      <alignment horizontal="right"/>
    </xf>
    <xf numFmtId="0" fontId="7" fillId="4" borderId="4" xfId="3" applyFont="1" applyFill="1" applyBorder="1" applyAlignment="1">
      <alignment horizontal="right"/>
    </xf>
    <xf numFmtId="0" fontId="5" fillId="4" borderId="6" xfId="3" applyFont="1" applyFill="1" applyBorder="1" applyAlignment="1">
      <alignment vertical="center"/>
    </xf>
    <xf numFmtId="0" fontId="5" fillId="4" borderId="7" xfId="3" applyFont="1" applyFill="1" applyBorder="1" applyAlignment="1">
      <alignment vertical="center"/>
    </xf>
    <xf numFmtId="0" fontId="3" fillId="3" borderId="0" xfId="3" applyFont="1" applyFill="1"/>
    <xf numFmtId="0" fontId="5" fillId="4" borderId="4" xfId="6" applyFont="1" applyFill="1" applyBorder="1"/>
    <xf numFmtId="0" fontId="5" fillId="4" borderId="7" xfId="3" applyFont="1" applyFill="1" applyBorder="1" applyAlignment="1">
      <alignment horizontal="left"/>
    </xf>
    <xf numFmtId="0" fontId="5" fillId="4" borderId="7" xfId="3" applyFont="1" applyFill="1" applyBorder="1"/>
    <xf numFmtId="0" fontId="2" fillId="0" borderId="0" xfId="3"/>
    <xf numFmtId="0" fontId="9" fillId="0" borderId="0" xfId="3" applyFont="1"/>
    <xf numFmtId="0" fontId="9" fillId="0" borderId="0" xfId="3" applyFont="1" applyAlignment="1">
      <alignment horizontal="center"/>
    </xf>
    <xf numFmtId="0" fontId="10" fillId="0" borderId="0" xfId="3" applyFont="1"/>
    <xf numFmtId="0" fontId="10" fillId="0" borderId="0" xfId="3" applyFont="1" applyAlignment="1">
      <alignment horizontal="center"/>
    </xf>
    <xf numFmtId="0" fontId="3" fillId="3" borderId="9" xfId="3" applyFont="1" applyFill="1" applyBorder="1" applyAlignment="1">
      <alignment horizontal="center"/>
    </xf>
    <xf numFmtId="0" fontId="3" fillId="3" borderId="10" xfId="3" applyFont="1" applyFill="1" applyBorder="1" applyAlignment="1">
      <alignment horizontal="center"/>
    </xf>
    <xf numFmtId="0" fontId="11" fillId="0" borderId="0" xfId="3" applyFont="1"/>
    <xf numFmtId="0" fontId="5" fillId="7" borderId="12" xfId="3" applyFont="1" applyFill="1" applyBorder="1" applyAlignment="1">
      <alignment horizontal="center"/>
    </xf>
    <xf numFmtId="172" fontId="11" fillId="0" borderId="0" xfId="3" applyNumberFormat="1" applyFont="1"/>
    <xf numFmtId="1" fontId="5" fillId="9" borderId="12" xfId="3" applyNumberFormat="1" applyFont="1" applyFill="1" applyBorder="1" applyAlignment="1" applyProtection="1">
      <alignment horizontal="center"/>
      <protection locked="0"/>
    </xf>
    <xf numFmtId="0" fontId="5" fillId="0" borderId="0" xfId="3" applyFont="1"/>
    <xf numFmtId="2" fontId="13" fillId="0" borderId="0" xfId="3" applyNumberFormat="1" applyFont="1" applyAlignment="1">
      <alignment horizontal="center"/>
    </xf>
    <xf numFmtId="0" fontId="5" fillId="0" borderId="0" xfId="3" applyFont="1" applyAlignment="1">
      <alignment horizontal="center"/>
    </xf>
    <xf numFmtId="0" fontId="5" fillId="0" borderId="8" xfId="3" applyFont="1" applyBorder="1" applyAlignment="1">
      <alignment horizontal="center"/>
    </xf>
    <xf numFmtId="0" fontId="5" fillId="8" borderId="12" xfId="3" applyFont="1" applyFill="1" applyBorder="1" applyAlignment="1">
      <alignment horizontal="center"/>
    </xf>
    <xf numFmtId="9" fontId="5" fillId="9" borderId="8" xfId="2" applyFont="1" applyFill="1" applyBorder="1" applyAlignment="1" applyProtection="1">
      <alignment horizontal="center"/>
      <protection locked="0"/>
    </xf>
    <xf numFmtId="0" fontId="5" fillId="8" borderId="8" xfId="3" applyFont="1" applyFill="1" applyBorder="1" applyAlignment="1">
      <alignment horizontal="center"/>
    </xf>
    <xf numFmtId="167" fontId="5" fillId="7" borderId="12" xfId="3" applyNumberFormat="1" applyFont="1" applyFill="1" applyBorder="1" applyAlignment="1" applyProtection="1">
      <alignment horizontal="center"/>
      <protection locked="0"/>
    </xf>
    <xf numFmtId="1" fontId="5" fillId="9" borderId="8" xfId="3" applyNumberFormat="1" applyFont="1" applyFill="1" applyBorder="1" applyAlignment="1" applyProtection="1">
      <alignment horizontal="center"/>
      <protection locked="0"/>
    </xf>
    <xf numFmtId="0" fontId="5" fillId="9" borderId="8" xfId="3" applyFont="1" applyFill="1" applyBorder="1" applyAlignment="1" applyProtection="1">
      <alignment horizontal="center"/>
      <protection locked="0"/>
    </xf>
    <xf numFmtId="1" fontId="5" fillId="3" borderId="9" xfId="4" applyNumberFormat="1" applyFont="1" applyFill="1" applyBorder="1" applyAlignment="1">
      <alignment horizontal="center"/>
    </xf>
    <xf numFmtId="0" fontId="5" fillId="3" borderId="0" xfId="3" applyFont="1" applyFill="1" applyAlignment="1">
      <alignment horizontal="center"/>
    </xf>
    <xf numFmtId="168" fontId="5" fillId="8" borderId="12" xfId="4" applyNumberFormat="1" applyFont="1" applyFill="1" applyBorder="1" applyAlignment="1">
      <alignment horizontal="center"/>
    </xf>
    <xf numFmtId="9" fontId="5" fillId="8" borderId="8" xfId="4" applyFont="1" applyFill="1" applyBorder="1" applyAlignment="1">
      <alignment horizontal="center"/>
    </xf>
    <xf numFmtId="13" fontId="5" fillId="9" borderId="8" xfId="4" applyNumberFormat="1" applyFont="1" applyFill="1" applyBorder="1" applyAlignment="1" applyProtection="1">
      <alignment horizontal="center"/>
      <protection locked="0"/>
    </xf>
    <xf numFmtId="0" fontId="5" fillId="9" borderId="12" xfId="3" applyFont="1" applyFill="1" applyBorder="1" applyAlignment="1" applyProtection="1">
      <alignment horizontal="center"/>
      <protection locked="0"/>
    </xf>
    <xf numFmtId="165" fontId="5" fillId="8" borderId="8" xfId="3" applyNumberFormat="1" applyFont="1" applyFill="1" applyBorder="1" applyAlignment="1">
      <alignment horizontal="center"/>
    </xf>
    <xf numFmtId="166" fontId="5" fillId="9" borderId="8" xfId="3" applyNumberFormat="1" applyFont="1" applyFill="1" applyBorder="1" applyAlignment="1" applyProtection="1">
      <alignment horizontal="center"/>
      <protection locked="0"/>
    </xf>
    <xf numFmtId="3" fontId="5" fillId="8" borderId="8" xfId="5" applyNumberFormat="1" applyFont="1" applyFill="1" applyBorder="1" applyAlignment="1">
      <alignment horizontal="center"/>
    </xf>
    <xf numFmtId="170" fontId="5" fillId="9" borderId="8" xfId="3" applyNumberFormat="1" applyFont="1" applyFill="1" applyBorder="1" applyAlignment="1" applyProtection="1">
      <alignment horizontal="center"/>
      <protection locked="0"/>
    </xf>
    <xf numFmtId="167" fontId="5" fillId="7" borderId="8" xfId="3" applyNumberFormat="1" applyFont="1" applyFill="1" applyBorder="1" applyAlignment="1" applyProtection="1">
      <alignment horizontal="center"/>
      <protection locked="0"/>
    </xf>
    <xf numFmtId="0" fontId="5" fillId="9" borderId="8" xfId="4" applyNumberFormat="1" applyFont="1" applyFill="1" applyBorder="1" applyAlignment="1" applyProtection="1">
      <alignment horizontal="center"/>
      <protection locked="0"/>
    </xf>
    <xf numFmtId="171" fontId="5" fillId="9" borderId="12" xfId="3" applyNumberFormat="1" applyFont="1" applyFill="1" applyBorder="1" applyAlignment="1" applyProtection="1">
      <alignment horizontal="center"/>
      <protection locked="0"/>
    </xf>
    <xf numFmtId="171" fontId="5" fillId="9" borderId="8" xfId="4" applyNumberFormat="1" applyFont="1" applyFill="1" applyBorder="1" applyAlignment="1" applyProtection="1">
      <alignment horizontal="center"/>
      <protection locked="0"/>
    </xf>
    <xf numFmtId="9" fontId="5" fillId="9" borderId="8" xfId="4" applyFont="1" applyFill="1" applyBorder="1" applyAlignment="1" applyProtection="1">
      <alignment horizontal="center"/>
      <protection locked="0"/>
    </xf>
    <xf numFmtId="171" fontId="5" fillId="9" borderId="16" xfId="4" applyNumberFormat="1" applyFont="1" applyFill="1" applyBorder="1" applyAlignment="1" applyProtection="1">
      <alignment horizontal="center"/>
      <protection locked="0"/>
    </xf>
    <xf numFmtId="0" fontId="5" fillId="8" borderId="16" xfId="3" applyFont="1" applyFill="1" applyBorder="1" applyAlignment="1">
      <alignment horizontal="center"/>
    </xf>
    <xf numFmtId="170" fontId="5" fillId="0" borderId="0" xfId="3" applyNumberFormat="1" applyFont="1"/>
    <xf numFmtId="1" fontId="5" fillId="9" borderId="16" xfId="4" applyNumberFormat="1" applyFont="1" applyFill="1" applyBorder="1" applyAlignment="1" applyProtection="1">
      <alignment horizontal="center"/>
      <protection locked="0"/>
    </xf>
    <xf numFmtId="173" fontId="5" fillId="0" borderId="0" xfId="3" applyNumberFormat="1" applyFont="1"/>
    <xf numFmtId="0" fontId="14" fillId="3" borderId="0" xfId="3" applyFont="1" applyFill="1"/>
    <xf numFmtId="0" fontId="14" fillId="3" borderId="0" xfId="3" applyFont="1" applyFill="1" applyAlignment="1">
      <alignment horizontal="center"/>
    </xf>
    <xf numFmtId="165" fontId="15" fillId="0" borderId="0" xfId="3" applyNumberFormat="1" applyFont="1"/>
    <xf numFmtId="0" fontId="5" fillId="7" borderId="8" xfId="3" applyFont="1" applyFill="1" applyBorder="1" applyAlignment="1">
      <alignment horizontal="center"/>
    </xf>
    <xf numFmtId="0" fontId="5" fillId="7" borderId="8" xfId="3" applyFont="1" applyFill="1" applyBorder="1" applyAlignment="1">
      <alignment horizontal="right"/>
    </xf>
    <xf numFmtId="0" fontId="5" fillId="7" borderId="8" xfId="3" applyFont="1" applyFill="1" applyBorder="1"/>
    <xf numFmtId="165" fontId="5" fillId="8" borderId="8" xfId="4" applyNumberFormat="1" applyFont="1" applyFill="1" applyBorder="1" applyAlignment="1">
      <alignment horizontal="center"/>
    </xf>
    <xf numFmtId="0" fontId="15" fillId="0" borderId="0" xfId="3" applyFont="1"/>
    <xf numFmtId="2" fontId="5" fillId="7" borderId="8" xfId="3" applyNumberFormat="1" applyFont="1" applyFill="1" applyBorder="1" applyAlignment="1">
      <alignment horizontal="right"/>
    </xf>
    <xf numFmtId="2" fontId="5" fillId="7" borderId="8" xfId="3" applyNumberFormat="1" applyFont="1" applyFill="1" applyBorder="1"/>
    <xf numFmtId="0" fontId="18" fillId="3" borderId="21" xfId="3" applyFont="1" applyFill="1" applyBorder="1" applyAlignment="1">
      <alignment horizontal="right"/>
    </xf>
    <xf numFmtId="0" fontId="18" fillId="3" borderId="21" xfId="3" applyFont="1" applyFill="1" applyBorder="1" applyAlignment="1">
      <alignment horizontal="center"/>
    </xf>
    <xf numFmtId="0" fontId="5" fillId="7" borderId="6" xfId="3" applyFont="1" applyFill="1" applyBorder="1"/>
    <xf numFmtId="3" fontId="5" fillId="7" borderId="22" xfId="3" applyNumberFormat="1" applyFont="1" applyFill="1" applyBorder="1" applyAlignment="1">
      <alignment horizontal="center"/>
    </xf>
    <xf numFmtId="0" fontId="19" fillId="7" borderId="22" xfId="3" applyFont="1" applyFill="1" applyBorder="1" applyAlignment="1">
      <alignment horizontal="center"/>
    </xf>
    <xf numFmtId="0" fontId="19" fillId="3" borderId="9" xfId="3" applyFont="1" applyFill="1" applyBorder="1" applyAlignment="1">
      <alignment horizontal="right"/>
    </xf>
    <xf numFmtId="0" fontId="19" fillId="3" borderId="9" xfId="3" applyFont="1" applyFill="1" applyBorder="1" applyAlignment="1">
      <alignment horizontal="center"/>
    </xf>
    <xf numFmtId="0" fontId="19" fillId="3" borderId="23" xfId="3" applyFont="1" applyFill="1" applyBorder="1" applyAlignment="1">
      <alignment horizontal="center"/>
    </xf>
    <xf numFmtId="0" fontId="5" fillId="7" borderId="11" xfId="3" applyFont="1" applyFill="1" applyBorder="1"/>
    <xf numFmtId="0" fontId="5" fillId="7" borderId="12" xfId="3" applyFont="1" applyFill="1" applyBorder="1"/>
    <xf numFmtId="173" fontId="5" fillId="7" borderId="12" xfId="3" applyNumberFormat="1" applyFont="1" applyFill="1" applyBorder="1"/>
    <xf numFmtId="0" fontId="5" fillId="4" borderId="24" xfId="3" applyFont="1" applyFill="1" applyBorder="1"/>
    <xf numFmtId="0" fontId="5" fillId="7" borderId="15" xfId="3" applyFont="1" applyFill="1" applyBorder="1"/>
    <xf numFmtId="173" fontId="5" fillId="7" borderId="8" xfId="3" applyNumberFormat="1" applyFont="1" applyFill="1" applyBorder="1"/>
    <xf numFmtId="0" fontId="5" fillId="10" borderId="25" xfId="3" applyFont="1" applyFill="1" applyBorder="1"/>
    <xf numFmtId="0" fontId="5" fillId="10" borderId="26" xfId="3" applyFont="1" applyFill="1" applyBorder="1"/>
    <xf numFmtId="173" fontId="5" fillId="10" borderId="26" xfId="5" applyNumberFormat="1" applyFont="1" applyFill="1" applyBorder="1"/>
    <xf numFmtId="174" fontId="5" fillId="7" borderId="8" xfId="3" applyNumberFormat="1" applyFont="1" applyFill="1" applyBorder="1"/>
    <xf numFmtId="173" fontId="5" fillId="7" borderId="27" xfId="3" applyNumberFormat="1" applyFont="1" applyFill="1" applyBorder="1"/>
    <xf numFmtId="0" fontId="5" fillId="4" borderId="28" xfId="3" applyFont="1" applyFill="1" applyBorder="1"/>
    <xf numFmtId="0" fontId="5" fillId="7" borderId="29" xfId="3" applyFont="1" applyFill="1" applyBorder="1"/>
    <xf numFmtId="0" fontId="5" fillId="7" borderId="16" xfId="3" applyFont="1" applyFill="1" applyBorder="1"/>
    <xf numFmtId="173" fontId="5" fillId="7" borderId="16" xfId="3" applyNumberFormat="1" applyFont="1" applyFill="1" applyBorder="1"/>
    <xf numFmtId="173" fontId="5" fillId="7" borderId="30" xfId="3" applyNumberFormat="1" applyFont="1" applyFill="1" applyBorder="1"/>
    <xf numFmtId="173" fontId="5" fillId="7" borderId="31" xfId="3" applyNumberFormat="1" applyFont="1" applyFill="1" applyBorder="1"/>
    <xf numFmtId="3" fontId="5" fillId="7" borderId="16" xfId="3" applyNumberFormat="1" applyFont="1" applyFill="1" applyBorder="1"/>
    <xf numFmtId="0" fontId="19" fillId="0" borderId="0" xfId="3" applyFont="1"/>
    <xf numFmtId="173" fontId="5" fillId="7" borderId="11" xfId="3" applyNumberFormat="1" applyFont="1" applyFill="1" applyBorder="1"/>
    <xf numFmtId="173" fontId="5" fillId="7" borderId="32" xfId="3" applyNumberFormat="1" applyFont="1" applyFill="1" applyBorder="1"/>
    <xf numFmtId="173" fontId="5" fillId="7" borderId="29" xfId="3" applyNumberFormat="1" applyFont="1" applyFill="1" applyBorder="1"/>
    <xf numFmtId="173" fontId="5" fillId="7" borderId="33" xfId="3" applyNumberFormat="1" applyFont="1" applyFill="1" applyBorder="1"/>
    <xf numFmtId="0" fontId="5" fillId="10" borderId="20" xfId="3" applyFont="1" applyFill="1" applyBorder="1"/>
    <xf numFmtId="0" fontId="5" fillId="10" borderId="21" xfId="3" applyFont="1" applyFill="1" applyBorder="1"/>
    <xf numFmtId="173" fontId="5" fillId="10" borderId="21" xfId="3" applyNumberFormat="1" applyFont="1" applyFill="1" applyBorder="1"/>
    <xf numFmtId="173" fontId="5" fillId="10" borderId="34" xfId="3" applyNumberFormat="1" applyFont="1" applyFill="1" applyBorder="1"/>
    <xf numFmtId="0" fontId="5" fillId="10" borderId="1" xfId="3" applyFont="1" applyFill="1" applyBorder="1"/>
    <xf numFmtId="0" fontId="5" fillId="10" borderId="9" xfId="3" applyFont="1" applyFill="1" applyBorder="1"/>
    <xf numFmtId="3" fontId="5" fillId="10" borderId="9" xfId="3" applyNumberFormat="1" applyFont="1" applyFill="1" applyBorder="1"/>
    <xf numFmtId="173" fontId="5" fillId="10" borderId="9" xfId="3" applyNumberFormat="1" applyFont="1" applyFill="1" applyBorder="1"/>
    <xf numFmtId="0" fontId="5" fillId="10" borderId="35" xfId="3" applyFont="1" applyFill="1" applyBorder="1"/>
    <xf numFmtId="173" fontId="5" fillId="10" borderId="35" xfId="3" applyNumberFormat="1" applyFont="1" applyFill="1" applyBorder="1"/>
    <xf numFmtId="173" fontId="5" fillId="10" borderId="36" xfId="3" applyNumberFormat="1" applyFont="1" applyFill="1" applyBorder="1"/>
    <xf numFmtId="3" fontId="19" fillId="0" borderId="0" xfId="3" applyNumberFormat="1" applyFont="1"/>
    <xf numFmtId="2" fontId="5" fillId="0" borderId="0" xfId="3" applyNumberFormat="1" applyFont="1"/>
    <xf numFmtId="9" fontId="5" fillId="0" borderId="0" xfId="3" applyNumberFormat="1" applyFont="1"/>
    <xf numFmtId="1" fontId="5" fillId="7" borderId="12" xfId="3" applyNumberFormat="1" applyFont="1" applyFill="1" applyBorder="1" applyAlignment="1">
      <alignment horizontal="center"/>
    </xf>
    <xf numFmtId="1" fontId="19" fillId="7" borderId="11" xfId="3" applyNumberFormat="1" applyFont="1" applyFill="1" applyBorder="1" applyAlignment="1">
      <alignment horizontal="center"/>
    </xf>
    <xf numFmtId="1" fontId="5" fillId="9" borderId="15" xfId="3" applyNumberFormat="1" applyFont="1" applyFill="1" applyBorder="1" applyAlignment="1" applyProtection="1">
      <alignment horizontal="center"/>
      <protection locked="0"/>
    </xf>
    <xf numFmtId="1" fontId="5" fillId="8" borderId="12" xfId="3" applyNumberFormat="1" applyFont="1" applyFill="1" applyBorder="1" applyAlignment="1">
      <alignment horizontal="center"/>
    </xf>
    <xf numFmtId="1" fontId="5" fillId="8" borderId="8" xfId="3" applyNumberFormat="1" applyFont="1" applyFill="1" applyBorder="1" applyAlignment="1">
      <alignment horizontal="center"/>
    </xf>
    <xf numFmtId="0" fontId="18" fillId="3" borderId="34" xfId="3" applyFont="1" applyFill="1" applyBorder="1" applyAlignment="1">
      <alignment horizontal="center"/>
    </xf>
    <xf numFmtId="0" fontId="19" fillId="7" borderId="37" xfId="3" applyFont="1" applyFill="1" applyBorder="1" applyAlignment="1">
      <alignment horizontal="center"/>
    </xf>
    <xf numFmtId="173" fontId="5" fillId="10" borderId="38" xfId="5" applyNumberFormat="1" applyFont="1" applyFill="1" applyBorder="1"/>
    <xf numFmtId="173" fontId="5" fillId="10" borderId="23" xfId="3" applyNumberFormat="1" applyFont="1" applyFill="1" applyBorder="1"/>
    <xf numFmtId="0" fontId="5" fillId="11" borderId="35" xfId="3" applyFont="1" applyFill="1" applyBorder="1"/>
    <xf numFmtId="3" fontId="5" fillId="11" borderId="35" xfId="3" applyNumberFormat="1" applyFont="1" applyFill="1" applyBorder="1"/>
    <xf numFmtId="175" fontId="5" fillId="11" borderId="35" xfId="1" applyNumberFormat="1" applyFont="1" applyFill="1" applyBorder="1"/>
    <xf numFmtId="175" fontId="19" fillId="0" borderId="0" xfId="1" applyNumberFormat="1" applyFont="1" applyFill="1" applyBorder="1"/>
    <xf numFmtId="3" fontId="5" fillId="7" borderId="8" xfId="3" applyNumberFormat="1" applyFont="1" applyFill="1" applyBorder="1" applyAlignment="1">
      <alignment horizontal="center"/>
    </xf>
    <xf numFmtId="175" fontId="5" fillId="0" borderId="0" xfId="1" applyNumberFormat="1" applyFont="1"/>
    <xf numFmtId="175" fontId="5" fillId="0" borderId="0" xfId="3" applyNumberFormat="1" applyFont="1"/>
    <xf numFmtId="4" fontId="5" fillId="7" borderId="8" xfId="3" applyNumberFormat="1" applyFont="1" applyFill="1" applyBorder="1" applyAlignment="1">
      <alignment horizontal="center"/>
    </xf>
    <xf numFmtId="176" fontId="5" fillId="7" borderId="8" xfId="3" applyNumberFormat="1" applyFont="1" applyFill="1" applyBorder="1" applyAlignment="1">
      <alignment horizontal="center"/>
    </xf>
    <xf numFmtId="0" fontId="5" fillId="0" borderId="0" xfId="3" quotePrefix="1" applyFont="1"/>
    <xf numFmtId="171" fontId="5" fillId="7" borderId="8" xfId="3" applyNumberFormat="1" applyFont="1" applyFill="1" applyBorder="1" applyAlignment="1">
      <alignment horizontal="center"/>
    </xf>
    <xf numFmtId="0" fontId="5" fillId="4" borderId="24" xfId="3" applyFont="1" applyFill="1" applyBorder="1" applyAlignment="1">
      <alignment horizontal="left"/>
    </xf>
    <xf numFmtId="0" fontId="6" fillId="0" borderId="0" xfId="3" applyFont="1"/>
    <xf numFmtId="0" fontId="5" fillId="4" borderId="28" xfId="3" applyFont="1" applyFill="1" applyBorder="1" applyAlignment="1">
      <alignment horizontal="left"/>
    </xf>
    <xf numFmtId="0" fontId="5" fillId="0" borderId="15" xfId="3" quotePrefix="1" applyFont="1" applyBorder="1" applyAlignment="1">
      <alignment horizontal="left"/>
    </xf>
    <xf numFmtId="177" fontId="5" fillId="7" borderId="8" xfId="3" applyNumberFormat="1" applyFont="1" applyFill="1" applyBorder="1" applyAlignment="1">
      <alignment horizontal="center"/>
    </xf>
    <xf numFmtId="0" fontId="5" fillId="0" borderId="11" xfId="3" applyFont="1" applyBorder="1" applyAlignment="1">
      <alignment horizontal="left"/>
    </xf>
    <xf numFmtId="1" fontId="5" fillId="0" borderId="11" xfId="3" applyNumberFormat="1" applyFont="1" applyBorder="1" applyAlignment="1">
      <alignment horizontal="center"/>
    </xf>
    <xf numFmtId="173" fontId="6" fillId="0" borderId="0" xfId="3" applyNumberFormat="1" applyFont="1"/>
    <xf numFmtId="1" fontId="5" fillId="0" borderId="0" xfId="3" applyNumberFormat="1" applyFont="1" applyAlignment="1">
      <alignment horizontal="center"/>
    </xf>
    <xf numFmtId="3" fontId="0" fillId="0" borderId="0" xfId="0" applyNumberFormat="1"/>
    <xf numFmtId="171" fontId="0" fillId="0" borderId="0" xfId="0" applyNumberFormat="1"/>
    <xf numFmtId="175" fontId="0" fillId="0" borderId="0" xfId="0" applyNumberFormat="1"/>
    <xf numFmtId="0" fontId="4" fillId="0" borderId="0" xfId="3" applyFont="1" applyAlignment="1">
      <alignment vertical="center"/>
    </xf>
    <xf numFmtId="0" fontId="8" fillId="0" borderId="0" xfId="3" applyFont="1" applyAlignment="1">
      <alignment vertical="center"/>
    </xf>
    <xf numFmtId="0" fontId="21" fillId="0" borderId="0" xfId="3" applyFont="1" applyAlignment="1">
      <alignment vertical="center"/>
    </xf>
    <xf numFmtId="0" fontId="22" fillId="0" borderId="0" xfId="3" applyFont="1" applyAlignment="1">
      <alignment vertical="center"/>
    </xf>
    <xf numFmtId="0" fontId="4" fillId="0" borderId="0" xfId="3" applyFont="1" applyAlignment="1">
      <alignment horizontal="left" vertical="center"/>
    </xf>
    <xf numFmtId="0" fontId="4" fillId="4" borderId="3" xfId="3" applyFont="1" applyFill="1" applyBorder="1" applyAlignment="1">
      <alignment horizontal="left" vertical="center"/>
    </xf>
    <xf numFmtId="0" fontId="8" fillId="0" borderId="0" xfId="3" applyFont="1" applyAlignment="1">
      <alignment horizontal="left" vertical="center"/>
    </xf>
    <xf numFmtId="0" fontId="22" fillId="0" borderId="0" xfId="3" applyFont="1" applyAlignment="1">
      <alignment horizontal="left" vertical="center"/>
    </xf>
    <xf numFmtId="0" fontId="24" fillId="0" borderId="0" xfId="3" applyFont="1" applyAlignment="1">
      <alignment horizontal="left" vertical="center"/>
    </xf>
    <xf numFmtId="0" fontId="25" fillId="0" borderId="0" xfId="3" applyFont="1" applyAlignment="1">
      <alignment horizontal="left" vertical="center"/>
    </xf>
    <xf numFmtId="0" fontId="5" fillId="0" borderId="0" xfId="3" applyFont="1" applyAlignment="1">
      <alignment horizontal="left" vertical="center"/>
    </xf>
    <xf numFmtId="0" fontId="5" fillId="4" borderId="24" xfId="3" applyFont="1" applyFill="1" applyBorder="1" applyAlignment="1">
      <alignment horizontal="left" vertical="center"/>
    </xf>
    <xf numFmtId="0" fontId="5" fillId="0" borderId="11" xfId="3" applyFont="1" applyBorder="1" applyAlignment="1">
      <alignment horizontal="left" vertical="center" wrapText="1"/>
    </xf>
    <xf numFmtId="0" fontId="2" fillId="0" borderId="0" xfId="3" applyAlignment="1">
      <alignment horizontal="left" vertical="center"/>
    </xf>
    <xf numFmtId="0" fontId="19" fillId="0" borderId="15" xfId="3" applyFont="1" applyBorder="1" applyAlignment="1">
      <alignment horizontal="left" vertical="center" wrapText="1"/>
    </xf>
    <xf numFmtId="0" fontId="5" fillId="4" borderId="28" xfId="3" applyFont="1" applyFill="1" applyBorder="1" applyAlignment="1">
      <alignment horizontal="left" vertical="center"/>
    </xf>
    <xf numFmtId="0" fontId="5" fillId="0" borderId="29" xfId="3" applyFont="1" applyBorder="1" applyAlignment="1">
      <alignment horizontal="left" vertical="center" wrapText="1"/>
    </xf>
    <xf numFmtId="0" fontId="5" fillId="7" borderId="0" xfId="3" applyFont="1" applyFill="1"/>
    <xf numFmtId="1" fontId="26" fillId="12" borderId="8" xfId="3" applyNumberFormat="1" applyFont="1" applyFill="1" applyBorder="1" applyAlignment="1" applyProtection="1">
      <alignment horizontal="center"/>
      <protection locked="0"/>
    </xf>
    <xf numFmtId="166" fontId="27" fillId="3" borderId="0" xfId="0" applyNumberFormat="1" applyFont="1" applyFill="1" applyAlignment="1">
      <alignment horizontal="center" vertical="center" wrapText="1"/>
    </xf>
    <xf numFmtId="165" fontId="27" fillId="3" borderId="0" xfId="0" applyNumberFormat="1" applyFont="1" applyFill="1" applyAlignment="1">
      <alignment horizontal="center" vertical="center" wrapText="1"/>
    </xf>
    <xf numFmtId="1" fontId="27" fillId="3" borderId="0" xfId="0" applyNumberFormat="1" applyFont="1" applyFill="1" applyAlignment="1">
      <alignment horizontal="center" vertical="center"/>
    </xf>
    <xf numFmtId="1" fontId="27" fillId="3" borderId="0" xfId="0" applyNumberFormat="1" applyFont="1" applyFill="1" applyAlignment="1">
      <alignment horizontal="center" vertical="center" wrapText="1"/>
    </xf>
    <xf numFmtId="0" fontId="27" fillId="3" borderId="0" xfId="0" applyFont="1" applyFill="1" applyAlignment="1">
      <alignment horizontal="center" vertical="center" wrapText="1"/>
    </xf>
    <xf numFmtId="166" fontId="27" fillId="3" borderId="0" xfId="0" applyNumberFormat="1" applyFont="1" applyFill="1" applyAlignment="1">
      <alignment horizontal="center" vertical="center"/>
    </xf>
    <xf numFmtId="0" fontId="27" fillId="3" borderId="0" xfId="0" applyFont="1" applyFill="1" applyAlignment="1">
      <alignment horizontal="center"/>
    </xf>
    <xf numFmtId="0" fontId="29" fillId="5" borderId="40" xfId="0" applyFont="1" applyFill="1" applyBorder="1" applyAlignment="1">
      <alignment horizontal="center"/>
    </xf>
    <xf numFmtId="1" fontId="31" fillId="5" borderId="40" xfId="8" applyNumberFormat="1" applyFont="1" applyFill="1" applyBorder="1" applyAlignment="1">
      <alignment vertical="center"/>
    </xf>
    <xf numFmtId="1" fontId="31" fillId="5" borderId="40" xfId="8" applyNumberFormat="1" applyFont="1" applyFill="1" applyBorder="1" applyAlignment="1">
      <alignment horizontal="center" vertical="center"/>
    </xf>
    <xf numFmtId="0" fontId="29" fillId="0" borderId="0" xfId="0" applyFont="1"/>
    <xf numFmtId="0" fontId="29" fillId="0" borderId="0" xfId="0" applyFont="1" applyAlignment="1">
      <alignment horizontal="center"/>
    </xf>
    <xf numFmtId="1" fontId="31" fillId="5" borderId="40" xfId="8" applyNumberFormat="1" applyFont="1" applyFill="1" applyBorder="1" applyAlignment="1">
      <alignment horizontal="left" vertical="center"/>
    </xf>
    <xf numFmtId="177" fontId="29" fillId="0" borderId="0" xfId="0" applyNumberFormat="1" applyFont="1" applyAlignment="1">
      <alignment horizontal="center"/>
    </xf>
    <xf numFmtId="166" fontId="27" fillId="3" borderId="0" xfId="0" applyNumberFormat="1" applyFont="1" applyFill="1" applyAlignment="1">
      <alignment horizontal="left" vertical="center"/>
    </xf>
    <xf numFmtId="3" fontId="5" fillId="9" borderId="8" xfId="1" applyNumberFormat="1" applyFont="1" applyFill="1" applyBorder="1" applyAlignment="1" applyProtection="1">
      <alignment horizontal="center"/>
      <protection locked="0"/>
    </xf>
    <xf numFmtId="0" fontId="4" fillId="0" borderId="0" xfId="0" applyFont="1"/>
    <xf numFmtId="0" fontId="34" fillId="3" borderId="43" xfId="0" applyFont="1" applyFill="1" applyBorder="1"/>
    <xf numFmtId="0" fontId="34" fillId="3" borderId="0" xfId="0" applyFont="1" applyFill="1" applyAlignment="1">
      <alignment horizontal="center"/>
    </xf>
    <xf numFmtId="0" fontId="34" fillId="3" borderId="46" xfId="0" applyFont="1" applyFill="1" applyBorder="1"/>
    <xf numFmtId="0" fontId="37" fillId="0" borderId="0" xfId="0" applyFont="1"/>
    <xf numFmtId="0" fontId="0" fillId="0" borderId="0" xfId="0" applyAlignment="1">
      <alignment horizontal="center"/>
    </xf>
    <xf numFmtId="2" fontId="5" fillId="9" borderId="12" xfId="3" applyNumberFormat="1" applyFont="1" applyFill="1" applyBorder="1" applyAlignment="1" applyProtection="1">
      <alignment horizontal="center"/>
      <protection locked="0"/>
    </xf>
    <xf numFmtId="166" fontId="5" fillId="9" borderId="12" xfId="3" applyNumberFormat="1" applyFont="1" applyFill="1" applyBorder="1" applyAlignment="1" applyProtection="1">
      <alignment horizontal="center"/>
      <protection locked="0"/>
    </xf>
    <xf numFmtId="49" fontId="4" fillId="0" borderId="0" xfId="0" quotePrefix="1" applyNumberFormat="1" applyFont="1"/>
    <xf numFmtId="1" fontId="29" fillId="0" borderId="0" xfId="0" applyNumberFormat="1" applyFont="1" applyAlignment="1">
      <alignment horizontal="center"/>
    </xf>
    <xf numFmtId="0" fontId="0" fillId="0" borderId="0" xfId="0" applyAlignment="1">
      <alignment horizontal="left"/>
    </xf>
    <xf numFmtId="3" fontId="4" fillId="0" borderId="0" xfId="0" applyNumberFormat="1" applyFont="1"/>
    <xf numFmtId="0" fontId="5" fillId="8" borderId="0" xfId="3" applyFont="1" applyFill="1" applyAlignment="1">
      <alignment horizontal="left"/>
    </xf>
    <xf numFmtId="165" fontId="5" fillId="9" borderId="0" xfId="4" applyNumberFormat="1" applyFont="1" applyFill="1" applyBorder="1" applyAlignment="1" applyProtection="1">
      <alignment horizontal="center"/>
      <protection locked="0"/>
    </xf>
    <xf numFmtId="0" fontId="33" fillId="0" borderId="0" xfId="0" applyFont="1"/>
    <xf numFmtId="0" fontId="5" fillId="11" borderId="0" xfId="3" applyFont="1" applyFill="1"/>
    <xf numFmtId="3" fontId="5" fillId="11" borderId="0" xfId="3" applyNumberFormat="1" applyFont="1" applyFill="1"/>
    <xf numFmtId="39" fontId="5" fillId="11" borderId="0" xfId="1" applyNumberFormat="1" applyFont="1" applyFill="1" applyBorder="1"/>
    <xf numFmtId="1" fontId="27" fillId="3" borderId="0" xfId="0" applyNumberFormat="1" applyFont="1" applyFill="1" applyAlignment="1">
      <alignment horizontal="center"/>
    </xf>
    <xf numFmtId="1" fontId="29" fillId="5" borderId="40" xfId="0" applyNumberFormat="1" applyFont="1" applyFill="1" applyBorder="1" applyAlignment="1">
      <alignment horizontal="center"/>
    </xf>
    <xf numFmtId="1" fontId="29" fillId="0" borderId="0" xfId="0" applyNumberFormat="1" applyFont="1"/>
    <xf numFmtId="170" fontId="27" fillId="3" borderId="0" xfId="0" applyNumberFormat="1" applyFont="1" applyFill="1" applyAlignment="1">
      <alignment horizontal="center" vertical="center" wrapText="1"/>
    </xf>
    <xf numFmtId="170" fontId="31" fillId="5" borderId="40" xfId="8" applyNumberFormat="1" applyFont="1" applyFill="1" applyBorder="1" applyAlignment="1">
      <alignment vertical="center"/>
    </xf>
    <xf numFmtId="170" fontId="29" fillId="0" borderId="0" xfId="0" applyNumberFormat="1" applyFont="1" applyAlignment="1">
      <alignment horizontal="center"/>
    </xf>
    <xf numFmtId="170" fontId="29" fillId="0" borderId="0" xfId="0" applyNumberFormat="1" applyFont="1"/>
    <xf numFmtId="170" fontId="19" fillId="7" borderId="11" xfId="3" applyNumberFormat="1" applyFont="1" applyFill="1" applyBorder="1" applyAlignment="1">
      <alignment horizontal="center"/>
    </xf>
    <xf numFmtId="170" fontId="4" fillId="0" borderId="0" xfId="0" quotePrefix="1" applyNumberFormat="1" applyFont="1" applyAlignment="1">
      <alignment horizontal="center"/>
    </xf>
    <xf numFmtId="170" fontId="4" fillId="0" borderId="0" xfId="0" applyNumberFormat="1" applyFont="1" applyAlignment="1">
      <alignment horizontal="center"/>
    </xf>
    <xf numFmtId="2" fontId="5" fillId="9" borderId="8" xfId="3" applyNumberFormat="1" applyFont="1" applyFill="1" applyBorder="1" applyAlignment="1" applyProtection="1">
      <alignment horizontal="center"/>
      <protection locked="0"/>
    </xf>
    <xf numFmtId="0" fontId="27" fillId="3" borderId="0" xfId="0" applyFont="1" applyFill="1" applyAlignment="1">
      <alignment horizontal="right" vertical="center" textRotation="180"/>
    </xf>
    <xf numFmtId="0" fontId="27" fillId="3" borderId="0" xfId="0" applyFont="1" applyFill="1" applyAlignment="1">
      <alignment horizontal="right" vertical="center"/>
    </xf>
    <xf numFmtId="0" fontId="29" fillId="5" borderId="40" xfId="0" applyFont="1" applyFill="1" applyBorder="1" applyAlignment="1">
      <alignment horizontal="right"/>
    </xf>
    <xf numFmtId="0" fontId="29" fillId="0" borderId="0" xfId="0" applyFont="1" applyAlignment="1">
      <alignment horizontal="right"/>
    </xf>
    <xf numFmtId="0" fontId="29" fillId="0" borderId="0" xfId="0" applyFont="1" applyAlignment="1">
      <alignment horizontal="left"/>
    </xf>
    <xf numFmtId="1" fontId="5" fillId="7" borderId="11" xfId="3" applyNumberFormat="1" applyFont="1" applyFill="1" applyBorder="1"/>
    <xf numFmtId="1" fontId="5" fillId="10" borderId="26" xfId="3" applyNumberFormat="1" applyFont="1" applyFill="1" applyBorder="1"/>
    <xf numFmtId="1" fontId="5" fillId="7" borderId="15" xfId="3" applyNumberFormat="1" applyFont="1" applyFill="1" applyBorder="1"/>
    <xf numFmtId="1" fontId="5" fillId="10" borderId="35" xfId="3" applyNumberFormat="1" applyFont="1" applyFill="1" applyBorder="1"/>
    <xf numFmtId="0" fontId="20" fillId="8" borderId="0" xfId="3" applyFont="1" applyFill="1" applyAlignment="1">
      <alignment horizontal="left"/>
    </xf>
    <xf numFmtId="172" fontId="6" fillId="0" borderId="0" xfId="3" applyNumberFormat="1" applyFont="1"/>
    <xf numFmtId="170" fontId="27" fillId="3" borderId="0" xfId="0" applyNumberFormat="1" applyFont="1" applyFill="1" applyAlignment="1">
      <alignment horizontal="center"/>
    </xf>
    <xf numFmtId="170" fontId="29" fillId="5" borderId="40" xfId="0" applyNumberFormat="1" applyFont="1" applyFill="1" applyBorder="1" applyAlignment="1">
      <alignment horizontal="center"/>
    </xf>
    <xf numFmtId="170" fontId="39" fillId="0" borderId="12" xfId="3" applyNumberFormat="1" applyFont="1" applyBorder="1" applyAlignment="1" applyProtection="1">
      <alignment horizontal="center"/>
      <protection locked="0"/>
    </xf>
    <xf numFmtId="170" fontId="4" fillId="0" borderId="0" xfId="0" applyNumberFormat="1" applyFont="1"/>
    <xf numFmtId="0" fontId="33" fillId="3" borderId="0" xfId="0" applyFont="1" applyFill="1"/>
    <xf numFmtId="0" fontId="4" fillId="0" borderId="0" xfId="0" applyFont="1" applyAlignment="1">
      <alignment horizontal="left"/>
    </xf>
    <xf numFmtId="0" fontId="0" fillId="2" borderId="0" xfId="0" applyFill="1"/>
    <xf numFmtId="0" fontId="4" fillId="2" borderId="49" xfId="0" applyFont="1" applyFill="1" applyBorder="1"/>
    <xf numFmtId="49" fontId="4" fillId="2" borderId="50" xfId="0" applyNumberFormat="1" applyFont="1" applyFill="1" applyBorder="1"/>
    <xf numFmtId="0" fontId="4" fillId="2" borderId="50" xfId="0" applyFont="1" applyFill="1" applyBorder="1"/>
    <xf numFmtId="0" fontId="4" fillId="2" borderId="51" xfId="0" applyFont="1" applyFill="1" applyBorder="1"/>
    <xf numFmtId="0" fontId="4" fillId="2" borderId="52" xfId="0" applyFont="1" applyFill="1" applyBorder="1"/>
    <xf numFmtId="0" fontId="4" fillId="2" borderId="39" xfId="0" applyFont="1" applyFill="1" applyBorder="1"/>
    <xf numFmtId="0" fontId="37" fillId="2" borderId="39" xfId="0" applyFont="1" applyFill="1" applyBorder="1"/>
    <xf numFmtId="0" fontId="4" fillId="2" borderId="52" xfId="0" applyFont="1" applyFill="1" applyBorder="1" applyAlignment="1">
      <alignment horizontal="left"/>
    </xf>
    <xf numFmtId="0" fontId="4" fillId="2" borderId="39" xfId="0" applyFont="1" applyFill="1" applyBorder="1" applyAlignment="1">
      <alignment horizontal="left"/>
    </xf>
    <xf numFmtId="0" fontId="4" fillId="0" borderId="49" xfId="0" applyFont="1" applyBorder="1" applyAlignment="1">
      <alignment horizontal="center"/>
    </xf>
    <xf numFmtId="49" fontId="4" fillId="0" borderId="50" xfId="0" applyNumberFormat="1" applyFont="1" applyBorder="1"/>
    <xf numFmtId="49" fontId="4" fillId="0" borderId="50" xfId="0" quotePrefix="1" applyNumberFormat="1" applyFont="1" applyBorder="1"/>
    <xf numFmtId="170" fontId="4" fillId="0" borderId="50" xfId="0" quotePrefix="1" applyNumberFormat="1" applyFont="1" applyBorder="1" applyAlignment="1">
      <alignment horizontal="center"/>
    </xf>
    <xf numFmtId="170" fontId="4" fillId="0" borderId="50" xfId="0" applyNumberFormat="1" applyFont="1" applyBorder="1"/>
    <xf numFmtId="0" fontId="4" fillId="0" borderId="50" xfId="0" applyFont="1" applyBorder="1"/>
    <xf numFmtId="0" fontId="4" fillId="0" borderId="52" xfId="0" applyFont="1" applyBorder="1" applyAlignment="1">
      <alignment horizontal="center"/>
    </xf>
    <xf numFmtId="172" fontId="5" fillId="0" borderId="0" xfId="3" applyNumberFormat="1" applyFont="1"/>
    <xf numFmtId="0" fontId="3" fillId="0" borderId="0" xfId="3" applyFont="1"/>
    <xf numFmtId="172" fontId="3" fillId="0" borderId="0" xfId="3" applyNumberFormat="1" applyFont="1"/>
    <xf numFmtId="0" fontId="5" fillId="0" borderId="0" xfId="3" applyFont="1" applyAlignment="1">
      <alignment horizontal="right"/>
    </xf>
    <xf numFmtId="0" fontId="5" fillId="0" borderId="28" xfId="3" applyFont="1" applyBorder="1" applyAlignment="1">
      <alignment horizontal="right"/>
    </xf>
    <xf numFmtId="0" fontId="5" fillId="5" borderId="0" xfId="3" applyFont="1" applyFill="1"/>
    <xf numFmtId="0" fontId="5" fillId="5" borderId="0" xfId="0" applyFont="1" applyFill="1"/>
    <xf numFmtId="0" fontId="40" fillId="0" borderId="0" xfId="0" applyFont="1" applyAlignment="1">
      <alignment horizontal="right"/>
    </xf>
    <xf numFmtId="0" fontId="5" fillId="4" borderId="0" xfId="3" applyFont="1" applyFill="1" applyAlignment="1">
      <alignment horizontal="left"/>
    </xf>
    <xf numFmtId="3" fontId="5" fillId="0" borderId="8" xfId="1" applyNumberFormat="1" applyFont="1" applyFill="1" applyBorder="1" applyAlignment="1" applyProtection="1">
      <alignment horizontal="center"/>
      <protection locked="0"/>
    </xf>
    <xf numFmtId="0" fontId="5" fillId="12" borderId="0" xfId="3" applyFont="1" applyFill="1" applyAlignment="1">
      <alignment horizontal="center"/>
    </xf>
    <xf numFmtId="179" fontId="5" fillId="0" borderId="15" xfId="3" applyNumberFormat="1" applyFont="1" applyBorder="1" applyAlignment="1">
      <alignment horizontal="left" vertical="center" wrapText="1"/>
    </xf>
    <xf numFmtId="0" fontId="5" fillId="9" borderId="0" xfId="3" applyFont="1" applyFill="1" applyAlignment="1" applyProtection="1">
      <alignment horizontal="center"/>
      <protection locked="0"/>
    </xf>
    <xf numFmtId="0" fontId="5" fillId="4" borderId="0" xfId="3" applyFont="1" applyFill="1" applyAlignment="1">
      <alignment horizontal="left" wrapText="1"/>
    </xf>
    <xf numFmtId="0" fontId="42" fillId="0" borderId="0" xfId="0" applyFont="1"/>
    <xf numFmtId="0" fontId="5" fillId="16" borderId="8" xfId="3" applyFont="1" applyFill="1" applyBorder="1" applyAlignment="1">
      <alignment horizontal="right"/>
    </xf>
    <xf numFmtId="0" fontId="5" fillId="4" borderId="4" xfId="6" applyFont="1" applyFill="1" applyBorder="1" applyAlignment="1">
      <alignment vertical="center" wrapText="1"/>
    </xf>
    <xf numFmtId="2" fontId="5" fillId="7" borderId="12" xfId="3" applyNumberFormat="1" applyFont="1" applyFill="1" applyBorder="1" applyAlignment="1" applyProtection="1">
      <alignment horizontal="center"/>
      <protection locked="0"/>
    </xf>
    <xf numFmtId="0" fontId="45" fillId="0" borderId="0" xfId="0" applyFont="1" applyAlignment="1">
      <alignment vertical="center"/>
    </xf>
    <xf numFmtId="10" fontId="5" fillId="0" borderId="8" xfId="2" applyNumberFormat="1" applyFont="1" applyFill="1" applyBorder="1" applyAlignment="1" applyProtection="1">
      <alignment horizontal="center"/>
      <protection locked="0"/>
    </xf>
    <xf numFmtId="170" fontId="5" fillId="9" borderId="0" xfId="3" applyNumberFormat="1" applyFont="1" applyFill="1" applyAlignment="1" applyProtection="1">
      <alignment horizontal="center"/>
      <protection locked="0"/>
    </xf>
    <xf numFmtId="0" fontId="5" fillId="8" borderId="0" xfId="3" applyFont="1" applyFill="1" applyAlignment="1">
      <alignment horizontal="center"/>
    </xf>
    <xf numFmtId="0" fontId="7" fillId="8" borderId="0" xfId="3" applyFont="1" applyFill="1" applyAlignment="1">
      <alignment horizontal="left"/>
    </xf>
    <xf numFmtId="170" fontId="5" fillId="0" borderId="8" xfId="3" applyNumberFormat="1" applyFont="1" applyBorder="1" applyAlignment="1" applyProtection="1">
      <alignment horizontal="center"/>
      <protection locked="0"/>
    </xf>
    <xf numFmtId="0" fontId="47" fillId="0" borderId="0" xfId="3" applyFont="1"/>
    <xf numFmtId="0" fontId="33" fillId="0" borderId="0" xfId="3" applyFont="1"/>
    <xf numFmtId="166" fontId="40" fillId="0" borderId="0" xfId="0" applyNumberFormat="1" applyFont="1" applyAlignment="1">
      <alignment horizontal="right"/>
    </xf>
    <xf numFmtId="170" fontId="5" fillId="0" borderId="28" xfId="3" applyNumberFormat="1" applyFont="1" applyBorder="1" applyAlignment="1">
      <alignment horizontal="right"/>
    </xf>
    <xf numFmtId="175" fontId="40" fillId="0" borderId="0" xfId="1" applyNumberFormat="1" applyFont="1" applyFill="1" applyAlignment="1">
      <alignment horizontal="right"/>
    </xf>
    <xf numFmtId="0" fontId="48" fillId="0" borderId="55" xfId="10"/>
    <xf numFmtId="0" fontId="51" fillId="0" borderId="0" xfId="0" applyFont="1"/>
    <xf numFmtId="0" fontId="51" fillId="0" borderId="0" xfId="0" applyFont="1" applyAlignment="1">
      <alignment horizontal="center"/>
    </xf>
    <xf numFmtId="0" fontId="0" fillId="0" borderId="0" xfId="0" applyAlignment="1">
      <alignment horizontal="left" wrapText="1"/>
    </xf>
    <xf numFmtId="0" fontId="49" fillId="0" borderId="56" xfId="11"/>
    <xf numFmtId="0" fontId="0" fillId="0" borderId="54" xfId="0" applyBorder="1" applyAlignment="1">
      <alignment horizontal="center" vertical="center"/>
    </xf>
    <xf numFmtId="0" fontId="0" fillId="0" borderId="54" xfId="0" applyBorder="1" applyAlignment="1">
      <alignment vertical="center"/>
    </xf>
    <xf numFmtId="0" fontId="0" fillId="0" borderId="54" xfId="0" applyBorder="1" applyAlignment="1">
      <alignment horizontal="left" vertical="center" wrapText="1"/>
    </xf>
    <xf numFmtId="0" fontId="0" fillId="0" borderId="54" xfId="0" applyBorder="1" applyAlignment="1">
      <alignment horizontal="center" vertical="center" wrapText="1"/>
    </xf>
    <xf numFmtId="170" fontId="0" fillId="0" borderId="54" xfId="0" applyNumberFormat="1" applyBorder="1" applyAlignment="1">
      <alignment vertical="center"/>
    </xf>
    <xf numFmtId="170" fontId="42" fillId="0" borderId="54" xfId="0" applyNumberFormat="1" applyFont="1" applyBorder="1" applyAlignment="1">
      <alignment horizontal="right" vertical="center"/>
    </xf>
    <xf numFmtId="0" fontId="0" fillId="0" borderId="54" xfId="0" applyBorder="1"/>
    <xf numFmtId="9" fontId="50" fillId="17" borderId="54" xfId="12" applyNumberFormat="1" applyBorder="1"/>
    <xf numFmtId="0" fontId="50" fillId="17" borderId="54" xfId="12" applyNumberFormat="1" applyBorder="1"/>
    <xf numFmtId="170" fontId="38" fillId="14" borderId="54" xfId="9" applyNumberFormat="1" applyBorder="1"/>
    <xf numFmtId="0" fontId="44" fillId="16" borderId="54" xfId="3" applyFont="1" applyFill="1" applyBorder="1"/>
    <xf numFmtId="0" fontId="50" fillId="17" borderId="47" xfId="12"/>
    <xf numFmtId="0" fontId="50" fillId="17" borderId="47" xfId="12" applyAlignment="1">
      <alignment horizontal="right"/>
    </xf>
    <xf numFmtId="0" fontId="53" fillId="0" borderId="0" xfId="3" applyFont="1" applyAlignment="1">
      <alignment horizontal="left"/>
    </xf>
    <xf numFmtId="170" fontId="38" fillId="14" borderId="47" xfId="9" applyNumberFormat="1" applyAlignment="1">
      <alignment vertical="center"/>
    </xf>
    <xf numFmtId="170" fontId="40" fillId="0" borderId="0" xfId="0" applyNumberFormat="1" applyFont="1" applyAlignment="1">
      <alignment horizontal="right"/>
    </xf>
    <xf numFmtId="0" fontId="52" fillId="0" borderId="57" xfId="13"/>
    <xf numFmtId="170" fontId="52" fillId="0" borderId="57" xfId="13" applyNumberFormat="1"/>
    <xf numFmtId="0" fontId="51" fillId="0" borderId="53" xfId="0" applyFont="1" applyBorder="1"/>
    <xf numFmtId="0" fontId="7" fillId="8" borderId="13" xfId="3" applyFont="1" applyFill="1" applyBorder="1" applyAlignment="1">
      <alignment horizontal="left"/>
    </xf>
    <xf numFmtId="0" fontId="7" fillId="8" borderId="14" xfId="3" applyFont="1" applyFill="1" applyBorder="1" applyAlignment="1">
      <alignment horizontal="left"/>
    </xf>
    <xf numFmtId="0" fontId="7" fillId="8" borderId="15" xfId="3" applyFont="1" applyFill="1" applyBorder="1" applyAlignment="1">
      <alignment horizontal="left"/>
    </xf>
    <xf numFmtId="0" fontId="5" fillId="8" borderId="13" xfId="3" applyFont="1" applyFill="1" applyBorder="1" applyAlignment="1">
      <alignment horizontal="left"/>
    </xf>
    <xf numFmtId="0" fontId="5" fillId="8" borderId="14" xfId="3" applyFont="1" applyFill="1" applyBorder="1" applyAlignment="1">
      <alignment horizontal="left"/>
    </xf>
    <xf numFmtId="0" fontId="5" fillId="8" borderId="15" xfId="3" applyFont="1" applyFill="1" applyBorder="1" applyAlignment="1">
      <alignment horizontal="left"/>
    </xf>
    <xf numFmtId="0" fontId="44" fillId="0" borderId="0" xfId="3" applyFont="1" applyAlignment="1">
      <alignment horizontal="right"/>
    </xf>
    <xf numFmtId="165" fontId="12" fillId="7" borderId="11" xfId="3" applyNumberFormat="1" applyFont="1" applyFill="1" applyBorder="1" applyAlignment="1">
      <alignment horizontal="center"/>
    </xf>
    <xf numFmtId="0" fontId="29" fillId="0" borderId="0" xfId="0" applyFont="1" applyAlignment="1">
      <alignment vertical="center"/>
    </xf>
    <xf numFmtId="0" fontId="0" fillId="6" borderId="0" xfId="0" applyFill="1"/>
    <xf numFmtId="1" fontId="31" fillId="6" borderId="48" xfId="8" applyNumberFormat="1" applyFont="1" applyFill="1" applyBorder="1" applyAlignment="1">
      <alignment horizontal="left" vertical="center"/>
    </xf>
    <xf numFmtId="0" fontId="27" fillId="6" borderId="0" xfId="0" applyFont="1" applyFill="1" applyAlignment="1">
      <alignment horizontal="center"/>
    </xf>
    <xf numFmtId="0" fontId="29" fillId="6" borderId="0" xfId="0" applyFont="1" applyFill="1" applyAlignment="1">
      <alignment vertical="center"/>
    </xf>
    <xf numFmtId="0" fontId="27" fillId="16" borderId="0" xfId="0" applyFont="1" applyFill="1" applyAlignment="1">
      <alignment horizontal="center"/>
    </xf>
    <xf numFmtId="0" fontId="27" fillId="15" borderId="0" xfId="0" applyFont="1" applyFill="1" applyAlignment="1">
      <alignment horizontal="center"/>
    </xf>
    <xf numFmtId="0" fontId="27" fillId="0" borderId="0" xfId="0" applyFont="1"/>
    <xf numFmtId="170" fontId="29" fillId="6" borderId="58" xfId="8" applyNumberFormat="1" applyFont="1" applyFill="1" applyBorder="1" applyAlignment="1">
      <alignment horizontal="center" vertical="center"/>
    </xf>
    <xf numFmtId="1" fontId="29" fillId="6" borderId="58" xfId="8" applyNumberFormat="1" applyFont="1" applyFill="1" applyBorder="1" applyAlignment="1">
      <alignment horizontal="center" vertical="center"/>
    </xf>
    <xf numFmtId="170" fontId="38" fillId="6" borderId="59" xfId="9" applyNumberFormat="1" applyFill="1" applyBorder="1" applyAlignment="1">
      <alignment horizontal="center" vertical="center"/>
    </xf>
    <xf numFmtId="1" fontId="29" fillId="6" borderId="58" xfId="0" applyNumberFormat="1" applyFont="1" applyFill="1" applyBorder="1" applyAlignment="1">
      <alignment horizontal="center" vertical="center"/>
    </xf>
    <xf numFmtId="178" fontId="29" fillId="6" borderId="58" xfId="0" applyNumberFormat="1" applyFont="1" applyFill="1" applyBorder="1" applyAlignment="1">
      <alignment horizontal="center" vertical="center"/>
    </xf>
    <xf numFmtId="0" fontId="29" fillId="16" borderId="44" xfId="0" applyFont="1" applyFill="1" applyBorder="1" applyAlignment="1">
      <alignment horizontal="right"/>
    </xf>
    <xf numFmtId="1" fontId="31" fillId="16" borderId="0" xfId="8" applyNumberFormat="1" applyFont="1" applyFill="1" applyBorder="1" applyAlignment="1">
      <alignment horizontal="left" vertical="center"/>
    </xf>
    <xf numFmtId="1" fontId="31" fillId="16" borderId="0" xfId="8" applyNumberFormat="1" applyFont="1" applyFill="1" applyBorder="1" applyAlignment="1">
      <alignment vertical="center"/>
    </xf>
    <xf numFmtId="1" fontId="29" fillId="16" borderId="43" xfId="8" applyNumberFormat="1" applyFont="1" applyFill="1" applyBorder="1" applyAlignment="1">
      <alignment horizontal="center" vertical="center"/>
    </xf>
    <xf numFmtId="170" fontId="31" fillId="16" borderId="0" xfId="8" applyNumberFormat="1" applyFont="1" applyFill="1" applyBorder="1" applyAlignment="1">
      <alignment vertical="center"/>
    </xf>
    <xf numFmtId="1" fontId="31" fillId="16" borderId="0" xfId="8" applyNumberFormat="1" applyFont="1" applyFill="1" applyBorder="1" applyAlignment="1">
      <alignment horizontal="center" vertical="center"/>
    </xf>
    <xf numFmtId="170" fontId="32" fillId="16" borderId="0" xfId="8" applyNumberFormat="1" applyFont="1" applyFill="1" applyBorder="1" applyAlignment="1">
      <alignment vertical="center"/>
    </xf>
    <xf numFmtId="1" fontId="29" fillId="16" borderId="0" xfId="0" applyNumberFormat="1" applyFont="1" applyFill="1" applyAlignment="1">
      <alignment horizontal="center"/>
    </xf>
    <xf numFmtId="0" fontId="29" fillId="16" borderId="45" xfId="0" applyFont="1" applyFill="1" applyBorder="1" applyAlignment="1">
      <alignment horizontal="center"/>
    </xf>
    <xf numFmtId="170" fontId="29" fillId="16" borderId="45" xfId="0" applyNumberFormat="1" applyFont="1" applyFill="1" applyBorder="1" applyAlignment="1">
      <alignment horizontal="center"/>
    </xf>
    <xf numFmtId="0" fontId="29" fillId="15" borderId="44" xfId="0" applyFont="1" applyFill="1" applyBorder="1" applyAlignment="1">
      <alignment horizontal="right"/>
    </xf>
    <xf numFmtId="1" fontId="31" fillId="15" borderId="0" xfId="8" applyNumberFormat="1" applyFont="1" applyFill="1" applyBorder="1" applyAlignment="1">
      <alignment horizontal="left" vertical="center"/>
    </xf>
    <xf numFmtId="1" fontId="31" fillId="15" borderId="0" xfId="8" applyNumberFormat="1" applyFont="1" applyFill="1" applyBorder="1" applyAlignment="1">
      <alignment vertical="center"/>
    </xf>
    <xf numFmtId="1" fontId="29" fillId="15" borderId="43" xfId="8" applyNumberFormat="1" applyFont="1" applyFill="1" applyBorder="1" applyAlignment="1">
      <alignment horizontal="center" vertical="center"/>
    </xf>
    <xf numFmtId="170" fontId="31" fillId="15" borderId="0" xfId="8" applyNumberFormat="1" applyFont="1" applyFill="1" applyBorder="1" applyAlignment="1">
      <alignment vertical="center"/>
    </xf>
    <xf numFmtId="1" fontId="31" fillId="15" borderId="0" xfId="8" applyNumberFormat="1" applyFont="1" applyFill="1" applyBorder="1" applyAlignment="1">
      <alignment horizontal="center" vertical="center"/>
    </xf>
    <xf numFmtId="170" fontId="32" fillId="15" borderId="0" xfId="8" applyNumberFormat="1" applyFont="1" applyFill="1" applyBorder="1" applyAlignment="1">
      <alignment vertical="center"/>
    </xf>
    <xf numFmtId="1" fontId="29" fillId="15" borderId="0" xfId="0" applyNumberFormat="1" applyFont="1" applyFill="1" applyAlignment="1">
      <alignment horizontal="center"/>
    </xf>
    <xf numFmtId="0" fontId="29" fillId="15" borderId="45" xfId="0" applyFont="1" applyFill="1" applyBorder="1" applyAlignment="1">
      <alignment horizontal="center"/>
    </xf>
    <xf numFmtId="170" fontId="29" fillId="15" borderId="45" xfId="0" applyNumberFormat="1" applyFont="1" applyFill="1" applyBorder="1" applyAlignment="1">
      <alignment horizontal="center"/>
    </xf>
    <xf numFmtId="0" fontId="30" fillId="0" borderId="54" xfId="8" applyFill="1" applyBorder="1"/>
    <xf numFmtId="170" fontId="29" fillId="0" borderId="54" xfId="8" applyNumberFormat="1" applyFont="1" applyFill="1" applyBorder="1" applyAlignment="1">
      <alignment horizontal="center" vertical="center"/>
    </xf>
    <xf numFmtId="1" fontId="29" fillId="0" borderId="54" xfId="8" applyNumberFormat="1" applyFont="1" applyFill="1" applyBorder="1" applyAlignment="1">
      <alignment horizontal="center" vertical="center"/>
    </xf>
    <xf numFmtId="165" fontId="29" fillId="0" borderId="54" xfId="8" applyNumberFormat="1" applyFont="1" applyFill="1" applyBorder="1" applyAlignment="1">
      <alignment horizontal="center" vertical="center"/>
    </xf>
    <xf numFmtId="170" fontId="4" fillId="0" borderId="54" xfId="9" applyNumberFormat="1" applyFont="1" applyFill="1" applyBorder="1" applyAlignment="1">
      <alignment horizontal="center" vertical="center"/>
    </xf>
    <xf numFmtId="1" fontId="29" fillId="0" borderId="54" xfId="0" applyNumberFormat="1" applyFont="1" applyBorder="1" applyAlignment="1">
      <alignment horizontal="center" vertical="center"/>
    </xf>
    <xf numFmtId="178" fontId="29" fillId="0" borderId="54" xfId="0" applyNumberFormat="1" applyFont="1" applyBorder="1" applyAlignment="1">
      <alignment horizontal="center" vertical="center"/>
    </xf>
    <xf numFmtId="0" fontId="27" fillId="3" borderId="54" xfId="0" applyFont="1" applyFill="1" applyBorder="1" applyAlignment="1">
      <alignment horizontal="center"/>
    </xf>
    <xf numFmtId="0" fontId="30" fillId="0" borderId="54" xfId="8" quotePrefix="1" applyFill="1" applyBorder="1"/>
    <xf numFmtId="0" fontId="29" fillId="0" borderId="60" xfId="0" applyFont="1" applyBorder="1" applyAlignment="1">
      <alignment vertical="center"/>
    </xf>
    <xf numFmtId="4" fontId="5" fillId="8" borderId="8" xfId="5" applyNumberFormat="1" applyFont="1" applyFill="1" applyBorder="1" applyAlignment="1">
      <alignment horizontal="center"/>
    </xf>
    <xf numFmtId="170" fontId="29" fillId="0" borderId="54" xfId="8" applyNumberFormat="1" applyFont="1" applyBorder="1" applyAlignment="1">
      <alignment horizontal="center" vertical="center"/>
    </xf>
    <xf numFmtId="10" fontId="5" fillId="9" borderId="8" xfId="4" applyNumberFormat="1" applyFont="1" applyFill="1" applyBorder="1" applyAlignment="1" applyProtection="1">
      <alignment horizontal="center"/>
      <protection locked="0"/>
    </xf>
    <xf numFmtId="165" fontId="4" fillId="0" borderId="0" xfId="0" quotePrefix="1" applyNumberFormat="1" applyFont="1" applyAlignment="1">
      <alignment horizontal="center"/>
    </xf>
    <xf numFmtId="49" fontId="4" fillId="2" borderId="0" xfId="0" applyNumberFormat="1" applyFont="1" applyFill="1" applyBorder="1"/>
    <xf numFmtId="0" fontId="4" fillId="2" borderId="0" xfId="0" applyFont="1" applyFill="1" applyBorder="1"/>
    <xf numFmtId="0" fontId="33" fillId="13" borderId="0" xfId="0" applyFont="1" applyFill="1" applyBorder="1"/>
    <xf numFmtId="49" fontId="33" fillId="13" borderId="0" xfId="0" applyNumberFormat="1" applyFont="1" applyFill="1" applyBorder="1"/>
    <xf numFmtId="0" fontId="4" fillId="0" borderId="0" xfId="0" applyFont="1" applyBorder="1"/>
    <xf numFmtId="49" fontId="4" fillId="0" borderId="0" xfId="0" quotePrefix="1" applyNumberFormat="1" applyFont="1" applyBorder="1"/>
    <xf numFmtId="0" fontId="33" fillId="3" borderId="49" xfId="0" applyFont="1" applyFill="1" applyBorder="1" applyAlignment="1">
      <alignment horizontal="left"/>
    </xf>
    <xf numFmtId="0" fontId="33" fillId="3" borderId="51" xfId="0" applyFont="1" applyFill="1" applyBorder="1"/>
    <xf numFmtId="0" fontId="34" fillId="3" borderId="52" xfId="0" applyFont="1" applyFill="1" applyBorder="1" applyAlignment="1">
      <alignment horizontal="center"/>
    </xf>
    <xf numFmtId="0" fontId="34" fillId="3" borderId="39" xfId="0" applyFont="1" applyFill="1" applyBorder="1" applyAlignment="1">
      <alignment horizontal="center"/>
    </xf>
    <xf numFmtId="165" fontId="4" fillId="0" borderId="52" xfId="0" applyNumberFormat="1" applyFont="1" applyBorder="1" applyAlignment="1">
      <alignment horizontal="center"/>
    </xf>
    <xf numFmtId="49" fontId="4" fillId="0" borderId="39" xfId="0" quotePrefix="1" applyNumberFormat="1" applyFont="1" applyBorder="1"/>
    <xf numFmtId="170" fontId="4" fillId="0" borderId="52" xfId="0" applyNumberFormat="1" applyFont="1" applyBorder="1" applyAlignment="1">
      <alignment horizontal="center"/>
    </xf>
    <xf numFmtId="0" fontId="0" fillId="0" borderId="52" xfId="0" quotePrefix="1" applyBorder="1" applyAlignment="1">
      <alignment horizontal="center"/>
    </xf>
    <xf numFmtId="49" fontId="4" fillId="0" borderId="0" xfId="0" applyNumberFormat="1" applyFont="1" applyBorder="1"/>
    <xf numFmtId="0" fontId="4" fillId="2" borderId="0" xfId="0" applyFont="1" applyFill="1" applyBorder="1" applyAlignment="1">
      <alignment horizontal="left"/>
    </xf>
    <xf numFmtId="0" fontId="0" fillId="0" borderId="0" xfId="0" applyBorder="1" applyAlignment="1">
      <alignment horizontal="left"/>
    </xf>
    <xf numFmtId="0" fontId="0" fillId="0" borderId="0" xfId="0" applyBorder="1"/>
    <xf numFmtId="0" fontId="0" fillId="0" borderId="0" xfId="0" applyBorder="1" applyAlignment="1">
      <alignment horizontal="center"/>
    </xf>
    <xf numFmtId="165" fontId="4" fillId="0" borderId="0" xfId="0" applyNumberFormat="1" applyFont="1" applyBorder="1"/>
    <xf numFmtId="0" fontId="0" fillId="2" borderId="0" xfId="0" applyFill="1" applyBorder="1"/>
    <xf numFmtId="0" fontId="0" fillId="2" borderId="0" xfId="0" quotePrefix="1" applyFill="1" applyBorder="1"/>
    <xf numFmtId="0" fontId="33" fillId="3" borderId="49" xfId="0" applyFont="1" applyFill="1" applyBorder="1" applyAlignment="1">
      <alignment horizontal="center"/>
    </xf>
    <xf numFmtId="0" fontId="34" fillId="3" borderId="62" xfId="0" applyFont="1" applyFill="1" applyBorder="1"/>
    <xf numFmtId="0" fontId="33" fillId="3" borderId="52" xfId="0" applyFont="1" applyFill="1" applyBorder="1" applyAlignment="1">
      <alignment horizontal="center"/>
    </xf>
    <xf numFmtId="0" fontId="33" fillId="13" borderId="51" xfId="0" applyFont="1" applyFill="1" applyBorder="1" applyAlignment="1">
      <alignment horizontal="left"/>
    </xf>
    <xf numFmtId="165" fontId="4" fillId="0" borderId="50" xfId="0" quotePrefix="1" applyNumberFormat="1" applyFont="1" applyBorder="1" applyAlignment="1">
      <alignment horizontal="center"/>
    </xf>
    <xf numFmtId="0" fontId="34" fillId="3" borderId="50" xfId="0" applyFont="1" applyFill="1" applyBorder="1"/>
    <xf numFmtId="0" fontId="34" fillId="3" borderId="0" xfId="0" applyFont="1" applyFill="1" applyBorder="1"/>
    <xf numFmtId="0" fontId="33" fillId="13" borderId="49" xfId="0" applyFont="1" applyFill="1" applyBorder="1" applyAlignment="1">
      <alignment horizontal="center"/>
    </xf>
    <xf numFmtId="0" fontId="35" fillId="2" borderId="52" xfId="0" applyFont="1" applyFill="1" applyBorder="1" applyAlignment="1">
      <alignment horizontal="left"/>
    </xf>
    <xf numFmtId="0" fontId="35" fillId="2" borderId="52" xfId="0" applyFont="1" applyFill="1" applyBorder="1" applyAlignment="1">
      <alignment vertical="top"/>
    </xf>
    <xf numFmtId="165" fontId="5" fillId="0" borderId="28" xfId="3" applyNumberFormat="1" applyFont="1" applyBorder="1" applyAlignment="1">
      <alignment horizontal="right"/>
    </xf>
    <xf numFmtId="165" fontId="40" fillId="0" borderId="0" xfId="0" applyNumberFormat="1" applyFont="1" applyAlignment="1">
      <alignment horizontal="right"/>
    </xf>
    <xf numFmtId="0" fontId="4" fillId="2" borderId="65" xfId="0" applyFont="1" applyFill="1" applyBorder="1" applyAlignment="1">
      <alignment horizontal="left"/>
    </xf>
    <xf numFmtId="0" fontId="4" fillId="2" borderId="66" xfId="0" applyFont="1" applyFill="1" applyBorder="1" applyAlignment="1">
      <alignment horizontal="left"/>
    </xf>
    <xf numFmtId="0" fontId="35" fillId="2" borderId="64" xfId="0" applyFont="1" applyFill="1" applyBorder="1" applyAlignment="1">
      <alignment horizontal="left"/>
    </xf>
    <xf numFmtId="0" fontId="35" fillId="2" borderId="65" xfId="0" applyFont="1" applyFill="1" applyBorder="1" applyAlignment="1">
      <alignment horizontal="left"/>
    </xf>
    <xf numFmtId="0" fontId="4" fillId="2" borderId="65" xfId="0" quotePrefix="1" applyFont="1" applyFill="1" applyBorder="1" applyAlignment="1">
      <alignment horizontal="left"/>
    </xf>
    <xf numFmtId="49" fontId="33" fillId="13" borderId="49" xfId="0" applyNumberFormat="1" applyFont="1" applyFill="1" applyBorder="1"/>
    <xf numFmtId="0" fontId="35" fillId="2" borderId="49" xfId="0" applyFont="1" applyFill="1" applyBorder="1" applyAlignment="1">
      <alignment horizontal="left" vertical="top"/>
    </xf>
    <xf numFmtId="0" fontId="0" fillId="2" borderId="39" xfId="0" applyFill="1" applyBorder="1" applyAlignment="1">
      <alignment horizontal="left"/>
    </xf>
    <xf numFmtId="0" fontId="0" fillId="2" borderId="61" xfId="0" applyFill="1" applyBorder="1"/>
    <xf numFmtId="170" fontId="50" fillId="17" borderId="67" xfId="12" applyNumberFormat="1" applyBorder="1" applyAlignment="1">
      <alignment horizontal="center"/>
    </xf>
    <xf numFmtId="170" fontId="50" fillId="17" borderId="68" xfId="12" applyNumberFormat="1" applyBorder="1" applyAlignment="1">
      <alignment horizontal="center"/>
    </xf>
    <xf numFmtId="170" fontId="50" fillId="17" borderId="69" xfId="12" applyNumberFormat="1" applyBorder="1" applyAlignment="1">
      <alignment horizontal="center"/>
    </xf>
    <xf numFmtId="165" fontId="50" fillId="17" borderId="69" xfId="12" applyNumberFormat="1" applyBorder="1" applyAlignment="1">
      <alignment horizontal="center"/>
    </xf>
    <xf numFmtId="170" fontId="50" fillId="17" borderId="70" xfId="12" applyNumberFormat="1" applyBorder="1" applyAlignment="1">
      <alignment horizontal="center" vertical="center"/>
    </xf>
    <xf numFmtId="170" fontId="50" fillId="17" borderId="68" xfId="12" applyNumberFormat="1" applyBorder="1" applyAlignment="1">
      <alignment horizontal="center" vertical="center"/>
    </xf>
    <xf numFmtId="0" fontId="50" fillId="17" borderId="71" xfId="12" applyBorder="1" applyAlignment="1">
      <alignment horizontal="center"/>
    </xf>
    <xf numFmtId="165" fontId="50" fillId="17" borderId="63" xfId="12" applyNumberFormat="1" applyBorder="1" applyAlignment="1">
      <alignment horizontal="center"/>
    </xf>
    <xf numFmtId="0" fontId="29" fillId="0" borderId="54" xfId="0" applyFont="1" applyBorder="1" applyAlignment="1">
      <alignment vertical="center"/>
    </xf>
    <xf numFmtId="170" fontId="31" fillId="15" borderId="54" xfId="8" applyNumberFormat="1" applyFont="1" applyFill="1" applyBorder="1" applyAlignment="1">
      <alignment vertical="center"/>
    </xf>
    <xf numFmtId="170" fontId="31" fillId="16" borderId="54" xfId="8" applyNumberFormat="1" applyFont="1" applyFill="1" applyBorder="1" applyAlignment="1">
      <alignment vertical="center"/>
    </xf>
    <xf numFmtId="170" fontId="29" fillId="0" borderId="54" xfId="8" quotePrefix="1" applyNumberFormat="1" applyFont="1" applyFill="1" applyBorder="1" applyAlignment="1">
      <alignment horizontal="center" vertical="center"/>
    </xf>
    <xf numFmtId="0" fontId="43" fillId="0" borderId="0" xfId="3" applyFont="1" applyAlignment="1">
      <alignment horizontal="left"/>
    </xf>
    <xf numFmtId="0" fontId="23" fillId="3" borderId="0" xfId="3" applyFont="1" applyFill="1" applyAlignment="1">
      <alignment horizontal="left" vertical="center"/>
    </xf>
    <xf numFmtId="0" fontId="44" fillId="7" borderId="54" xfId="3" applyFont="1" applyFill="1" applyBorder="1" applyAlignment="1">
      <alignment horizontal="left"/>
    </xf>
    <xf numFmtId="0" fontId="44" fillId="12" borderId="54" xfId="3" applyFont="1" applyFill="1" applyBorder="1" applyAlignment="1">
      <alignment horizontal="left"/>
    </xf>
    <xf numFmtId="0" fontId="54" fillId="3" borderId="0" xfId="0" applyFont="1" applyFill="1" applyAlignment="1">
      <alignment horizontal="center" vertical="center" wrapText="1"/>
    </xf>
    <xf numFmtId="0" fontId="35" fillId="2" borderId="65" xfId="0" applyFont="1" applyFill="1" applyBorder="1" applyAlignment="1">
      <alignment horizontal="left" vertical="center"/>
    </xf>
    <xf numFmtId="0" fontId="34" fillId="3" borderId="41" xfId="0" applyFont="1" applyFill="1" applyBorder="1" applyAlignment="1">
      <alignment horizontal="left"/>
    </xf>
    <xf numFmtId="0" fontId="34" fillId="3" borderId="42" xfId="0" applyFont="1" applyFill="1" applyBorder="1" applyAlignment="1">
      <alignment horizontal="left"/>
    </xf>
    <xf numFmtId="0" fontId="4" fillId="2" borderId="65" xfId="0" applyFont="1" applyFill="1" applyBorder="1" applyAlignment="1">
      <alignment horizontal="left" vertical="center"/>
    </xf>
    <xf numFmtId="0" fontId="0" fillId="0" borderId="54" xfId="0" applyBorder="1" applyAlignment="1">
      <alignment horizontal="left" vertical="center"/>
    </xf>
    <xf numFmtId="0" fontId="0" fillId="0" borderId="54" xfId="0" applyBorder="1" applyAlignment="1"/>
    <xf numFmtId="0" fontId="51" fillId="0" borderId="0" xfId="0" applyFont="1" applyAlignment="1"/>
    <xf numFmtId="0" fontId="0" fillId="0" borderId="54" xfId="0" applyBorder="1" applyAlignment="1">
      <alignment wrapText="1"/>
    </xf>
    <xf numFmtId="0" fontId="5" fillId="8" borderId="13" xfId="3" applyFont="1" applyFill="1" applyBorder="1" applyAlignment="1">
      <alignment horizontal="left"/>
    </xf>
    <xf numFmtId="0" fontId="5" fillId="8" borderId="14" xfId="3" applyFont="1" applyFill="1" applyBorder="1" applyAlignment="1">
      <alignment horizontal="left"/>
    </xf>
    <xf numFmtId="0" fontId="5" fillId="8" borderId="15" xfId="3" applyFont="1" applyFill="1" applyBorder="1" applyAlignment="1">
      <alignment horizontal="left"/>
    </xf>
    <xf numFmtId="0" fontId="3" fillId="3" borderId="10" xfId="3" applyFont="1" applyFill="1" applyBorder="1" applyAlignment="1">
      <alignment horizontal="left"/>
    </xf>
    <xf numFmtId="0" fontId="3" fillId="3" borderId="0" xfId="3" applyFont="1" applyFill="1" applyAlignment="1">
      <alignment horizontal="left"/>
    </xf>
    <xf numFmtId="0" fontId="7" fillId="8" borderId="13" xfId="3" applyFont="1" applyFill="1" applyBorder="1" applyAlignment="1">
      <alignment horizontal="left"/>
    </xf>
    <xf numFmtId="0" fontId="7" fillId="8" borderId="14" xfId="3" applyFont="1" applyFill="1" applyBorder="1" applyAlignment="1">
      <alignment horizontal="left"/>
    </xf>
    <xf numFmtId="0" fontId="7" fillId="8" borderId="15" xfId="3" applyFont="1" applyFill="1" applyBorder="1" applyAlignment="1">
      <alignment horizontal="left"/>
    </xf>
    <xf numFmtId="0" fontId="5" fillId="3" borderId="10" xfId="3" applyFont="1" applyFill="1" applyBorder="1" applyAlignment="1">
      <alignment horizontal="left"/>
    </xf>
    <xf numFmtId="0" fontId="5" fillId="3" borderId="0" xfId="3" applyFont="1" applyFill="1" applyAlignment="1">
      <alignment horizontal="left"/>
    </xf>
    <xf numFmtId="0" fontId="7" fillId="8" borderId="13" xfId="3" quotePrefix="1" applyFont="1" applyFill="1" applyBorder="1" applyAlignment="1">
      <alignment horizontal="left"/>
    </xf>
    <xf numFmtId="0" fontId="20" fillId="8" borderId="13" xfId="3" applyFont="1" applyFill="1" applyBorder="1" applyAlignment="1">
      <alignment horizontal="left"/>
    </xf>
    <xf numFmtId="0" fontId="20" fillId="8" borderId="14" xfId="3" applyFont="1" applyFill="1" applyBorder="1" applyAlignment="1">
      <alignment horizontal="left"/>
    </xf>
    <xf numFmtId="0" fontId="20" fillId="8" borderId="15" xfId="3" applyFont="1" applyFill="1" applyBorder="1" applyAlignment="1">
      <alignment horizontal="left"/>
    </xf>
    <xf numFmtId="0" fontId="16" fillId="0" borderId="19" xfId="0" applyFont="1" applyBorder="1" applyAlignment="1">
      <alignment horizontal="left" vertical="center"/>
    </xf>
    <xf numFmtId="0" fontId="3" fillId="3" borderId="17" xfId="3" applyFont="1" applyFill="1" applyBorder="1" applyAlignment="1">
      <alignment horizontal="left"/>
    </xf>
    <xf numFmtId="0" fontId="3" fillId="3" borderId="18" xfId="3" applyFont="1" applyFill="1" applyBorder="1" applyAlignment="1">
      <alignment horizontal="left"/>
    </xf>
  </cellXfs>
  <cellStyles count="14">
    <cellStyle name="Calculation" xfId="9" builtinId="22"/>
    <cellStyle name="Comma" xfId="1" builtinId="3"/>
    <cellStyle name="Comma 2 2" xfId="5" xr:uid="{A07AA011-667A-4DC4-95C2-A60C555DCE24}"/>
    <cellStyle name="Comma 2 4" xfId="7" xr:uid="{2CC97DCB-6EFE-4717-B200-BF457FBC7330}"/>
    <cellStyle name="Heading 1" xfId="10" builtinId="16"/>
    <cellStyle name="Heading 2" xfId="11" builtinId="17"/>
    <cellStyle name="Hyperlink" xfId="8" builtinId="8"/>
    <cellStyle name="Input" xfId="12" builtinId="20"/>
    <cellStyle name="Linked Cell" xfId="13" builtinId="24"/>
    <cellStyle name="Normal" xfId="0" builtinId="0"/>
    <cellStyle name="Normal 2" xfId="3" xr:uid="{B1FEEBDC-1FEB-468C-BE82-EA5A0D54099B}"/>
    <cellStyle name="Normal_factsheet01" xfId="6" xr:uid="{3D688832-FCE4-4CC2-9757-3804BC7F65D7}"/>
    <cellStyle name="Percent" xfId="2" builtinId="5"/>
    <cellStyle name="Percent 2" xfId="4" xr:uid="{33EE1709-9B5A-456B-B725-D361286CC9A4}"/>
  </cellStyles>
  <dxfs count="99">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strike val="0"/>
        <outline val="0"/>
        <shadow val="0"/>
        <u val="none"/>
        <vertAlign val="baseline"/>
        <sz val="11"/>
        <color theme="0"/>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1"/>
        <color theme="0"/>
        <name val="Calibri"/>
        <family val="2"/>
        <scheme val="minor"/>
      </font>
    </dxf>
  </dxfs>
  <tableStyles count="0" defaultTableStyle="TableStyleMedium2" defaultPivotStyle="PivotStyleLight16"/>
  <colors>
    <mruColors>
      <color rgb="FFDBA381"/>
      <color rgb="FF9AB400"/>
      <color rgb="FFDEECC6"/>
      <color rgb="FFE0DDEB"/>
      <color rgb="FFBEB7D3"/>
      <color rgb="FFEBD1BB"/>
      <color rgb="FFC2DD97"/>
      <color rgb="FFE1DED5"/>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7</xdr:row>
      <xdr:rowOff>28575</xdr:rowOff>
    </xdr:from>
    <xdr:to>
      <xdr:col>2</xdr:col>
      <xdr:colOff>4522254</xdr:colOff>
      <xdr:row>18</xdr:row>
      <xdr:rowOff>139065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2457450"/>
          <a:ext cx="5545239" cy="1924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34</xdr:row>
      <xdr:rowOff>1</xdr:rowOff>
    </xdr:from>
    <xdr:to>
      <xdr:col>4</xdr:col>
      <xdr:colOff>2409265</xdr:colOff>
      <xdr:row>85</xdr:row>
      <xdr:rowOff>116513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37882" y="9099177"/>
          <a:ext cx="8034618" cy="983201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6BF4D1-2915-4A2B-A46A-2B9CB13F8001}" name="lst_productie_eenheid" displayName="lst_productie_eenheid" ref="A34:A38" totalsRowShown="0" headerRowDxfId="98" dataDxfId="97" headerRowCellStyle="Normal 2" dataCellStyle="Normal 2">
  <autoFilter ref="A34:A38" xr:uid="{98DBE779-15A9-42AE-B73B-51673335FD8B}"/>
  <tableColumns count="1">
    <tableColumn id="1" xr3:uid="{702DE851-41BA-4AC1-A420-FB168B26B753}" name="Productie eenheid" dataDxfId="96"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CA9965-C858-4F12-B1B7-A559381E2E07}" name="lst_vermogenseenheid" displayName="lst_vermogenseenheid" ref="A42:A47" totalsRowShown="0" headerRowDxfId="95" headerRowCellStyle="Normal 2" dataCellStyle="Normal 2">
  <autoFilter ref="A42:A47" xr:uid="{95D606F8-7084-43A0-A5A1-49EF7B666DE1}"/>
  <tableColumns count="1">
    <tableColumn id="1" xr3:uid="{A30CC551-C8EE-4888-AA72-CCC5DBDD5A4C}" name="Vermogenseenheid"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E2A947-DC62-40F9-B5B3-9F6746C42D3B}" name="Table5" displayName="Table5" ref="A50:A56" totalsRowShown="0" headerRowDxfId="94" headerRowCellStyle="Normal 2" dataCellStyle="Normal 2">
  <autoFilter ref="A50:A56" xr:uid="{98E2A947-DC62-40F9-B5B3-9F6746C42D3B}"/>
  <sortState xmlns:xlrd2="http://schemas.microsoft.com/office/spreadsheetml/2017/richdata2" ref="A51:A56">
    <sortCondition ref="A51:A56"/>
  </sortState>
  <tableColumns count="1">
    <tableColumn id="1" xr3:uid="{EF7941E8-F0FB-42C6-82DF-393FC452C740}" name="Domeinen"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4C90-7A0B-4717-BDBA-593465F06B50}">
  <sheetPr codeName="Sheet5">
    <tabColor theme="9"/>
  </sheetPr>
  <dimension ref="A1:P56"/>
  <sheetViews>
    <sheetView showGridLines="0" tabSelected="1" topLeftCell="A6" zoomScaleNormal="100" workbookViewId="0">
      <selection activeCell="B43" sqref="B43"/>
    </sheetView>
  </sheetViews>
  <sheetFormatPr defaultColWidth="9.28515625" defaultRowHeight="12.75" x14ac:dyDescent="0.2"/>
  <cols>
    <col min="1" max="1" width="22.28515625" style="17" customWidth="1"/>
    <col min="2" max="2" width="15.42578125" style="17" customWidth="1"/>
    <col min="3" max="3" width="69.28515625" style="17" customWidth="1"/>
    <col min="4" max="16384" width="9.28515625" style="17"/>
  </cols>
  <sheetData>
    <row r="1" spans="1:16" s="146" customFormat="1" ht="26.25" customHeight="1" x14ac:dyDescent="0.25">
      <c r="A1" s="145"/>
      <c r="B1" s="145"/>
      <c r="C1" s="145"/>
      <c r="E1" s="147"/>
      <c r="F1" s="148"/>
    </row>
    <row r="2" spans="1:16" s="146" customFormat="1" ht="17.25" customHeight="1" x14ac:dyDescent="0.25">
      <c r="A2" s="145"/>
      <c r="B2" s="407" t="s">
        <v>0</v>
      </c>
      <c r="C2" s="407"/>
    </row>
    <row r="3" spans="1:16" s="151" customFormat="1" ht="33.75" customHeight="1" x14ac:dyDescent="0.4">
      <c r="A3" s="149"/>
      <c r="B3" s="150"/>
      <c r="C3" s="163" t="str">
        <f>B22&amp;" "&amp;B21</f>
        <v>SCE 2024</v>
      </c>
      <c r="E3" s="152"/>
      <c r="F3" s="152"/>
      <c r="K3" s="153"/>
      <c r="L3" s="152"/>
      <c r="M3" s="152"/>
      <c r="N3" s="154"/>
      <c r="O3" s="152"/>
      <c r="P3" s="152"/>
    </row>
    <row r="4" spans="1:16" s="158" customFormat="1" ht="33.75" customHeight="1" x14ac:dyDescent="0.25">
      <c r="A4" s="155"/>
      <c r="B4" s="156" t="s">
        <v>1</v>
      </c>
      <c r="C4" s="157" t="s">
        <v>2</v>
      </c>
    </row>
    <row r="5" spans="1:16" s="158" customFormat="1" ht="33.75" customHeight="1" x14ac:dyDescent="0.25">
      <c r="A5" s="155"/>
      <c r="B5" s="156" t="s">
        <v>3</v>
      </c>
      <c r="C5" s="254">
        <v>45321</v>
      </c>
    </row>
    <row r="6" spans="1:16" s="158" customFormat="1" ht="33.75" customHeight="1" x14ac:dyDescent="0.25">
      <c r="A6" s="155"/>
      <c r="B6" s="156" t="s">
        <v>4</v>
      </c>
      <c r="C6" s="159" t="str">
        <f>"Eindadvies "&amp; B22&amp;" "&amp;B21</f>
        <v>Eindadvies SCE 2024</v>
      </c>
    </row>
    <row r="7" spans="1:16" s="158" customFormat="1" x14ac:dyDescent="0.25">
      <c r="A7" s="155"/>
      <c r="B7" s="160" t="s">
        <v>5</v>
      </c>
      <c r="C7" s="161" t="s">
        <v>6</v>
      </c>
    </row>
    <row r="8" spans="1:16" x14ac:dyDescent="0.2">
      <c r="A8" s="28"/>
      <c r="B8" s="162"/>
      <c r="C8" s="162"/>
    </row>
    <row r="9" spans="1:16" ht="15" x14ac:dyDescent="0.25">
      <c r="A9" s="28"/>
      <c r="B9" s="162"/>
      <c r="C9" s="162"/>
      <c r="E9"/>
    </row>
    <row r="10" spans="1:16" x14ac:dyDescent="0.2">
      <c r="A10" s="28"/>
      <c r="B10" s="162"/>
      <c r="C10" s="162"/>
    </row>
    <row r="11" spans="1:16" x14ac:dyDescent="0.2">
      <c r="A11" s="28"/>
      <c r="B11" s="162"/>
      <c r="C11" s="162"/>
    </row>
    <row r="12" spans="1:16" x14ac:dyDescent="0.2">
      <c r="A12" s="28"/>
      <c r="B12" s="162"/>
      <c r="C12" s="162"/>
    </row>
    <row r="13" spans="1:16" x14ac:dyDescent="0.2">
      <c r="A13" s="28"/>
      <c r="B13" s="162"/>
      <c r="C13" s="162"/>
    </row>
    <row r="14" spans="1:16" x14ac:dyDescent="0.2">
      <c r="A14" s="28"/>
      <c r="B14" s="162"/>
      <c r="C14" s="162"/>
    </row>
    <row r="15" spans="1:16" x14ac:dyDescent="0.2">
      <c r="A15" s="28"/>
      <c r="B15" s="162"/>
      <c r="C15" s="162"/>
    </row>
    <row r="16" spans="1:16" x14ac:dyDescent="0.2">
      <c r="A16" s="28"/>
      <c r="B16" s="162"/>
      <c r="C16" s="162"/>
    </row>
    <row r="17" spans="1:3" x14ac:dyDescent="0.2">
      <c r="A17" s="28"/>
      <c r="B17" s="162"/>
      <c r="C17" s="162"/>
    </row>
    <row r="18" spans="1:3" x14ac:dyDescent="0.2">
      <c r="A18" s="28"/>
      <c r="B18" s="162"/>
      <c r="C18" s="162"/>
    </row>
    <row r="19" spans="1:3" x14ac:dyDescent="0.2">
      <c r="A19" s="28"/>
      <c r="B19" s="162"/>
      <c r="C19" s="162"/>
    </row>
    <row r="20" spans="1:3" ht="18.75" x14ac:dyDescent="0.3">
      <c r="A20" s="406" t="s">
        <v>7</v>
      </c>
      <c r="B20" s="406"/>
      <c r="C20" s="406"/>
    </row>
    <row r="21" spans="1:3" ht="15" x14ac:dyDescent="0.25">
      <c r="A21" s="28" t="s">
        <v>8</v>
      </c>
      <c r="B21" s="288">
        <v>2024</v>
      </c>
      <c r="C21" s="28"/>
    </row>
    <row r="22" spans="1:3" ht="15" x14ac:dyDescent="0.25">
      <c r="A22" s="28" t="s">
        <v>9</v>
      </c>
      <c r="B22" s="289" t="s">
        <v>10</v>
      </c>
      <c r="C22" s="28"/>
    </row>
    <row r="23" spans="1:3" x14ac:dyDescent="0.2">
      <c r="A23" s="290" t="s">
        <v>11</v>
      </c>
      <c r="B23" s="302">
        <f>IF(B22="sce",3,IF(B22="sde++",4,"je moet sde of sce invullen hierboven"))</f>
        <v>3</v>
      </c>
      <c r="C23" s="28"/>
    </row>
    <row r="24" spans="1:3" x14ac:dyDescent="0.2">
      <c r="A24" s="28"/>
      <c r="B24" s="162"/>
      <c r="C24" s="162"/>
    </row>
    <row r="25" spans="1:3" x14ac:dyDescent="0.2">
      <c r="A25" s="28"/>
      <c r="B25" s="162"/>
      <c r="C25" s="162"/>
    </row>
    <row r="26" spans="1:3" ht="18.75" x14ac:dyDescent="0.3">
      <c r="A26" s="406" t="s">
        <v>12</v>
      </c>
      <c r="B26" s="406"/>
      <c r="C26" s="406"/>
    </row>
    <row r="27" spans="1:3" x14ac:dyDescent="0.2">
      <c r="A27" s="408" t="s">
        <v>13</v>
      </c>
      <c r="B27" s="408"/>
      <c r="C27" s="408"/>
    </row>
    <row r="28" spans="1:3" x14ac:dyDescent="0.2">
      <c r="A28" s="409" t="s">
        <v>14</v>
      </c>
      <c r="B28" s="409"/>
      <c r="C28" s="409"/>
    </row>
    <row r="29" spans="1:3" x14ac:dyDescent="0.2">
      <c r="A29" s="287" t="s">
        <v>15</v>
      </c>
      <c r="B29" s="287"/>
      <c r="C29" s="287"/>
    </row>
    <row r="30" spans="1:3" x14ac:dyDescent="0.2">
      <c r="A30" s="28"/>
      <c r="B30" s="28"/>
      <c r="C30" s="28"/>
    </row>
    <row r="31" spans="1:3" x14ac:dyDescent="0.2">
      <c r="B31" s="28"/>
      <c r="C31" s="28"/>
    </row>
    <row r="32" spans="1:3" ht="18.75" x14ac:dyDescent="0.3">
      <c r="A32" s="406" t="s">
        <v>16</v>
      </c>
      <c r="B32" s="406"/>
      <c r="C32" s="406"/>
    </row>
    <row r="34" spans="1:3" ht="15" x14ac:dyDescent="0.25">
      <c r="A34" s="267" t="s">
        <v>17</v>
      </c>
      <c r="B34" s="28"/>
      <c r="C34" s="28"/>
    </row>
    <row r="35" spans="1:3" x14ac:dyDescent="0.2">
      <c r="A35" s="17" t="s">
        <v>18</v>
      </c>
      <c r="B35" s="28"/>
      <c r="C35" s="28"/>
    </row>
    <row r="36" spans="1:3" x14ac:dyDescent="0.2">
      <c r="A36" s="28" t="s">
        <v>19</v>
      </c>
      <c r="B36" s="28"/>
      <c r="C36" s="28"/>
    </row>
    <row r="37" spans="1:3" x14ac:dyDescent="0.2">
      <c r="A37" s="28"/>
      <c r="B37" s="28"/>
      <c r="C37" s="28"/>
    </row>
    <row r="38" spans="1:3" x14ac:dyDescent="0.2">
      <c r="A38" s="28"/>
      <c r="B38" s="28"/>
      <c r="C38" s="28"/>
    </row>
    <row r="39" spans="1:3" x14ac:dyDescent="0.2">
      <c r="A39" s="28"/>
      <c r="B39" s="28"/>
      <c r="C39" s="28"/>
    </row>
    <row r="42" spans="1:3" ht="15" x14ac:dyDescent="0.25">
      <c r="A42" s="267" t="s">
        <v>20</v>
      </c>
    </row>
    <row r="43" spans="1:3" x14ac:dyDescent="0.2">
      <c r="A43" s="17" t="s">
        <v>21</v>
      </c>
    </row>
    <row r="44" spans="1:3" x14ac:dyDescent="0.2">
      <c r="A44" s="17" t="s">
        <v>22</v>
      </c>
    </row>
    <row r="50" spans="1:1" ht="15" x14ac:dyDescent="0.25">
      <c r="A50" s="268" t="s">
        <v>23</v>
      </c>
    </row>
    <row r="51" spans="1:1" x14ac:dyDescent="0.2">
      <c r="A51" s="17" t="s">
        <v>24</v>
      </c>
    </row>
    <row r="52" spans="1:1" x14ac:dyDescent="0.2">
      <c r="A52" s="17" t="s">
        <v>25</v>
      </c>
    </row>
    <row r="53" spans="1:1" x14ac:dyDescent="0.2">
      <c r="A53" s="17" t="s">
        <v>404</v>
      </c>
    </row>
    <row r="54" spans="1:1" x14ac:dyDescent="0.2">
      <c r="A54" s="17" t="s">
        <v>405</v>
      </c>
    </row>
    <row r="55" spans="1:1" x14ac:dyDescent="0.2">
      <c r="A55" s="17" t="s">
        <v>26</v>
      </c>
    </row>
    <row r="56" spans="1:1" x14ac:dyDescent="0.2">
      <c r="A56" s="17" t="s">
        <v>27</v>
      </c>
    </row>
  </sheetData>
  <mergeCells count="6">
    <mergeCell ref="A32:C32"/>
    <mergeCell ref="B2:C2"/>
    <mergeCell ref="A26:C26"/>
    <mergeCell ref="A27:C27"/>
    <mergeCell ref="A28:C28"/>
    <mergeCell ref="A20:C20"/>
  </mergeCells>
  <pageMargins left="0.75" right="0.75" top="1" bottom="1" header="0.5" footer="0.5"/>
  <pageSetup paperSize="9" orientation="portrait" r:id="rId1"/>
  <headerFooter alignWithMargins="0"/>
  <customProperties>
    <customPr name="EpmWorksheetKeyString_GUID" r:id="rId2"/>
  </customProperties>
  <drawing r:id="rId3"/>
  <tableParts count="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4E70-9697-48C8-A301-E6B6BCDD10AD}">
  <sheetPr codeName="Sheet97">
    <tabColor theme="5"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375</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0.16600000000000001</v>
      </c>
      <c r="D5" s="113" t="str">
        <f>CONCATENATE("Euro/",$C$9)</f>
        <v>Euro/kWh</v>
      </c>
      <c r="E5" s="424"/>
      <c r="F5" s="425"/>
      <c r="G5" s="425"/>
      <c r="H5" s="425"/>
      <c r="I5" s="425"/>
      <c r="J5" s="425"/>
      <c r="K5" s="425"/>
      <c r="L5" s="425"/>
      <c r="M5" s="426"/>
      <c r="N5" s="26"/>
    </row>
    <row r="6" spans="1:14" x14ac:dyDescent="0.2">
      <c r="B6" s="4" t="s">
        <v>203</v>
      </c>
      <c r="C6" s="114">
        <f>ROUND((C5-C7)/C8*1000,0)</f>
        <v>952</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"&amp;IFERROR(INDEX(Correctiebedragen!$A$1:$M$256,MATCH('6'!C12,Correctiebedragen!$A$1:$A$256,0),9),"")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IFERROR(INDEX(Correctiebedragen!$A$1:$M$256,MATCH('6'!C16,Correctiebedragen!$A$1:$A$256,0),9),"")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IFERROR(INDEX(Correctiebedragen!$A$1:$M$256,MATCH('6'!C17,Correctiebedragen!$A$1:$A$256,0),9),"")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IFERROR(ROUND(INDEX(Correctiebedragen!$A$1:$K$7,MATCH('6'!C16,Correctiebedragen!$A$1:$A$7,0),8),decimalen),"n.v.t.")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IFERROR(ROUND(INDEX(Correctiebedragen!$A$1:$K$7,MATCH('6'!C17,Correctiebedragen!$A$1:$A$7,0),8),decimalen),"n.v.t.")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15</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15</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2140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2853</v>
      </c>
      <c r="D47" s="32" t="str">
        <f>CONCATENATE("Euro/",$C$10)</f>
        <v>Euro/kW</v>
      </c>
    </row>
    <row r="48" spans="2:13" x14ac:dyDescent="0.2">
      <c r="B48" s="6" t="s">
        <v>245</v>
      </c>
      <c r="C48" s="44">
        <f>IF(C99&lt;&gt;0,((C30*C46+SUM(C35,C37)*C47)+C99)/1000000,((C30*C46+SUM(C35,C37)*C47)*(1+C98*C87))/1000000)</f>
        <v>4.3073167499999995E-2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19</v>
      </c>
      <c r="D50" s="32" t="str">
        <f>CONCATENATE("Euro/",$C$10,"/jaar")</f>
        <v>Euro/kW/jaar</v>
      </c>
      <c r="E50" s="424"/>
      <c r="F50" s="425"/>
      <c r="G50" s="425"/>
      <c r="H50" s="425"/>
      <c r="I50" s="425"/>
      <c r="J50" s="425"/>
      <c r="K50" s="425"/>
      <c r="L50" s="425"/>
      <c r="M50" s="426"/>
    </row>
    <row r="51" spans="2:13" x14ac:dyDescent="0.2">
      <c r="B51" s="6" t="s">
        <v>249</v>
      </c>
      <c r="C51" s="347">
        <f>(C49*C30+C50*SUM(C35,C37))/1000</f>
        <v>0.28499999999999998</v>
      </c>
      <c r="D51" s="34" t="s">
        <v>250</v>
      </c>
      <c r="E51" s="424"/>
      <c r="F51" s="425"/>
      <c r="G51" s="425"/>
      <c r="H51" s="425"/>
      <c r="I51" s="425"/>
      <c r="J51" s="425"/>
      <c r="K51" s="425"/>
      <c r="L51" s="425"/>
      <c r="M51" s="426"/>
    </row>
    <row r="52" spans="2:13" x14ac:dyDescent="0.2">
      <c r="B52" s="6" t="s">
        <v>251</v>
      </c>
      <c r="C52" s="266">
        <v>2.2200000000000001E-2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2140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0.06</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-43073.167499999996</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32100</v>
      </c>
      <c r="F111" s="78">
        <f t="shared" ref="F111:AR111" si="2">IF(F108&lt;=$C$94,$C$37*$C$39,IF(AND(F108&gt;$C$94,F108&lt;=$C$91),$C$37*$C$77,0))*IF($C$41=0,1,$C$42/$C$41)</f>
        <v>32100</v>
      </c>
      <c r="G111" s="78">
        <f t="shared" si="2"/>
        <v>32100</v>
      </c>
      <c r="H111" s="78">
        <f t="shared" si="2"/>
        <v>32100</v>
      </c>
      <c r="I111" s="78">
        <f t="shared" si="2"/>
        <v>32100</v>
      </c>
      <c r="J111" s="78">
        <f t="shared" si="2"/>
        <v>32100</v>
      </c>
      <c r="K111" s="78">
        <f t="shared" si="2"/>
        <v>32100</v>
      </c>
      <c r="L111" s="78">
        <f t="shared" si="2"/>
        <v>32100</v>
      </c>
      <c r="M111" s="78">
        <f t="shared" si="2"/>
        <v>32100</v>
      </c>
      <c r="N111" s="78">
        <f t="shared" si="2"/>
        <v>32100</v>
      </c>
      <c r="O111" s="78">
        <f t="shared" si="2"/>
        <v>32100</v>
      </c>
      <c r="P111" s="78">
        <f t="shared" si="2"/>
        <v>32100</v>
      </c>
      <c r="Q111" s="78">
        <f t="shared" si="2"/>
        <v>32100</v>
      </c>
      <c r="R111" s="78">
        <f t="shared" si="2"/>
        <v>32100</v>
      </c>
      <c r="S111" s="78">
        <f t="shared" si="2"/>
        <v>32100</v>
      </c>
      <c r="T111" s="78">
        <f t="shared" si="2"/>
        <v>32100</v>
      </c>
      <c r="U111" s="78">
        <f t="shared" si="2"/>
        <v>32100</v>
      </c>
      <c r="V111" s="78">
        <f t="shared" si="2"/>
        <v>32100</v>
      </c>
      <c r="W111" s="78">
        <f t="shared" si="2"/>
        <v>32100</v>
      </c>
      <c r="X111" s="78">
        <f t="shared" si="2"/>
        <v>32100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32100</v>
      </c>
      <c r="F114" s="84">
        <f t="shared" ref="F114:AR114" si="5">SUM(F111:F113)</f>
        <v>32100</v>
      </c>
      <c r="G114" s="84">
        <f t="shared" si="5"/>
        <v>32100</v>
      </c>
      <c r="H114" s="84">
        <f t="shared" si="5"/>
        <v>32100</v>
      </c>
      <c r="I114" s="84">
        <f t="shared" si="5"/>
        <v>32100</v>
      </c>
      <c r="J114" s="84">
        <f t="shared" si="5"/>
        <v>32100</v>
      </c>
      <c r="K114" s="84">
        <f t="shared" si="5"/>
        <v>32100</v>
      </c>
      <c r="L114" s="84">
        <f t="shared" si="5"/>
        <v>32100</v>
      </c>
      <c r="M114" s="84">
        <f t="shared" si="5"/>
        <v>32100</v>
      </c>
      <c r="N114" s="84">
        <f t="shared" si="5"/>
        <v>32100</v>
      </c>
      <c r="O114" s="84">
        <f t="shared" si="5"/>
        <v>32100</v>
      </c>
      <c r="P114" s="84">
        <f t="shared" si="5"/>
        <v>32100</v>
      </c>
      <c r="Q114" s="84">
        <f t="shared" si="5"/>
        <v>32100</v>
      </c>
      <c r="R114" s="84">
        <f t="shared" si="5"/>
        <v>32100</v>
      </c>
      <c r="S114" s="84">
        <f t="shared" si="5"/>
        <v>32100</v>
      </c>
      <c r="T114" s="84">
        <f t="shared" si="5"/>
        <v>32100</v>
      </c>
      <c r="U114" s="84">
        <f t="shared" si="5"/>
        <v>32100</v>
      </c>
      <c r="V114" s="84">
        <f t="shared" si="5"/>
        <v>32100</v>
      </c>
      <c r="W114" s="84">
        <f t="shared" si="5"/>
        <v>32100</v>
      </c>
      <c r="X114" s="84">
        <f t="shared" si="5"/>
        <v>32100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-997.62</v>
      </c>
      <c r="F116" s="78">
        <f t="shared" si="6"/>
        <v>-1017.5724</v>
      </c>
      <c r="G116" s="78">
        <f t="shared" si="6"/>
        <v>-1037.9238479999999</v>
      </c>
      <c r="H116" s="78">
        <f t="shared" si="6"/>
        <v>-1058.68232496</v>
      </c>
      <c r="I116" s="78">
        <f t="shared" si="6"/>
        <v>-1079.8559714592</v>
      </c>
      <c r="J116" s="78">
        <f t="shared" si="6"/>
        <v>-1101.4530908883839</v>
      </c>
      <c r="K116" s="78">
        <f t="shared" si="6"/>
        <v>-1123.4821527061517</v>
      </c>
      <c r="L116" s="78">
        <f t="shared" si="6"/>
        <v>-1145.9517957602745</v>
      </c>
      <c r="M116" s="78">
        <f t="shared" si="6"/>
        <v>-1168.8708316754801</v>
      </c>
      <c r="N116" s="78">
        <f t="shared" si="6"/>
        <v>-1192.2482483089898</v>
      </c>
      <c r="O116" s="78">
        <f t="shared" si="6"/>
        <v>-1216.0932132751695</v>
      </c>
      <c r="P116" s="78">
        <f t="shared" si="6"/>
        <v>-1240.4150775406727</v>
      </c>
      <c r="Q116" s="78">
        <f t="shared" si="6"/>
        <v>-1265.2233790914863</v>
      </c>
      <c r="R116" s="78">
        <f t="shared" si="6"/>
        <v>-1290.5278466733162</v>
      </c>
      <c r="S116" s="78">
        <f t="shared" si="6"/>
        <v>-1316.3384036067825</v>
      </c>
      <c r="T116" s="78">
        <f t="shared" si="6"/>
        <v>-1342.6651716789179</v>
      </c>
      <c r="U116" s="78">
        <f t="shared" si="6"/>
        <v>-1369.5184751124964</v>
      </c>
      <c r="V116" s="78">
        <f t="shared" si="6"/>
        <v>-1396.9088446147464</v>
      </c>
      <c r="W116" s="78">
        <f t="shared" si="6"/>
        <v>-1424.8470215070413</v>
      </c>
      <c r="X116" s="78">
        <f t="shared" si="6"/>
        <v>-1453.343961937182</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3149.4530398289116</v>
      </c>
      <c r="U123" s="81">
        <f t="shared" si="13"/>
        <v>3212.4421006254902</v>
      </c>
      <c r="V123" s="81">
        <f t="shared" si="13"/>
        <v>3276.6909426380007</v>
      </c>
      <c r="W123" s="81">
        <f t="shared" si="13"/>
        <v>3342.2247614907601</v>
      </c>
      <c r="X123" s="81">
        <f t="shared" si="13"/>
        <v>3409.0692567205756</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3149.4530398289116</v>
      </c>
      <c r="U126" s="78">
        <f t="shared" si="15"/>
        <v>3212.4421006254902</v>
      </c>
      <c r="V126" s="78">
        <f t="shared" si="15"/>
        <v>3276.6909426380007</v>
      </c>
      <c r="W126" s="78">
        <f t="shared" si="15"/>
        <v>3342.2247614907601</v>
      </c>
      <c r="X126" s="78">
        <f t="shared" si="15"/>
        <v>3409.0692567205756</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-997.62</v>
      </c>
      <c r="F127" s="81">
        <f t="shared" si="16"/>
        <v>-1017.5724</v>
      </c>
      <c r="G127" s="81">
        <f t="shared" si="16"/>
        <v>-1037.9238479999999</v>
      </c>
      <c r="H127" s="81">
        <f t="shared" si="16"/>
        <v>-1058.68232496</v>
      </c>
      <c r="I127" s="81">
        <f t="shared" si="16"/>
        <v>-1079.8559714592</v>
      </c>
      <c r="J127" s="81">
        <f t="shared" si="16"/>
        <v>-1101.4530908883839</v>
      </c>
      <c r="K127" s="81">
        <f t="shared" si="16"/>
        <v>-1123.4821527061517</v>
      </c>
      <c r="L127" s="81">
        <f t="shared" si="16"/>
        <v>-1145.9517957602745</v>
      </c>
      <c r="M127" s="81">
        <f t="shared" si="16"/>
        <v>-1168.8708316754801</v>
      </c>
      <c r="N127" s="81">
        <f t="shared" si="16"/>
        <v>-1192.2482483089898</v>
      </c>
      <c r="O127" s="81">
        <f t="shared" si="16"/>
        <v>-1216.0932132751695</v>
      </c>
      <c r="P127" s="81">
        <f t="shared" si="16"/>
        <v>-1240.4150775406727</v>
      </c>
      <c r="Q127" s="81">
        <f t="shared" si="16"/>
        <v>-1265.2233790914863</v>
      </c>
      <c r="R127" s="81">
        <f t="shared" si="16"/>
        <v>-1290.5278466733162</v>
      </c>
      <c r="S127" s="81">
        <f t="shared" si="16"/>
        <v>-1316.3384036067825</v>
      </c>
      <c r="T127" s="81">
        <f t="shared" si="16"/>
        <v>-1342.6651716789179</v>
      </c>
      <c r="U127" s="81">
        <f t="shared" si="16"/>
        <v>-1369.5184751124964</v>
      </c>
      <c r="V127" s="81">
        <f t="shared" si="16"/>
        <v>-1396.9088446147464</v>
      </c>
      <c r="W127" s="81">
        <f t="shared" si="16"/>
        <v>-1424.8470215070413</v>
      </c>
      <c r="X127" s="81">
        <f t="shared" si="16"/>
        <v>-1453.343961937182</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-997.62</v>
      </c>
      <c r="F128" s="90">
        <f t="shared" ref="F128:AR128" si="17">SUM(F126:F127)</f>
        <v>-1017.5724</v>
      </c>
      <c r="G128" s="90">
        <f t="shared" si="17"/>
        <v>-1037.9238479999999</v>
      </c>
      <c r="H128" s="90">
        <f t="shared" si="17"/>
        <v>-1058.68232496</v>
      </c>
      <c r="I128" s="90">
        <f t="shared" si="17"/>
        <v>-1079.8559714592</v>
      </c>
      <c r="J128" s="90">
        <f t="shared" si="17"/>
        <v>-1101.4530908883839</v>
      </c>
      <c r="K128" s="90">
        <f t="shared" si="17"/>
        <v>-1123.4821527061517</v>
      </c>
      <c r="L128" s="90">
        <f t="shared" si="17"/>
        <v>-1145.9517957602745</v>
      </c>
      <c r="M128" s="90">
        <f t="shared" si="17"/>
        <v>-1168.8708316754801</v>
      </c>
      <c r="N128" s="90">
        <f t="shared" si="17"/>
        <v>-1192.2482483089898</v>
      </c>
      <c r="O128" s="90">
        <f t="shared" si="17"/>
        <v>-1216.0932132751695</v>
      </c>
      <c r="P128" s="90">
        <f t="shared" si="17"/>
        <v>-1240.4150775406727</v>
      </c>
      <c r="Q128" s="90">
        <f t="shared" si="17"/>
        <v>-1265.2233790914863</v>
      </c>
      <c r="R128" s="90">
        <f t="shared" si="17"/>
        <v>-1290.5278466733162</v>
      </c>
      <c r="S128" s="90">
        <f t="shared" si="17"/>
        <v>-1316.3384036067825</v>
      </c>
      <c r="T128" s="90">
        <f t="shared" si="17"/>
        <v>1806.7878681499938</v>
      </c>
      <c r="U128" s="90">
        <f t="shared" si="17"/>
        <v>1842.9236255129938</v>
      </c>
      <c r="V128" s="90">
        <f t="shared" si="17"/>
        <v>1879.7820980232543</v>
      </c>
      <c r="W128" s="90">
        <f t="shared" si="17"/>
        <v>1917.3777399837188</v>
      </c>
      <c r="X128" s="90">
        <f t="shared" si="17"/>
        <v>1955.7252947833936</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-2871.5444999999995</v>
      </c>
      <c r="F130" s="78">
        <f t="shared" si="18"/>
        <v>-2871.5444999999995</v>
      </c>
      <c r="G130" s="78">
        <f t="shared" si="18"/>
        <v>-2871.5444999999995</v>
      </c>
      <c r="H130" s="78">
        <f t="shared" si="18"/>
        <v>-2871.5444999999995</v>
      </c>
      <c r="I130" s="78">
        <f t="shared" si="18"/>
        <v>-2871.5444999999995</v>
      </c>
      <c r="J130" s="78">
        <f t="shared" si="18"/>
        <v>-2871.5444999999995</v>
      </c>
      <c r="K130" s="78">
        <f t="shared" si="18"/>
        <v>-2871.5444999999995</v>
      </c>
      <c r="L130" s="78">
        <f t="shared" si="18"/>
        <v>-2871.5444999999995</v>
      </c>
      <c r="M130" s="78">
        <f t="shared" si="18"/>
        <v>-2871.5444999999995</v>
      </c>
      <c r="N130" s="78">
        <f t="shared" si="18"/>
        <v>-2871.5444999999995</v>
      </c>
      <c r="O130" s="78">
        <f t="shared" si="18"/>
        <v>-2871.5444999999995</v>
      </c>
      <c r="P130" s="78">
        <f t="shared" si="18"/>
        <v>-2871.5444999999995</v>
      </c>
      <c r="Q130" s="78">
        <f t="shared" si="18"/>
        <v>-2871.5444999999995</v>
      </c>
      <c r="R130" s="78">
        <f t="shared" si="18"/>
        <v>-2871.5444999999995</v>
      </c>
      <c r="S130" s="78">
        <f t="shared" si="18"/>
        <v>-2871.5444999999995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-1679.8535324999998</v>
      </c>
      <c r="F131" s="81">
        <f t="shared" si="19"/>
        <v>-1607.6823817037039</v>
      </c>
      <c r="G131" s="81">
        <f t="shared" si="19"/>
        <v>-1531.1809618596308</v>
      </c>
      <c r="H131" s="81">
        <f t="shared" si="19"/>
        <v>-1450.0894568249128</v>
      </c>
      <c r="I131" s="81">
        <f t="shared" si="19"/>
        <v>-1364.1324614881119</v>
      </c>
      <c r="J131" s="81">
        <f t="shared" si="19"/>
        <v>-1273.0180464311027</v>
      </c>
      <c r="K131" s="81">
        <f t="shared" si="19"/>
        <v>-1176.4367664706733</v>
      </c>
      <c r="L131" s="81">
        <f t="shared" si="19"/>
        <v>-1074.0606097126179</v>
      </c>
      <c r="M131" s="81">
        <f t="shared" si="19"/>
        <v>-965.54188354907922</v>
      </c>
      <c r="N131" s="81">
        <f t="shared" si="19"/>
        <v>-850.51203381572827</v>
      </c>
      <c r="O131" s="81">
        <f t="shared" si="19"/>
        <v>-728.58039309837648</v>
      </c>
      <c r="P131" s="81">
        <f t="shared" si="19"/>
        <v>-599.33285393798326</v>
      </c>
      <c r="Q131" s="81">
        <f t="shared" si="19"/>
        <v>-462.33046242796649</v>
      </c>
      <c r="R131" s="81">
        <f t="shared" si="19"/>
        <v>-317.10792742734878</v>
      </c>
      <c r="S131" s="81">
        <f t="shared" si="19"/>
        <v>-163.17204032669406</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-1202.8525132715956</v>
      </c>
      <c r="F132" s="81">
        <f t="shared" si="20"/>
        <v>-1275.0236640678913</v>
      </c>
      <c r="G132" s="81">
        <f t="shared" si="20"/>
        <v>-1351.5250839119649</v>
      </c>
      <c r="H132" s="81">
        <f t="shared" si="20"/>
        <v>-1432.6165889466827</v>
      </c>
      <c r="I132" s="81">
        <f t="shared" si="20"/>
        <v>-1518.5735842834836</v>
      </c>
      <c r="J132" s="81">
        <f t="shared" si="20"/>
        <v>-1609.6879993404925</v>
      </c>
      <c r="K132" s="81">
        <f t="shared" si="20"/>
        <v>-1706.2692793009221</v>
      </c>
      <c r="L132" s="81">
        <f t="shared" si="20"/>
        <v>-1808.6454360589776</v>
      </c>
      <c r="M132" s="81">
        <f t="shared" si="20"/>
        <v>-1917.1641622225161</v>
      </c>
      <c r="N132" s="81">
        <f t="shared" si="20"/>
        <v>-2032.1940119558667</v>
      </c>
      <c r="O132" s="81">
        <f t="shared" si="20"/>
        <v>-2154.1256526732191</v>
      </c>
      <c r="P132" s="81">
        <f t="shared" si="20"/>
        <v>-2283.3731918336121</v>
      </c>
      <c r="Q132" s="81">
        <f t="shared" si="20"/>
        <v>-2420.3755833436289</v>
      </c>
      <c r="R132" s="81">
        <f t="shared" si="20"/>
        <v>-2565.5981183442468</v>
      </c>
      <c r="S132" s="81">
        <f t="shared" si="20"/>
        <v>-2719.5340054449011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-2882.7060457715952</v>
      </c>
      <c r="F133" s="90">
        <f t="shared" ref="F133:AR133" si="21">SUM(F131,F132)</f>
        <v>-2882.7060457715952</v>
      </c>
      <c r="G133" s="90">
        <f t="shared" si="21"/>
        <v>-2882.7060457715957</v>
      </c>
      <c r="H133" s="90">
        <f t="shared" si="21"/>
        <v>-2882.7060457715952</v>
      </c>
      <c r="I133" s="90">
        <f t="shared" si="21"/>
        <v>-2882.7060457715952</v>
      </c>
      <c r="J133" s="90">
        <f t="shared" si="21"/>
        <v>-2882.7060457715952</v>
      </c>
      <c r="K133" s="90">
        <f t="shared" si="21"/>
        <v>-2882.7060457715952</v>
      </c>
      <c r="L133" s="90">
        <f t="shared" si="21"/>
        <v>-2882.7060457715952</v>
      </c>
      <c r="M133" s="90">
        <f t="shared" si="21"/>
        <v>-2882.7060457715952</v>
      </c>
      <c r="N133" s="90">
        <f t="shared" si="21"/>
        <v>-2882.7060457715952</v>
      </c>
      <c r="O133" s="90">
        <f t="shared" si="21"/>
        <v>-2882.7060457715957</v>
      </c>
      <c r="P133" s="90">
        <f t="shared" si="21"/>
        <v>-2882.7060457715952</v>
      </c>
      <c r="Q133" s="90">
        <f t="shared" si="21"/>
        <v>-2882.7060457715952</v>
      </c>
      <c r="R133" s="90">
        <f t="shared" si="21"/>
        <v>-2882.7060457715957</v>
      </c>
      <c r="S133" s="90">
        <f t="shared" si="21"/>
        <v>-2882.7060457715952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-5549.0180324999992</v>
      </c>
      <c r="F135" s="95">
        <f t="shared" ref="F135:AR135" si="22">F128+F130+F131</f>
        <v>-5496.7992817037029</v>
      </c>
      <c r="G135" s="95">
        <f t="shared" si="22"/>
        <v>-5440.6493098596302</v>
      </c>
      <c r="H135" s="95">
        <f t="shared" si="22"/>
        <v>-5380.3162817849116</v>
      </c>
      <c r="I135" s="95">
        <f t="shared" si="22"/>
        <v>-5315.5329329473116</v>
      </c>
      <c r="J135" s="95">
        <f t="shared" si="22"/>
        <v>-5246.0156373194859</v>
      </c>
      <c r="K135" s="95">
        <f t="shared" si="22"/>
        <v>-5171.4634191768246</v>
      </c>
      <c r="L135" s="95">
        <f t="shared" si="22"/>
        <v>-5091.5569054728912</v>
      </c>
      <c r="M135" s="95">
        <f t="shared" si="22"/>
        <v>-5005.9572152245591</v>
      </c>
      <c r="N135" s="95">
        <f t="shared" si="22"/>
        <v>-4914.3047821247173</v>
      </c>
      <c r="O135" s="95">
        <f t="shared" si="22"/>
        <v>-4816.2181063735452</v>
      </c>
      <c r="P135" s="95">
        <f t="shared" si="22"/>
        <v>-4711.292431478656</v>
      </c>
      <c r="Q135" s="95">
        <f t="shared" si="22"/>
        <v>-4599.0983415194523</v>
      </c>
      <c r="R135" s="95">
        <f t="shared" si="22"/>
        <v>-4479.180274100665</v>
      </c>
      <c r="S135" s="95">
        <f t="shared" si="22"/>
        <v>-4351.0549439334754</v>
      </c>
      <c r="T135" s="95">
        <f t="shared" si="22"/>
        <v>1806.7878681499938</v>
      </c>
      <c r="U135" s="95">
        <f t="shared" si="22"/>
        <v>1842.9236255129938</v>
      </c>
      <c r="V135" s="95">
        <f t="shared" si="22"/>
        <v>1879.7820980232543</v>
      </c>
      <c r="W135" s="95">
        <f t="shared" si="22"/>
        <v>1917.3777399837188</v>
      </c>
      <c r="X135" s="95">
        <f t="shared" si="22"/>
        <v>1955.7252947833936</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1054.3134261749999</v>
      </c>
      <c r="F136" s="97">
        <f t="shared" si="23"/>
        <v>1044.3918635237035</v>
      </c>
      <c r="G136" s="97">
        <f t="shared" si="23"/>
        <v>1033.7233688733297</v>
      </c>
      <c r="H136" s="97">
        <f t="shared" si="23"/>
        <v>1022.2600935391332</v>
      </c>
      <c r="I136" s="97">
        <f t="shared" si="23"/>
        <v>1009.9512572599892</v>
      </c>
      <c r="J136" s="97">
        <f t="shared" si="23"/>
        <v>996.74297109070233</v>
      </c>
      <c r="K136" s="97">
        <f t="shared" si="23"/>
        <v>982.57804964359673</v>
      </c>
      <c r="L136" s="97">
        <f t="shared" si="23"/>
        <v>967.39581203984937</v>
      </c>
      <c r="M136" s="97">
        <f t="shared" si="23"/>
        <v>951.13187089266626</v>
      </c>
      <c r="N136" s="97">
        <f t="shared" si="23"/>
        <v>933.71790860369629</v>
      </c>
      <c r="O136" s="97">
        <f t="shared" si="23"/>
        <v>915.0814402109736</v>
      </c>
      <c r="P136" s="97">
        <f t="shared" si="23"/>
        <v>895.14556198094465</v>
      </c>
      <c r="Q136" s="97">
        <f t="shared" si="23"/>
        <v>873.82868488869599</v>
      </c>
      <c r="R136" s="97">
        <f t="shared" si="23"/>
        <v>851.04425207912641</v>
      </c>
      <c r="S136" s="97">
        <f t="shared" si="23"/>
        <v>826.70043934736032</v>
      </c>
      <c r="T136" s="97">
        <f t="shared" si="23"/>
        <v>-343.28969494849883</v>
      </c>
      <c r="U136" s="97">
        <f t="shared" si="23"/>
        <v>-350.1554888474688</v>
      </c>
      <c r="V136" s="97">
        <f t="shared" si="23"/>
        <v>-357.15859862441835</v>
      </c>
      <c r="W136" s="97">
        <f t="shared" si="23"/>
        <v>-364.30177059690658</v>
      </c>
      <c r="X136" s="97">
        <f t="shared" si="23"/>
        <v>-371.58780600884478</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-2826.012619596595</v>
      </c>
      <c r="F138" s="101">
        <f t="shared" si="24"/>
        <v>-2855.886582247892</v>
      </c>
      <c r="G138" s="101">
        <f t="shared" si="24"/>
        <v>-2886.9065248982661</v>
      </c>
      <c r="H138" s="101">
        <f t="shared" si="24"/>
        <v>-2919.1282771924621</v>
      </c>
      <c r="I138" s="101">
        <f t="shared" si="24"/>
        <v>-2952.6107599708062</v>
      </c>
      <c r="J138" s="101">
        <f t="shared" si="24"/>
        <v>-2987.4161655692769</v>
      </c>
      <c r="K138" s="101">
        <f t="shared" si="24"/>
        <v>-3023.6101488341501</v>
      </c>
      <c r="L138" s="101">
        <f t="shared" si="24"/>
        <v>-3061.2620294920207</v>
      </c>
      <c r="M138" s="101">
        <f t="shared" si="24"/>
        <v>-3100.4450065544088</v>
      </c>
      <c r="N138" s="101">
        <f t="shared" si="24"/>
        <v>-3141.2363854768887</v>
      </c>
      <c r="O138" s="101">
        <f t="shared" si="24"/>
        <v>-3183.7178188357921</v>
      </c>
      <c r="P138" s="101">
        <f t="shared" si="24"/>
        <v>-3227.9755613313228</v>
      </c>
      <c r="Q138" s="101">
        <f t="shared" si="24"/>
        <v>-3274.1007399743853</v>
      </c>
      <c r="R138" s="101">
        <f t="shared" si="24"/>
        <v>-3322.1896403657856</v>
      </c>
      <c r="S138" s="101">
        <f t="shared" si="24"/>
        <v>-3372.3440100310177</v>
      </c>
      <c r="T138" s="101">
        <f t="shared" si="24"/>
        <v>1463.4981732014949</v>
      </c>
      <c r="U138" s="101">
        <f t="shared" si="24"/>
        <v>1492.7681366655249</v>
      </c>
      <c r="V138" s="101">
        <f t="shared" si="24"/>
        <v>1522.623499398836</v>
      </c>
      <c r="W138" s="101">
        <f t="shared" si="24"/>
        <v>1553.0759693868122</v>
      </c>
      <c r="X138" s="101">
        <f t="shared" si="24"/>
        <v>1584.1374887745487</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-43073.167499999996</v>
      </c>
      <c r="E139" s="106">
        <f>E128+E136</f>
        <v>56.6934261749999</v>
      </c>
      <c r="F139" s="106">
        <f t="shared" ref="F139:AR139" si="25">F128+F136</f>
        <v>26.819463523703462</v>
      </c>
      <c r="G139" s="106">
        <f t="shared" si="25"/>
        <v>-4.2004791266701886</v>
      </c>
      <c r="H139" s="106">
        <f t="shared" si="25"/>
        <v>-36.422231420866751</v>
      </c>
      <c r="I139" s="106">
        <f t="shared" si="25"/>
        <v>-69.90471419921073</v>
      </c>
      <c r="J139" s="106">
        <f t="shared" si="25"/>
        <v>-104.71011979768161</v>
      </c>
      <c r="K139" s="106">
        <f t="shared" si="25"/>
        <v>-140.90410306255501</v>
      </c>
      <c r="L139" s="106">
        <f t="shared" si="25"/>
        <v>-178.55598372042516</v>
      </c>
      <c r="M139" s="106">
        <f t="shared" si="25"/>
        <v>-217.73896078281382</v>
      </c>
      <c r="N139" s="106">
        <f t="shared" si="25"/>
        <v>-258.5303397052935</v>
      </c>
      <c r="O139" s="106">
        <f t="shared" si="25"/>
        <v>-301.01177306419595</v>
      </c>
      <c r="P139" s="106">
        <f t="shared" si="25"/>
        <v>-345.26951555972801</v>
      </c>
      <c r="Q139" s="106">
        <f t="shared" si="25"/>
        <v>-391.39469420279033</v>
      </c>
      <c r="R139" s="106">
        <f t="shared" si="25"/>
        <v>-439.48359459418975</v>
      </c>
      <c r="S139" s="106">
        <f t="shared" si="25"/>
        <v>-489.63796425942223</v>
      </c>
      <c r="T139" s="106">
        <f t="shared" si="25"/>
        <v>1463.4981732014949</v>
      </c>
      <c r="U139" s="106">
        <f t="shared" si="25"/>
        <v>1492.7681366655249</v>
      </c>
      <c r="V139" s="106">
        <f t="shared" si="25"/>
        <v>1522.623499398836</v>
      </c>
      <c r="W139" s="106">
        <f t="shared" si="25"/>
        <v>1553.0759693868122</v>
      </c>
      <c r="X139" s="106">
        <f t="shared" si="25"/>
        <v>1584.1374887745487</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-15075.608624999997</v>
      </c>
      <c r="E140" s="106">
        <f>E138</f>
        <v>-2826.012619596595</v>
      </c>
      <c r="F140" s="106">
        <f t="shared" ref="F140:AR140" si="26">F138</f>
        <v>-2855.886582247892</v>
      </c>
      <c r="G140" s="106">
        <f t="shared" si="26"/>
        <v>-2886.9065248982661</v>
      </c>
      <c r="H140" s="106">
        <f t="shared" si="26"/>
        <v>-2919.1282771924621</v>
      </c>
      <c r="I140" s="106">
        <f t="shared" si="26"/>
        <v>-2952.6107599708062</v>
      </c>
      <c r="J140" s="106">
        <f t="shared" si="26"/>
        <v>-2987.4161655692769</v>
      </c>
      <c r="K140" s="106">
        <f t="shared" si="26"/>
        <v>-3023.6101488341501</v>
      </c>
      <c r="L140" s="106">
        <f t="shared" si="26"/>
        <v>-3061.2620294920207</v>
      </c>
      <c r="M140" s="106">
        <f t="shared" si="26"/>
        <v>-3100.4450065544088</v>
      </c>
      <c r="N140" s="106">
        <f t="shared" si="26"/>
        <v>-3141.2363854768887</v>
      </c>
      <c r="O140" s="106">
        <f t="shared" si="26"/>
        <v>-3183.7178188357921</v>
      </c>
      <c r="P140" s="106">
        <f t="shared" si="26"/>
        <v>-3227.9755613313228</v>
      </c>
      <c r="Q140" s="106">
        <f t="shared" si="26"/>
        <v>-3274.1007399743853</v>
      </c>
      <c r="R140" s="106">
        <f t="shared" si="26"/>
        <v>-3322.1896403657856</v>
      </c>
      <c r="S140" s="106">
        <f t="shared" si="26"/>
        <v>-3372.3440100310177</v>
      </c>
      <c r="T140" s="106">
        <f t="shared" si="26"/>
        <v>1463.4981732014949</v>
      </c>
      <c r="U140" s="106">
        <f t="shared" si="26"/>
        <v>1492.7681366655249</v>
      </c>
      <c r="V140" s="106">
        <f t="shared" si="26"/>
        <v>1522.623499398836</v>
      </c>
      <c r="W140" s="106">
        <f t="shared" si="26"/>
        <v>1553.0759693868122</v>
      </c>
      <c r="X140" s="106">
        <f t="shared" si="26"/>
        <v>1584.1374887745487</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32100</v>
      </c>
      <c r="F141" s="108">
        <f t="shared" si="27"/>
        <v>32100</v>
      </c>
      <c r="G141" s="108">
        <f t="shared" si="27"/>
        <v>32100</v>
      </c>
      <c r="H141" s="108">
        <f t="shared" si="27"/>
        <v>32100</v>
      </c>
      <c r="I141" s="108">
        <f t="shared" si="27"/>
        <v>32100</v>
      </c>
      <c r="J141" s="108">
        <f t="shared" si="27"/>
        <v>32100</v>
      </c>
      <c r="K141" s="108">
        <f t="shared" si="27"/>
        <v>32100</v>
      </c>
      <c r="L141" s="108">
        <f t="shared" si="27"/>
        <v>32100</v>
      </c>
      <c r="M141" s="108">
        <f t="shared" si="27"/>
        <v>32100</v>
      </c>
      <c r="N141" s="108">
        <f t="shared" si="27"/>
        <v>32100</v>
      </c>
      <c r="O141" s="108">
        <f t="shared" si="27"/>
        <v>32100</v>
      </c>
      <c r="P141" s="108">
        <f t="shared" si="27"/>
        <v>32100</v>
      </c>
      <c r="Q141" s="108">
        <f t="shared" si="27"/>
        <v>32100</v>
      </c>
      <c r="R141" s="108">
        <f t="shared" si="27"/>
        <v>32100</v>
      </c>
      <c r="S141" s="108">
        <f t="shared" si="27"/>
        <v>32100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43073.167499999996</v>
      </c>
      <c r="E142" s="124">
        <f>D142-($C$5*E114+E128+E131)</f>
        <v>40422.041032499998</v>
      </c>
      <c r="F142" s="124">
        <f t="shared" ref="F142:AR142" si="28">E142-($C$5*F114+F128+F131)</f>
        <v>37718.695814203704</v>
      </c>
      <c r="G142" s="124">
        <f t="shared" si="28"/>
        <v>34959.200624063335</v>
      </c>
      <c r="H142" s="124">
        <f t="shared" si="28"/>
        <v>32139.372405848248</v>
      </c>
      <c r="I142" s="124">
        <f t="shared" si="28"/>
        <v>29254.760838795559</v>
      </c>
      <c r="J142" s="124">
        <f t="shared" si="28"/>
        <v>26300.631976115044</v>
      </c>
      <c r="K142" s="124">
        <f t="shared" si="28"/>
        <v>23271.95089529187</v>
      </c>
      <c r="L142" s="124">
        <f t="shared" si="28"/>
        <v>20163.363300764762</v>
      </c>
      <c r="M142" s="124">
        <f t="shared" si="28"/>
        <v>16969.17601598932</v>
      </c>
      <c r="N142" s="124">
        <f t="shared" si="28"/>
        <v>13683.336298114038</v>
      </c>
      <c r="O142" s="124">
        <f t="shared" si="28"/>
        <v>10299.409904487584</v>
      </c>
      <c r="P142" s="124">
        <f t="shared" si="28"/>
        <v>6810.5578359662395</v>
      </c>
      <c r="Q142" s="124">
        <f t="shared" si="28"/>
        <v>3209.5116774856915</v>
      </c>
      <c r="R142" s="124">
        <f t="shared" si="28"/>
        <v>-511.45254841364385</v>
      </c>
      <c r="S142" s="124">
        <f t="shared" si="28"/>
        <v>-4360.5421044801678</v>
      </c>
      <c r="T142" s="124">
        <f t="shared" si="28"/>
        <v>-11495.929972630162</v>
      </c>
      <c r="U142" s="124">
        <f t="shared" si="28"/>
        <v>-18667.453598143155</v>
      </c>
      <c r="V142" s="124">
        <f t="shared" si="28"/>
        <v>-25875.83569616641</v>
      </c>
      <c r="W142" s="124">
        <f t="shared" si="28"/>
        <v>-33121.813436150129</v>
      </c>
      <c r="X142" s="124">
        <f t="shared" si="28"/>
        <v>-40406.138730933526</v>
      </c>
      <c r="Y142" s="124">
        <f t="shared" si="28"/>
        <v>-40406.138730933526</v>
      </c>
      <c r="Z142" s="124">
        <f t="shared" si="28"/>
        <v>-40406.138730933526</v>
      </c>
      <c r="AA142" s="124">
        <f t="shared" si="28"/>
        <v>-40406.138730933526</v>
      </c>
      <c r="AB142" s="124">
        <f t="shared" si="28"/>
        <v>-40406.138730933526</v>
      </c>
      <c r="AC142" s="124">
        <f t="shared" si="28"/>
        <v>-40406.138730933526</v>
      </c>
      <c r="AD142" s="124">
        <f t="shared" si="28"/>
        <v>-40406.138730933526</v>
      </c>
      <c r="AE142" s="124">
        <f t="shared" si="28"/>
        <v>-40406.138730933526</v>
      </c>
      <c r="AF142" s="124">
        <f t="shared" si="28"/>
        <v>-40406.138730933526</v>
      </c>
      <c r="AG142" s="124">
        <f t="shared" si="28"/>
        <v>-40406.138730933526</v>
      </c>
      <c r="AH142" s="124">
        <f t="shared" si="28"/>
        <v>-40406.138730933526</v>
      </c>
      <c r="AI142" s="124">
        <f t="shared" si="28"/>
        <v>-40406.138730933526</v>
      </c>
      <c r="AJ142" s="124">
        <f t="shared" si="28"/>
        <v>-40406.138730933526</v>
      </c>
      <c r="AK142" s="124">
        <f t="shared" si="28"/>
        <v>-40406.138730933526</v>
      </c>
      <c r="AL142" s="124">
        <f t="shared" si="28"/>
        <v>-40406.138730933526</v>
      </c>
      <c r="AM142" s="124">
        <f t="shared" si="28"/>
        <v>-40406.138730933526</v>
      </c>
      <c r="AN142" s="124">
        <f t="shared" si="28"/>
        <v>-40406.138730933526</v>
      </c>
      <c r="AO142" s="124">
        <f t="shared" si="28"/>
        <v>-40406.138730933526</v>
      </c>
      <c r="AP142" s="124">
        <f t="shared" si="28"/>
        <v>-40406.138730933526</v>
      </c>
      <c r="AQ142" s="124">
        <f t="shared" si="28"/>
        <v>-40406.138730933526</v>
      </c>
      <c r="AR142" s="124">
        <f t="shared" si="28"/>
        <v>-40406.138730933526</v>
      </c>
    </row>
    <row r="143" spans="1:45" x14ac:dyDescent="0.2">
      <c r="B143" s="5" t="s">
        <v>350</v>
      </c>
      <c r="C143" s="195"/>
      <c r="D143" s="196"/>
      <c r="E143" s="197">
        <f>IF(E108&gt;$C$92,"",(-$C$89*(E135+$C$5*E114)+E128+$C$5*E114)/-E133)</f>
        <v>1.5169286624243872</v>
      </c>
      <c r="F143" s="197">
        <f>IF(F108&gt;$C$92,"",(-$C$89*(F135+$C$5*F114)+F128+$C$5*F114)/-F133)</f>
        <v>1.5065654959492221</v>
      </c>
      <c r="G143" s="197">
        <f>IF(G108&gt;$C$92,"",(-$C$89*(G135+$C$5*G114)+G128+$C$5*G114)/-G133)</f>
        <v>1.4958047932768579</v>
      </c>
      <c r="H143" s="197">
        <f>IF(H108&gt;$C$92,"",(-$C$89*(H135+$C$5*H114)+H128+$C$5*H114)/-H133)</f>
        <v>1.48462718731129</v>
      </c>
      <c r="I143" s="197">
        <f t="shared" ref="I143:AR143" si="29">IF(I108&gt;$C$92,"",(-$C$89*(I135+$C$5*I114)+I128+$C$5*I114)/-I133)</f>
        <v>1.4730122386322677</v>
      </c>
      <c r="J143" s="197">
        <f t="shared" si="29"/>
        <v>1.4609383729498737</v>
      </c>
      <c r="K143" s="197">
        <f t="shared" si="29"/>
        <v>1.4483828148422535</v>
      </c>
      <c r="L143" s="197">
        <f t="shared" si="29"/>
        <v>1.4353215175542078</v>
      </c>
      <c r="M143" s="197">
        <f t="shared" si="29"/>
        <v>1.4217290886210312</v>
      </c>
      <c r="N143" s="197">
        <f t="shared" si="29"/>
        <v>1.4075787110678593</v>
      </c>
      <c r="O143" s="197">
        <f t="shared" si="29"/>
        <v>1.3928420599198117</v>
      </c>
      <c r="P143" s="197">
        <f t="shared" si="29"/>
        <v>1.3774892137423633</v>
      </c>
      <c r="Q143" s="197">
        <f t="shared" si="29"/>
        <v>1.3614885609145388</v>
      </c>
      <c r="R143" s="197">
        <f t="shared" si="29"/>
        <v>1.3448067003197213</v>
      </c>
      <c r="S143" s="197">
        <f t="shared" si="29"/>
        <v>1.3274083361199447</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-26798.809042284687</v>
      </c>
    </row>
    <row r="147" spans="2:45" x14ac:dyDescent="0.2">
      <c r="B147" s="79" t="s">
        <v>354</v>
      </c>
      <c r="C147" s="216" t="str">
        <f>$C$9</f>
        <v>kWh</v>
      </c>
      <c r="D147" s="126">
        <f>(1-$C$89)*NPV($C$86,E141:AR141)</f>
        <v>252528.18593025327</v>
      </c>
      <c r="E147" s="131"/>
      <c r="F147" s="127"/>
    </row>
    <row r="148" spans="2:45" x14ac:dyDescent="0.2">
      <c r="B148" s="79" t="s">
        <v>355</v>
      </c>
      <c r="C148" s="80" t="s">
        <v>288</v>
      </c>
      <c r="D148" s="126">
        <f>$C$48*1000000</f>
        <v>43073.167499999996</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1.4303282502430421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5.3% / 3.2%</v>
      </c>
      <c r="E150" s="131"/>
      <c r="F150" s="127"/>
      <c r="G150" s="112"/>
    </row>
    <row r="151" spans="2:45" x14ac:dyDescent="0.2">
      <c r="B151" s="79" t="s">
        <v>358</v>
      </c>
      <c r="C151" s="80"/>
      <c r="D151" s="132">
        <f>IFERROR(IRR(D139:AR139),"n.v.t.")</f>
        <v>-0.10202121360607896</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27997.558874999999</v>
      </c>
      <c r="F153" s="134"/>
    </row>
    <row r="154" spans="2:45" x14ac:dyDescent="0.2">
      <c r="B154" s="135" t="s">
        <v>361</v>
      </c>
      <c r="C154" s="80" t="s">
        <v>288</v>
      </c>
      <c r="D154" s="126">
        <f>$C$88*D148-C82</f>
        <v>15075.608624999997</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2140</v>
      </c>
      <c r="F156" s="134"/>
    </row>
    <row r="157" spans="2:45" x14ac:dyDescent="0.2">
      <c r="B157" s="135" t="s">
        <v>364</v>
      </c>
      <c r="C157" s="138" t="s">
        <v>365</v>
      </c>
      <c r="D157" s="139" t="str">
        <f>CONCATENATE( "tussen ", INDEX(D108:X108, MATCH(0,D142:X142, -1)), " en ",  1 + INDEX(D108:X108, MATCH(0,D142:X142, -1)), " jaren")</f>
        <v>tussen 13 en 14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IFERROR(ROUND(INDEX(Correctiebedragen!$A$1:$K$256,MATCH('6'!C16,Correctiebedragen!$A$1:$A$256,0),8),decimalen),"n.v.t.")</f>
        <v>n.v.t.</v>
      </c>
    </row>
    <row r="162" spans="2:20" customFormat="1" ht="15" x14ac:dyDescent="0.25">
      <c r="B162" s="248" t="s">
        <v>367</v>
      </c>
      <c r="C162" s="250" t="str">
        <f>IFERROR(ROUND(INDEX(Correctiebedragen!$A$1:$K$256,MATCH('6'!C17,Correctiebedragen!$A$1:$A$256,0),8),decimalen),"n.v.t.")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IFERROR(ROUND(INDEX(Correctiebedragen!$A$1:$K$256,MATCH('6'!C16,Correctiebedragen!$A$1:$A$256,0),4),decimalen),"n.v.t.")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IFERROR(ROUND(INDEX(Correctiebedragen!$A$1:$K$256,MATCH('6'!C17,Correctiebedragen!$A$1:$A$256,0),4),decimalen),"n.v.t.")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IFERROR(ROUND(INDEX(Correctiebedragen!$A$1:$K$256,MATCH('6'!C16,Correctiebedragen!$A$1:$A$256,0),6),decimalen),"n.v.t.")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IFERROR(ROUND(INDEX(Correctiebedragen!$A$1:$K$256,MATCH('6'!C17,Correctiebedragen!$A$1:$A$256,0),6),decimalen),"n.v.t.")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481500</v>
      </c>
      <c r="E174" s="28"/>
    </row>
    <row r="175" spans="2:20" customFormat="1" ht="26.25" x14ac:dyDescent="0.25">
      <c r="B175" s="256" t="s">
        <v>370</v>
      </c>
      <c r="C175" s="271">
        <f>IF(C95=0,SUM(E114:INDEX(E114:AR114,1,C91)),SUM(E114:INDEX(E114:AR114,1,C95)))</f>
        <v>642000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69" priority="5" operator="containsText" text="Pas op">
      <formula>NOT(ISERROR(SEARCH("Pas op",G1)))</formula>
    </cfRule>
  </conditionalFormatting>
  <conditionalFormatting sqref="G186">
    <cfRule type="containsText" dxfId="68" priority="4" operator="containsText" text="Pas op">
      <formula>NOT(ISERROR(SEARCH("Pas op",G186)))</formula>
    </cfRule>
  </conditionalFormatting>
  <conditionalFormatting sqref="G162 G165 G169:G170">
    <cfRule type="containsText" dxfId="67" priority="3" operator="containsText" text="Pas op">
      <formula>NOT(ISERROR(SEARCH("Pas op",G162)))</formula>
    </cfRule>
  </conditionalFormatting>
  <conditionalFormatting sqref="G100">
    <cfRule type="containsText" dxfId="66" priority="2" operator="containsText" text="Pas op">
      <formula>NOT(ISERROR(SEARCH("Pas op",G100)))</formula>
    </cfRule>
  </conditionalFormatting>
  <conditionalFormatting sqref="G166:G168">
    <cfRule type="containsText" dxfId="65" priority="1" operator="containsText" text="Pas op">
      <formula>NOT(ISERROR(SEARCH("Pas op",G166)))</formula>
    </cfRule>
  </conditionalFormatting>
  <dataValidations disablePrompts="1" count="3">
    <dataValidation type="list" allowBlank="1" showInputMessage="1" showErrorMessage="1" sqref="C10" xr:uid="{EF3B3EF8-F1AD-4B08-93D2-58CCE9BF5EB5}">
      <formula1>INDIRECT("lst_vermogenseenheid")</formula1>
    </dataValidation>
    <dataValidation type="list" allowBlank="1" showInputMessage="1" showErrorMessage="1" sqref="C9" xr:uid="{9547F9F3-DFB3-4428-A22B-CC95BB2EC57A}">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8595A2D6-34C0-457D-A382-4AE6BD235255}">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2276E1B-BBFD-42C9-A248-5E914611A156}">
          <x14:formula1>
            <xm:f>'ETS correctie methodes'!$B$4:$B$14</xm:f>
          </x14:formula1>
          <xm:sqref>C13</xm:sqref>
        </x14:dataValidation>
        <x14:dataValidation type="list" allowBlank="1" showInputMessage="1" showErrorMessage="1" xr:uid="{867EFB97-09F7-49CD-8CA5-ED9EEB788D36}">
          <x14:formula1>
            <xm:f>Colofon!$A$51:$A$56</xm:f>
          </x14:formula1>
          <xm:sqref>C11</xm:sqref>
        </x14:dataValidation>
        <x14:dataValidation type="list" allowBlank="1" showInputMessage="1" showErrorMessage="1" xr:uid="{D0705566-3AE2-4730-A453-F96451E9B6A6}">
          <x14:formula1>
            <xm:f>Correctiebedragen!$A$3:$A$7</xm:f>
          </x14:formula1>
          <xm:sqref>C12 C16:C17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1C0D0-CBEC-4B8C-A485-1881800C3D37}">
  <sheetPr codeName="Sheet98">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376</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0.106</v>
      </c>
      <c r="D5" s="113" t="str">
        <f>CONCATENATE("Euro/",$C$9)</f>
        <v>Euro/kWh</v>
      </c>
      <c r="E5" s="424"/>
      <c r="F5" s="425"/>
      <c r="G5" s="425"/>
      <c r="H5" s="425"/>
      <c r="I5" s="425"/>
      <c r="J5" s="425"/>
      <c r="K5" s="425"/>
      <c r="L5" s="425"/>
      <c r="M5" s="426"/>
      <c r="N5" s="26"/>
    </row>
    <row r="6" spans="1:14" x14ac:dyDescent="0.2">
      <c r="B6" s="4" t="s">
        <v>203</v>
      </c>
      <c r="C6" s="114">
        <f>ROUND((C5-C7)/C8*1000,0)</f>
        <v>403</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"&amp;IFERROR(INDEX(Correctiebedragen!$A$1:$M$256,MATCH('7'!C12,Correctiebedragen!$A$1:$A$256,0),9),"")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IFERROR(INDEX(Correctiebedragen!$A$1:$M$256,MATCH('7'!C16,Correctiebedragen!$A$1:$A$256,0),9),"")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IFERROR(INDEX(Correctiebedragen!$A$1:$M$256,MATCH('7'!C17,Correctiebedragen!$A$1:$A$256,0),9),"")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IFERROR(ROUND(INDEX(Correctiebedragen!$A$1:$K$7,MATCH('7'!C16,Correctiebedragen!$A$1:$A$7,0),8),decimalen),"n.v.t.")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IFERROR(ROUND(INDEX(Correctiebedragen!$A$1:$K$7,MATCH('7'!C17,Correctiebedragen!$A$1:$A$7,0),8),decimalen),"n.v.t.")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2400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2400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2400000</v>
      </c>
      <c r="F111" s="78">
        <f t="shared" ref="F111:AR111" si="2">IF(F108&lt;=$C$94,$C$37*$C$39,IF(AND(F108&gt;$C$94,F108&lt;=$C$91),$C$37*$C$77,0))*IF($C$41=0,1,$C$42/$C$41)</f>
        <v>2400000</v>
      </c>
      <c r="G111" s="78">
        <f t="shared" si="2"/>
        <v>2400000</v>
      </c>
      <c r="H111" s="78">
        <f t="shared" si="2"/>
        <v>2400000</v>
      </c>
      <c r="I111" s="78">
        <f t="shared" si="2"/>
        <v>2400000</v>
      </c>
      <c r="J111" s="78">
        <f t="shared" si="2"/>
        <v>2400000</v>
      </c>
      <c r="K111" s="78">
        <f t="shared" si="2"/>
        <v>2400000</v>
      </c>
      <c r="L111" s="78">
        <f t="shared" si="2"/>
        <v>2400000</v>
      </c>
      <c r="M111" s="78">
        <f t="shared" si="2"/>
        <v>2400000</v>
      </c>
      <c r="N111" s="78">
        <f t="shared" si="2"/>
        <v>2400000</v>
      </c>
      <c r="O111" s="78">
        <f t="shared" si="2"/>
        <v>2400000</v>
      </c>
      <c r="P111" s="78">
        <f t="shared" si="2"/>
        <v>2400000</v>
      </c>
      <c r="Q111" s="78">
        <f t="shared" si="2"/>
        <v>2400000</v>
      </c>
      <c r="R111" s="78">
        <f t="shared" si="2"/>
        <v>2400000</v>
      </c>
      <c r="S111" s="78">
        <f t="shared" si="2"/>
        <v>2400000</v>
      </c>
      <c r="T111" s="78">
        <f t="shared" si="2"/>
        <v>2400000</v>
      </c>
      <c r="U111" s="78">
        <f t="shared" si="2"/>
        <v>2400000</v>
      </c>
      <c r="V111" s="78">
        <f t="shared" si="2"/>
        <v>2400000</v>
      </c>
      <c r="W111" s="78">
        <f t="shared" si="2"/>
        <v>2400000</v>
      </c>
      <c r="X111" s="78">
        <f t="shared" si="2"/>
        <v>2400000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2400000</v>
      </c>
      <c r="F114" s="84">
        <f t="shared" ref="F114:AR114" si="5">SUM(F111:F113)</f>
        <v>2400000</v>
      </c>
      <c r="G114" s="84">
        <f t="shared" si="5"/>
        <v>2400000</v>
      </c>
      <c r="H114" s="84">
        <f t="shared" si="5"/>
        <v>2400000</v>
      </c>
      <c r="I114" s="84">
        <f t="shared" si="5"/>
        <v>2400000</v>
      </c>
      <c r="J114" s="84">
        <f t="shared" si="5"/>
        <v>2400000</v>
      </c>
      <c r="K114" s="84">
        <f t="shared" si="5"/>
        <v>2400000</v>
      </c>
      <c r="L114" s="84">
        <f t="shared" si="5"/>
        <v>2400000</v>
      </c>
      <c r="M114" s="84">
        <f t="shared" si="5"/>
        <v>2400000</v>
      </c>
      <c r="N114" s="84">
        <f t="shared" si="5"/>
        <v>2400000</v>
      </c>
      <c r="O114" s="84">
        <f t="shared" si="5"/>
        <v>2400000</v>
      </c>
      <c r="P114" s="84">
        <f t="shared" si="5"/>
        <v>2400000</v>
      </c>
      <c r="Q114" s="84">
        <f t="shared" si="5"/>
        <v>2400000</v>
      </c>
      <c r="R114" s="84">
        <f t="shared" si="5"/>
        <v>2400000</v>
      </c>
      <c r="S114" s="84">
        <f t="shared" si="5"/>
        <v>2400000</v>
      </c>
      <c r="T114" s="84">
        <f t="shared" si="5"/>
        <v>2400000</v>
      </c>
      <c r="U114" s="84">
        <f t="shared" si="5"/>
        <v>2400000</v>
      </c>
      <c r="V114" s="84">
        <f t="shared" si="5"/>
        <v>2400000</v>
      </c>
      <c r="W114" s="84">
        <f t="shared" si="5"/>
        <v>2400000</v>
      </c>
      <c r="X114" s="84">
        <f t="shared" si="5"/>
        <v>2400000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-53800</v>
      </c>
      <c r="F116" s="78">
        <f t="shared" si="6"/>
        <v>-54876</v>
      </c>
      <c r="G116" s="78">
        <f t="shared" si="6"/>
        <v>-55973.52</v>
      </c>
      <c r="H116" s="78">
        <f t="shared" si="6"/>
        <v>-57092.990399999995</v>
      </c>
      <c r="I116" s="78">
        <f t="shared" si="6"/>
        <v>-58234.850207999996</v>
      </c>
      <c r="J116" s="78">
        <f t="shared" si="6"/>
        <v>-59399.547212160003</v>
      </c>
      <c r="K116" s="78">
        <f t="shared" si="6"/>
        <v>-60587.538156403207</v>
      </c>
      <c r="L116" s="78">
        <f t="shared" si="6"/>
        <v>-61799.288919531253</v>
      </c>
      <c r="M116" s="78">
        <f t="shared" si="6"/>
        <v>-63035.274697921886</v>
      </c>
      <c r="N116" s="78">
        <f t="shared" si="6"/>
        <v>-64295.98019188032</v>
      </c>
      <c r="O116" s="78">
        <f t="shared" si="6"/>
        <v>-65581.899795717938</v>
      </c>
      <c r="P116" s="78">
        <f t="shared" si="6"/>
        <v>-66893.537791632276</v>
      </c>
      <c r="Q116" s="78">
        <f t="shared" si="6"/>
        <v>-68231.408547464933</v>
      </c>
      <c r="R116" s="78">
        <f t="shared" si="6"/>
        <v>-69596.036718414223</v>
      </c>
      <c r="S116" s="78">
        <f t="shared" si="6"/>
        <v>-70987.957452782517</v>
      </c>
      <c r="T116" s="78">
        <f t="shared" si="6"/>
        <v>-72407.716601838154</v>
      </c>
      <c r="U116" s="78">
        <f t="shared" si="6"/>
        <v>-73855.870933874932</v>
      </c>
      <c r="V116" s="78">
        <f t="shared" si="6"/>
        <v>-75332.988352552435</v>
      </c>
      <c r="W116" s="78">
        <f t="shared" si="6"/>
        <v>-76839.648119603473</v>
      </c>
      <c r="X116" s="78">
        <f t="shared" si="6"/>
        <v>-78376.441081995537</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235473.12447318964</v>
      </c>
      <c r="U123" s="81">
        <f t="shared" si="13"/>
        <v>240182.5869626535</v>
      </c>
      <c r="V123" s="81">
        <f t="shared" si="13"/>
        <v>244986.23870190658</v>
      </c>
      <c r="W123" s="81">
        <f t="shared" si="13"/>
        <v>249885.96347594468</v>
      </c>
      <c r="X123" s="81">
        <f t="shared" si="13"/>
        <v>254883.68274546359</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235473.12447318964</v>
      </c>
      <c r="U126" s="78">
        <f t="shared" si="15"/>
        <v>240182.5869626535</v>
      </c>
      <c r="V126" s="78">
        <f t="shared" si="15"/>
        <v>244986.23870190658</v>
      </c>
      <c r="W126" s="78">
        <f t="shared" si="15"/>
        <v>249885.96347594468</v>
      </c>
      <c r="X126" s="78">
        <f t="shared" si="15"/>
        <v>254883.68274546359</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-53800</v>
      </c>
      <c r="F127" s="81">
        <f t="shared" si="16"/>
        <v>-54876</v>
      </c>
      <c r="G127" s="81">
        <f t="shared" si="16"/>
        <v>-55973.52</v>
      </c>
      <c r="H127" s="81">
        <f t="shared" si="16"/>
        <v>-57092.990399999995</v>
      </c>
      <c r="I127" s="81">
        <f t="shared" si="16"/>
        <v>-58234.850207999996</v>
      </c>
      <c r="J127" s="81">
        <f t="shared" si="16"/>
        <v>-59399.547212160003</v>
      </c>
      <c r="K127" s="81">
        <f t="shared" si="16"/>
        <v>-60587.538156403207</v>
      </c>
      <c r="L127" s="81">
        <f t="shared" si="16"/>
        <v>-61799.288919531253</v>
      </c>
      <c r="M127" s="81">
        <f t="shared" si="16"/>
        <v>-63035.274697921886</v>
      </c>
      <c r="N127" s="81">
        <f t="shared" si="16"/>
        <v>-64295.98019188032</v>
      </c>
      <c r="O127" s="81">
        <f t="shared" si="16"/>
        <v>-65581.899795717938</v>
      </c>
      <c r="P127" s="81">
        <f t="shared" si="16"/>
        <v>-66893.537791632276</v>
      </c>
      <c r="Q127" s="81">
        <f t="shared" si="16"/>
        <v>-68231.408547464933</v>
      </c>
      <c r="R127" s="81">
        <f t="shared" si="16"/>
        <v>-69596.036718414223</v>
      </c>
      <c r="S127" s="81">
        <f t="shared" si="16"/>
        <v>-70987.957452782517</v>
      </c>
      <c r="T127" s="81">
        <f t="shared" si="16"/>
        <v>-72407.716601838154</v>
      </c>
      <c r="U127" s="81">
        <f t="shared" si="16"/>
        <v>-73855.870933874932</v>
      </c>
      <c r="V127" s="81">
        <f t="shared" si="16"/>
        <v>-75332.988352552435</v>
      </c>
      <c r="W127" s="81">
        <f t="shared" si="16"/>
        <v>-76839.648119603473</v>
      </c>
      <c r="X127" s="81">
        <f t="shared" si="16"/>
        <v>-78376.441081995537</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-53800</v>
      </c>
      <c r="F128" s="90">
        <f t="shared" ref="F128:AR128" si="17">SUM(F126:F127)</f>
        <v>-54876</v>
      </c>
      <c r="G128" s="90">
        <f t="shared" si="17"/>
        <v>-55973.52</v>
      </c>
      <c r="H128" s="90">
        <f t="shared" si="17"/>
        <v>-57092.990399999995</v>
      </c>
      <c r="I128" s="90">
        <f t="shared" si="17"/>
        <v>-58234.850207999996</v>
      </c>
      <c r="J128" s="90">
        <f t="shared" si="17"/>
        <v>-59399.547212160003</v>
      </c>
      <c r="K128" s="90">
        <f t="shared" si="17"/>
        <v>-60587.538156403207</v>
      </c>
      <c r="L128" s="90">
        <f t="shared" si="17"/>
        <v>-61799.288919531253</v>
      </c>
      <c r="M128" s="90">
        <f t="shared" si="17"/>
        <v>-63035.274697921886</v>
      </c>
      <c r="N128" s="90">
        <f t="shared" si="17"/>
        <v>-64295.98019188032</v>
      </c>
      <c r="O128" s="90">
        <f t="shared" si="17"/>
        <v>-65581.899795717938</v>
      </c>
      <c r="P128" s="90">
        <f t="shared" si="17"/>
        <v>-66893.537791632276</v>
      </c>
      <c r="Q128" s="90">
        <f t="shared" si="17"/>
        <v>-68231.408547464933</v>
      </c>
      <c r="R128" s="90">
        <f t="shared" si="17"/>
        <v>-69596.036718414223</v>
      </c>
      <c r="S128" s="90">
        <f t="shared" si="17"/>
        <v>-70987.957452782517</v>
      </c>
      <c r="T128" s="90">
        <f t="shared" si="17"/>
        <v>163065.40787135149</v>
      </c>
      <c r="U128" s="90">
        <f t="shared" si="17"/>
        <v>166326.71602877858</v>
      </c>
      <c r="V128" s="90">
        <f t="shared" si="17"/>
        <v>169653.25034935414</v>
      </c>
      <c r="W128" s="90">
        <f t="shared" si="17"/>
        <v>173046.31535634119</v>
      </c>
      <c r="X128" s="90">
        <f t="shared" si="17"/>
        <v>176507.24166346807</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-277372.79656250001</v>
      </c>
      <c r="F135" s="95">
        <f t="shared" ref="F135:AR135" si="22">F128+F130+F131</f>
        <v>-274932.03343332035</v>
      </c>
      <c r="G135" s="95">
        <f t="shared" si="22"/>
        <v>-272310.57642421289</v>
      </c>
      <c r="H135" s="95">
        <f t="shared" si="22"/>
        <v>-269497.22863708175</v>
      </c>
      <c r="I135" s="95">
        <f t="shared" si="22"/>
        <v>-266480.13321219053</v>
      </c>
      <c r="J135" s="95">
        <f t="shared" si="22"/>
        <v>-263246.73505756806</v>
      </c>
      <c r="K135" s="95">
        <f t="shared" si="22"/>
        <v>-259783.74037139886</v>
      </c>
      <c r="L135" s="95">
        <f t="shared" si="22"/>
        <v>-256077.07383036576</v>
      </c>
      <c r="M135" s="95">
        <f t="shared" si="22"/>
        <v>-252111.83330960595</v>
      </c>
      <c r="N135" s="95">
        <f t="shared" si="22"/>
        <v>-247872.24199221283</v>
      </c>
      <c r="O135" s="95">
        <f t="shared" si="22"/>
        <v>-243341.59771804619</v>
      </c>
      <c r="P135" s="95">
        <f t="shared" si="22"/>
        <v>-238502.219412971</v>
      </c>
      <c r="Q135" s="95">
        <f t="shared" si="22"/>
        <v>-233335.39043050725</v>
      </c>
      <c r="R135" s="95">
        <f t="shared" si="22"/>
        <v>-227821.29862820805</v>
      </c>
      <c r="S135" s="95">
        <f t="shared" si="22"/>
        <v>-221938.97299086611</v>
      </c>
      <c r="T135" s="95">
        <f t="shared" si="22"/>
        <v>163065.40787135149</v>
      </c>
      <c r="U135" s="95">
        <f t="shared" si="22"/>
        <v>166326.71602877858</v>
      </c>
      <c r="V135" s="95">
        <f t="shared" si="22"/>
        <v>169653.25034935414</v>
      </c>
      <c r="W135" s="95">
        <f t="shared" si="22"/>
        <v>173046.31535634119</v>
      </c>
      <c r="X135" s="95">
        <f t="shared" si="22"/>
        <v>176507.24166346807</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52700.831346874998</v>
      </c>
      <c r="F136" s="97">
        <f t="shared" si="23"/>
        <v>52237.086352330865</v>
      </c>
      <c r="G136" s="97">
        <f t="shared" si="23"/>
        <v>51739.009520600448</v>
      </c>
      <c r="H136" s="97">
        <f t="shared" si="23"/>
        <v>51204.473441045535</v>
      </c>
      <c r="I136" s="97">
        <f t="shared" si="23"/>
        <v>50631.2253103162</v>
      </c>
      <c r="J136" s="97">
        <f t="shared" si="23"/>
        <v>50016.879660937935</v>
      </c>
      <c r="K136" s="97">
        <f t="shared" si="23"/>
        <v>49358.910670565783</v>
      </c>
      <c r="L136" s="97">
        <f t="shared" si="23"/>
        <v>48654.644027769493</v>
      </c>
      <c r="M136" s="97">
        <f t="shared" si="23"/>
        <v>47901.248328825131</v>
      </c>
      <c r="N136" s="97">
        <f t="shared" si="23"/>
        <v>47095.725978520437</v>
      </c>
      <c r="O136" s="97">
        <f t="shared" si="23"/>
        <v>46234.90356642878</v>
      </c>
      <c r="P136" s="97">
        <f t="shared" si="23"/>
        <v>45315.421688464492</v>
      </c>
      <c r="Q136" s="97">
        <f t="shared" si="23"/>
        <v>44333.72418179638</v>
      </c>
      <c r="R136" s="97">
        <f t="shared" si="23"/>
        <v>43286.046739359532</v>
      </c>
      <c r="S136" s="97">
        <f t="shared" si="23"/>
        <v>42168.404868264559</v>
      </c>
      <c r="T136" s="97">
        <f t="shared" si="23"/>
        <v>-30982.427495556782</v>
      </c>
      <c r="U136" s="97">
        <f t="shared" si="23"/>
        <v>-31602.076045467929</v>
      </c>
      <c r="V136" s="97">
        <f t="shared" si="23"/>
        <v>-32234.117566377288</v>
      </c>
      <c r="W136" s="97">
        <f t="shared" si="23"/>
        <v>-32878.799917704826</v>
      </c>
      <c r="X136" s="97">
        <f t="shared" si="23"/>
        <v>-33536.375916058932</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-142574.56311440148</v>
      </c>
      <c r="F138" s="101">
        <f t="shared" si="24"/>
        <v>-144114.30810894564</v>
      </c>
      <c r="G138" s="101">
        <f t="shared" si="24"/>
        <v>-145709.904940676</v>
      </c>
      <c r="H138" s="101">
        <f t="shared" si="24"/>
        <v>-147363.91142023096</v>
      </c>
      <c r="I138" s="101">
        <f t="shared" si="24"/>
        <v>-149079.01935896027</v>
      </c>
      <c r="J138" s="101">
        <f t="shared" si="24"/>
        <v>-150858.06201249856</v>
      </c>
      <c r="K138" s="101">
        <f t="shared" si="24"/>
        <v>-152704.02194711388</v>
      </c>
      <c r="L138" s="101">
        <f t="shared" si="24"/>
        <v>-154620.03935303824</v>
      </c>
      <c r="M138" s="101">
        <f t="shared" si="24"/>
        <v>-156609.42083037322</v>
      </c>
      <c r="N138" s="101">
        <f t="shared" si="24"/>
        <v>-158675.64867463635</v>
      </c>
      <c r="O138" s="101">
        <f t="shared" si="24"/>
        <v>-160822.39069056563</v>
      </c>
      <c r="P138" s="101">
        <f t="shared" si="24"/>
        <v>-163053.51056444427</v>
      </c>
      <c r="Q138" s="101">
        <f t="shared" si="24"/>
        <v>-165373.07882694504</v>
      </c>
      <c r="R138" s="101">
        <f t="shared" si="24"/>
        <v>-167785.38444033114</v>
      </c>
      <c r="S138" s="101">
        <f t="shared" si="24"/>
        <v>-170294.94704579443</v>
      </c>
      <c r="T138" s="101">
        <f t="shared" si="24"/>
        <v>132082.98037579469</v>
      </c>
      <c r="U138" s="101">
        <f t="shared" si="24"/>
        <v>134724.63998331066</v>
      </c>
      <c r="V138" s="101">
        <f t="shared" si="24"/>
        <v>137419.13278297684</v>
      </c>
      <c r="W138" s="101">
        <f t="shared" si="24"/>
        <v>140167.51543863636</v>
      </c>
      <c r="X138" s="101">
        <f t="shared" si="24"/>
        <v>142970.86574740915</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-1099.1686531250016</v>
      </c>
      <c r="F139" s="106">
        <f t="shared" ref="F139:AR139" si="25">F128+F136</f>
        <v>-2638.9136476691347</v>
      </c>
      <c r="G139" s="106">
        <f t="shared" si="25"/>
        <v>-4234.5104793995488</v>
      </c>
      <c r="H139" s="106">
        <f t="shared" si="25"/>
        <v>-5888.5169589544603</v>
      </c>
      <c r="I139" s="106">
        <f t="shared" si="25"/>
        <v>-7603.624897683796</v>
      </c>
      <c r="J139" s="106">
        <f t="shared" si="25"/>
        <v>-9382.6675512220681</v>
      </c>
      <c r="K139" s="106">
        <f t="shared" si="25"/>
        <v>-11228.627485837424</v>
      </c>
      <c r="L139" s="106">
        <f t="shared" si="25"/>
        <v>-13144.64489176176</v>
      </c>
      <c r="M139" s="106">
        <f t="shared" si="25"/>
        <v>-15134.026369096755</v>
      </c>
      <c r="N139" s="106">
        <f t="shared" si="25"/>
        <v>-17200.254213359884</v>
      </c>
      <c r="O139" s="106">
        <f t="shared" si="25"/>
        <v>-19346.996229289158</v>
      </c>
      <c r="P139" s="106">
        <f t="shared" si="25"/>
        <v>-21578.116103167784</v>
      </c>
      <c r="Q139" s="106">
        <f t="shared" si="25"/>
        <v>-23897.684365668552</v>
      </c>
      <c r="R139" s="106">
        <f t="shared" si="25"/>
        <v>-26309.989979054692</v>
      </c>
      <c r="S139" s="106">
        <f t="shared" si="25"/>
        <v>-28819.552584517958</v>
      </c>
      <c r="T139" s="106">
        <f t="shared" si="25"/>
        <v>132082.98037579469</v>
      </c>
      <c r="U139" s="106">
        <f t="shared" si="25"/>
        <v>134724.63998331066</v>
      </c>
      <c r="V139" s="106">
        <f t="shared" si="25"/>
        <v>137419.13278297684</v>
      </c>
      <c r="W139" s="106">
        <f t="shared" si="25"/>
        <v>140167.51543863636</v>
      </c>
      <c r="X139" s="106">
        <f t="shared" si="25"/>
        <v>142970.86574740915</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-142574.56311440148</v>
      </c>
      <c r="F140" s="106">
        <f t="shared" ref="F140:AR140" si="26">F138</f>
        <v>-144114.30810894564</v>
      </c>
      <c r="G140" s="106">
        <f t="shared" si="26"/>
        <v>-145709.904940676</v>
      </c>
      <c r="H140" s="106">
        <f t="shared" si="26"/>
        <v>-147363.91142023096</v>
      </c>
      <c r="I140" s="106">
        <f t="shared" si="26"/>
        <v>-149079.01935896027</v>
      </c>
      <c r="J140" s="106">
        <f t="shared" si="26"/>
        <v>-150858.06201249856</v>
      </c>
      <c r="K140" s="106">
        <f t="shared" si="26"/>
        <v>-152704.02194711388</v>
      </c>
      <c r="L140" s="106">
        <f t="shared" si="26"/>
        <v>-154620.03935303824</v>
      </c>
      <c r="M140" s="106">
        <f t="shared" si="26"/>
        <v>-156609.42083037322</v>
      </c>
      <c r="N140" s="106">
        <f t="shared" si="26"/>
        <v>-158675.64867463635</v>
      </c>
      <c r="O140" s="106">
        <f t="shared" si="26"/>
        <v>-160822.39069056563</v>
      </c>
      <c r="P140" s="106">
        <f t="shared" si="26"/>
        <v>-163053.51056444427</v>
      </c>
      <c r="Q140" s="106">
        <f t="shared" si="26"/>
        <v>-165373.07882694504</v>
      </c>
      <c r="R140" s="106">
        <f t="shared" si="26"/>
        <v>-167785.38444033114</v>
      </c>
      <c r="S140" s="106">
        <f t="shared" si="26"/>
        <v>-170294.94704579443</v>
      </c>
      <c r="T140" s="106">
        <f t="shared" si="26"/>
        <v>132082.98037579469</v>
      </c>
      <c r="U140" s="106">
        <f t="shared" si="26"/>
        <v>134724.63998331066</v>
      </c>
      <c r="V140" s="106">
        <f t="shared" si="26"/>
        <v>137419.13278297684</v>
      </c>
      <c r="W140" s="106">
        <f t="shared" si="26"/>
        <v>140167.51543863636</v>
      </c>
      <c r="X140" s="106">
        <f t="shared" si="26"/>
        <v>142970.86574740915</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2400000</v>
      </c>
      <c r="F141" s="108">
        <f t="shared" si="27"/>
        <v>2400000</v>
      </c>
      <c r="G141" s="108">
        <f t="shared" si="27"/>
        <v>2400000</v>
      </c>
      <c r="H141" s="108">
        <f t="shared" si="27"/>
        <v>2400000</v>
      </c>
      <c r="I141" s="108">
        <f t="shared" si="27"/>
        <v>2400000</v>
      </c>
      <c r="J141" s="108">
        <f t="shared" si="27"/>
        <v>2400000</v>
      </c>
      <c r="K141" s="108">
        <f t="shared" si="27"/>
        <v>2400000</v>
      </c>
      <c r="L141" s="108">
        <f t="shared" si="27"/>
        <v>2400000</v>
      </c>
      <c r="M141" s="108">
        <f t="shared" si="27"/>
        <v>2400000</v>
      </c>
      <c r="N141" s="108">
        <f t="shared" si="27"/>
        <v>2400000</v>
      </c>
      <c r="O141" s="108">
        <f t="shared" si="27"/>
        <v>2400000</v>
      </c>
      <c r="P141" s="108">
        <f t="shared" si="27"/>
        <v>2400000</v>
      </c>
      <c r="Q141" s="108">
        <f t="shared" si="27"/>
        <v>2400000</v>
      </c>
      <c r="R141" s="108">
        <f t="shared" si="27"/>
        <v>2400000</v>
      </c>
      <c r="S141" s="108">
        <f t="shared" si="27"/>
        <v>2400000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2028591.7965625001</v>
      </c>
      <c r="F142" s="124">
        <f t="shared" ref="F142:AR142" si="28">E142-($C$5*F114+F128+F131)</f>
        <v>1905865.3299958205</v>
      </c>
      <c r="G142" s="124">
        <f t="shared" si="28"/>
        <v>1780517.4064200334</v>
      </c>
      <c r="H142" s="124">
        <f t="shared" si="28"/>
        <v>1652356.1350571152</v>
      </c>
      <c r="I142" s="124">
        <f t="shared" si="28"/>
        <v>1521177.7682693058</v>
      </c>
      <c r="J142" s="124">
        <f t="shared" si="28"/>
        <v>1386766.003326874</v>
      </c>
      <c r="K142" s="124">
        <f t="shared" si="28"/>
        <v>1248891.2436982729</v>
      </c>
      <c r="L142" s="124">
        <f t="shared" si="28"/>
        <v>1107309.8175286385</v>
      </c>
      <c r="M142" s="124">
        <f t="shared" si="28"/>
        <v>961763.15083824447</v>
      </c>
      <c r="N142" s="124">
        <f t="shared" si="28"/>
        <v>811976.89283045731</v>
      </c>
      <c r="O142" s="124">
        <f t="shared" si="28"/>
        <v>657659.99054850347</v>
      </c>
      <c r="P142" s="124">
        <f t="shared" si="28"/>
        <v>498503.70996147447</v>
      </c>
      <c r="Q142" s="124">
        <f t="shared" si="28"/>
        <v>334180.60039198172</v>
      </c>
      <c r="R142" s="124">
        <f t="shared" si="28"/>
        <v>164343.39902018977</v>
      </c>
      <c r="S142" s="124">
        <f t="shared" si="28"/>
        <v>-11376.127988944121</v>
      </c>
      <c r="T142" s="124">
        <f t="shared" si="28"/>
        <v>-428841.53586029558</v>
      </c>
      <c r="U142" s="124">
        <f t="shared" si="28"/>
        <v>-849568.25188907422</v>
      </c>
      <c r="V142" s="124">
        <f t="shared" si="28"/>
        <v>-1273621.5022384282</v>
      </c>
      <c r="W142" s="124">
        <f t="shared" si="28"/>
        <v>-1701067.8175947694</v>
      </c>
      <c r="X142" s="124">
        <f t="shared" si="28"/>
        <v>-2131975.0592582375</v>
      </c>
      <c r="Y142" s="124">
        <f t="shared" si="28"/>
        <v>-2131975.0592582375</v>
      </c>
      <c r="Z142" s="124">
        <f t="shared" si="28"/>
        <v>-2131975.0592582375</v>
      </c>
      <c r="AA142" s="124">
        <f t="shared" si="28"/>
        <v>-2131975.0592582375</v>
      </c>
      <c r="AB142" s="124">
        <f t="shared" si="28"/>
        <v>-2131975.0592582375</v>
      </c>
      <c r="AC142" s="124">
        <f t="shared" si="28"/>
        <v>-2131975.0592582375</v>
      </c>
      <c r="AD142" s="124">
        <f t="shared" si="28"/>
        <v>-2131975.0592582375</v>
      </c>
      <c r="AE142" s="124">
        <f t="shared" si="28"/>
        <v>-2131975.0592582375</v>
      </c>
      <c r="AF142" s="124">
        <f t="shared" si="28"/>
        <v>-2131975.0592582375</v>
      </c>
      <c r="AG142" s="124">
        <f t="shared" si="28"/>
        <v>-2131975.0592582375</v>
      </c>
      <c r="AH142" s="124">
        <f t="shared" si="28"/>
        <v>-2131975.0592582375</v>
      </c>
      <c r="AI142" s="124">
        <f t="shared" si="28"/>
        <v>-2131975.0592582375</v>
      </c>
      <c r="AJ142" s="124">
        <f t="shared" si="28"/>
        <v>-2131975.0592582375</v>
      </c>
      <c r="AK142" s="124">
        <f t="shared" si="28"/>
        <v>-2131975.0592582375</v>
      </c>
      <c r="AL142" s="124">
        <f t="shared" si="28"/>
        <v>-2131975.0592582375</v>
      </c>
      <c r="AM142" s="124">
        <f t="shared" si="28"/>
        <v>-2131975.0592582375</v>
      </c>
      <c r="AN142" s="124">
        <f t="shared" si="28"/>
        <v>-2131975.0592582375</v>
      </c>
      <c r="AO142" s="124">
        <f t="shared" si="28"/>
        <v>-2131975.0592582375</v>
      </c>
      <c r="AP142" s="124">
        <f t="shared" si="28"/>
        <v>-2131975.0592582375</v>
      </c>
      <c r="AQ142" s="124">
        <f t="shared" si="28"/>
        <v>-2131975.0592582375</v>
      </c>
      <c r="AR142" s="124">
        <f t="shared" si="28"/>
        <v>-2131975.0592582375</v>
      </c>
    </row>
    <row r="143" spans="1:45" x14ac:dyDescent="0.2">
      <c r="B143" s="5" t="s">
        <v>350</v>
      </c>
      <c r="C143" s="195"/>
      <c r="D143" s="196"/>
      <c r="E143" s="197">
        <f>IF(E108&gt;$C$92,"",(-$C$89*(E135+$C$5*E114)+E128+$C$5*E114)/-E133)</f>
        <v>1.4487666362575604</v>
      </c>
      <c r="F143" s="197">
        <f>IF(F108&gt;$C$92,"",(-$C$89*(F135+$C$5*F114)+F128+$C$5*F114)/-F133)</f>
        <v>1.4378831536533423</v>
      </c>
      <c r="G143" s="197">
        <f>IF(G108&gt;$C$92,"",(-$C$89*(G135+$C$5*G114)+G128+$C$5*G114)/-G133)</f>
        <v>1.4266048897700272</v>
      </c>
      <c r="H143" s="197">
        <f>IF(H108&gt;$C$92,"",(-$C$89*(H135+$C$5*H114)+H128+$C$5*H114)/-H133)</f>
        <v>1.4149137650634789</v>
      </c>
      <c r="I143" s="197">
        <f t="shared" ref="I143:AR143" si="29">IF(I108&gt;$C$92,"",(-$C$89*(I135+$C$5*I114)+I128+$C$5*I114)/-I133)</f>
        <v>1.4027907528233625</v>
      </c>
      <c r="J143" s="197">
        <f t="shared" si="29"/>
        <v>1.3902158265592395</v>
      </c>
      <c r="K143" s="197">
        <f t="shared" si="29"/>
        <v>1.3771679043983254</v>
      </c>
      <c r="L143" s="197">
        <f t="shared" si="29"/>
        <v>1.3636247903238226</v>
      </c>
      <c r="M143" s="197">
        <f t="shared" si="29"/>
        <v>1.349563112072913</v>
      </c>
      <c r="N143" s="197">
        <f t="shared" si="29"/>
        <v>1.334958255503111</v>
      </c>
      <c r="O143" s="197">
        <f t="shared" si="29"/>
        <v>1.3197842952246903</v>
      </c>
      <c r="P143" s="197">
        <f t="shared" si="29"/>
        <v>1.304013921285289</v>
      </c>
      <c r="Q143" s="197">
        <f t="shared" si="29"/>
        <v>1.287618361680501</v>
      </c>
      <c r="R143" s="197">
        <f t="shared" si="29"/>
        <v>1.2705673004512894</v>
      </c>
      <c r="S143" s="197">
        <f t="shared" si="29"/>
        <v>1.252828791115306</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-1246928.7582926853</v>
      </c>
    </row>
    <row r="147" spans="2:45" x14ac:dyDescent="0.2">
      <c r="B147" s="79" t="s">
        <v>354</v>
      </c>
      <c r="C147" s="216" t="str">
        <f>$C$9</f>
        <v>kWh</v>
      </c>
      <c r="D147" s="126">
        <f>(1-$C$89)*NPV($C$86,E141:AR141)</f>
        <v>18880612.03216847</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1.3587534504121506</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-7.1201093569113749E-2</v>
      </c>
      <c r="E151" s="131"/>
      <c r="F151" s="128"/>
      <c r="G151" s="112"/>
    </row>
    <row r="152" spans="2:45" x14ac:dyDescent="0.2">
      <c r="B152" s="79" t="s">
        <v>359</v>
      </c>
      <c r="C152" s="80"/>
      <c r="D152" s="132">
        <f>IFERROR(IRR(D140:AR140),"n.v.t.")</f>
        <v>-0.13940983374140936</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2400</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IFERROR(ROUND(INDEX(Correctiebedragen!$A$1:$K$256,MATCH('7'!C16,Correctiebedragen!$A$1:$A$256,0),8),decimalen),"n.v.t.")</f>
        <v>n.v.t.</v>
      </c>
    </row>
    <row r="162" spans="2:20" customFormat="1" ht="15" x14ac:dyDescent="0.25">
      <c r="B162" s="248" t="s">
        <v>367</v>
      </c>
      <c r="C162" s="250" t="str">
        <f>IFERROR(ROUND(INDEX(Correctiebedragen!$A$1:$K$256,MATCH('7'!C17,Correctiebedragen!$A$1:$A$256,0),8),decimalen),"n.v.t.")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IFERROR(ROUND(INDEX(Correctiebedragen!$A$1:$K$256,MATCH('7'!C16,Correctiebedragen!$A$1:$A$256,0),4),decimalen),"n.v.t.")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IFERROR(ROUND(INDEX(Correctiebedragen!$A$1:$K$256,MATCH('7'!C17,Correctiebedragen!$A$1:$A$256,0),4),decimalen),"n.v.t.")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IFERROR(ROUND(INDEX(Correctiebedragen!$A$1:$K$256,MATCH('7'!C16,Correctiebedragen!$A$1:$A$256,0),6),decimalen),"n.v.t.")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IFERROR(ROUND(INDEX(Correctiebedragen!$A$1:$K$256,MATCH('7'!C17,Correctiebedragen!$A$1:$A$256,0),6),decimalen),"n.v.t.")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36000000</v>
      </c>
      <c r="E174" s="28"/>
    </row>
    <row r="175" spans="2:20" customFormat="1" ht="26.25" x14ac:dyDescent="0.25">
      <c r="B175" s="256" t="s">
        <v>370</v>
      </c>
      <c r="C175" s="271">
        <f>IF(C95=0,SUM(E114:INDEX(E114:AR114,1,C91)),SUM(E114:INDEX(E114:AR114,1,C95)))</f>
        <v>48000000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64" priority="5" operator="containsText" text="Pas op">
      <formula>NOT(ISERROR(SEARCH("Pas op",G1)))</formula>
    </cfRule>
  </conditionalFormatting>
  <conditionalFormatting sqref="G186">
    <cfRule type="containsText" dxfId="63" priority="4" operator="containsText" text="Pas op">
      <formula>NOT(ISERROR(SEARCH("Pas op",G186)))</formula>
    </cfRule>
  </conditionalFormatting>
  <conditionalFormatting sqref="G162 G165 G169:G170">
    <cfRule type="containsText" dxfId="62" priority="3" operator="containsText" text="Pas op">
      <formula>NOT(ISERROR(SEARCH("Pas op",G162)))</formula>
    </cfRule>
  </conditionalFormatting>
  <conditionalFormatting sqref="G100">
    <cfRule type="containsText" dxfId="61" priority="2" operator="containsText" text="Pas op">
      <formula>NOT(ISERROR(SEARCH("Pas op",G100)))</formula>
    </cfRule>
  </conditionalFormatting>
  <conditionalFormatting sqref="G166:G168">
    <cfRule type="containsText" dxfId="60" priority="1" operator="containsText" text="Pas op">
      <formula>NOT(ISERROR(SEARCH("Pas op",G166)))</formula>
    </cfRule>
  </conditionalFormatting>
  <dataValidations count="3">
    <dataValidation type="list" allowBlank="1" showInputMessage="1" showErrorMessage="1" sqref="C10" xr:uid="{336E2B95-BFD6-49B3-A873-3168E9BAFCA6}">
      <formula1>INDIRECT("lst_vermogenseenheid")</formula1>
    </dataValidation>
    <dataValidation type="list" allowBlank="1" showInputMessage="1" showErrorMessage="1" sqref="C9" xr:uid="{3047280F-5C2F-4499-B080-9513FB84F5AF}">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ACBE99BF-89BF-477B-86F8-D287BCB127FB}">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D90906D7-FF4F-40AB-BFE3-72B3A482E39B}">
          <x14:formula1>
            <xm:f>'ETS correctie methodes'!$B$4:$B$14</xm:f>
          </x14:formula1>
          <xm:sqref>C13</xm:sqref>
        </x14:dataValidation>
        <x14:dataValidation type="list" allowBlank="1" showInputMessage="1" showErrorMessage="1" xr:uid="{B408ED73-09B9-4E55-961D-34F27F098F69}">
          <x14:formula1>
            <xm:f>Colofon!$A$51:$A$56</xm:f>
          </x14:formula1>
          <xm:sqref>C11</xm:sqref>
        </x14:dataValidation>
        <x14:dataValidation type="list" allowBlank="1" showInputMessage="1" showErrorMessage="1" xr:uid="{97EC527C-3A01-44A9-8B18-7638F7C3C2C6}">
          <x14:formula1>
            <xm:f>Correctiebedragen!$A$3:$A$7</xm:f>
          </x14:formula1>
          <xm:sqref>C12 C16:C17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BB80-0875-44E2-8CC4-CDA2964739E3}">
  <sheetPr codeName="Sheet99">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377</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0.114</v>
      </c>
      <c r="D5" s="113" t="str">
        <f>CONCATENATE("Euro/",$C$9)</f>
        <v>Euro/kWh</v>
      </c>
      <c r="E5" s="424"/>
      <c r="F5" s="425"/>
      <c r="G5" s="425"/>
      <c r="H5" s="425"/>
      <c r="I5" s="425"/>
      <c r="J5" s="425"/>
      <c r="K5" s="425"/>
      <c r="L5" s="425"/>
      <c r="M5" s="426"/>
      <c r="N5" s="26"/>
    </row>
    <row r="6" spans="1:14" x14ac:dyDescent="0.2">
      <c r="B6" s="4" t="s">
        <v>203</v>
      </c>
      <c r="C6" s="114">
        <f>ROUND((C5-C7)/C8*1000,0)</f>
        <v>476</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"&amp;IFERROR(INDEX(Correctiebedragen!$A$1:$M$256,MATCH('8'!C12,Correctiebedragen!$A$1:$A$256,0),9),"")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IFERROR(INDEX(Correctiebedragen!$A$1:$M$256,MATCH('8'!C16,Correctiebedragen!$A$1:$A$256,0),9),"")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IFERROR(INDEX(Correctiebedragen!$A$1:$M$256,MATCH('8'!C17,Correctiebedragen!$A$1:$A$256,0),9),"")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IFERROR(ROUND(INDEX(Correctiebedragen!$A$1:$K$7,MATCH('8'!C16,Correctiebedragen!$A$1:$A$7,0),8),decimalen),"n.v.t.")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IFERROR(ROUND(INDEX(Correctiebedragen!$A$1:$K$7,MATCH('8'!C17,Correctiebedragen!$A$1:$A$7,0),8),decimalen),"n.v.t.")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2220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2220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2220000</v>
      </c>
      <c r="F111" s="78">
        <f t="shared" ref="F111:AR111" si="2">IF(F108&lt;=$C$94,$C$37*$C$39,IF(AND(F108&gt;$C$94,F108&lt;=$C$91),$C$37*$C$77,0))*IF($C$41=0,1,$C$42/$C$41)</f>
        <v>2220000</v>
      </c>
      <c r="G111" s="78">
        <f t="shared" si="2"/>
        <v>2220000</v>
      </c>
      <c r="H111" s="78">
        <f t="shared" si="2"/>
        <v>2220000</v>
      </c>
      <c r="I111" s="78">
        <f t="shared" si="2"/>
        <v>2220000</v>
      </c>
      <c r="J111" s="78">
        <f t="shared" si="2"/>
        <v>2220000</v>
      </c>
      <c r="K111" s="78">
        <f t="shared" si="2"/>
        <v>2220000</v>
      </c>
      <c r="L111" s="78">
        <f t="shared" si="2"/>
        <v>2220000</v>
      </c>
      <c r="M111" s="78">
        <f t="shared" si="2"/>
        <v>2220000</v>
      </c>
      <c r="N111" s="78">
        <f t="shared" si="2"/>
        <v>2220000</v>
      </c>
      <c r="O111" s="78">
        <f t="shared" si="2"/>
        <v>2220000</v>
      </c>
      <c r="P111" s="78">
        <f t="shared" si="2"/>
        <v>2220000</v>
      </c>
      <c r="Q111" s="78">
        <f t="shared" si="2"/>
        <v>2220000</v>
      </c>
      <c r="R111" s="78">
        <f t="shared" si="2"/>
        <v>2220000</v>
      </c>
      <c r="S111" s="78">
        <f t="shared" si="2"/>
        <v>2220000</v>
      </c>
      <c r="T111" s="78">
        <f t="shared" si="2"/>
        <v>2220000</v>
      </c>
      <c r="U111" s="78">
        <f t="shared" si="2"/>
        <v>2220000</v>
      </c>
      <c r="V111" s="78">
        <f t="shared" si="2"/>
        <v>2220000</v>
      </c>
      <c r="W111" s="78">
        <f t="shared" si="2"/>
        <v>2220000</v>
      </c>
      <c r="X111" s="78">
        <f t="shared" si="2"/>
        <v>2220000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2220000</v>
      </c>
      <c r="F114" s="84">
        <f t="shared" ref="F114:AR114" si="5">SUM(F111:F113)</f>
        <v>2220000</v>
      </c>
      <c r="G114" s="84">
        <f t="shared" si="5"/>
        <v>2220000</v>
      </c>
      <c r="H114" s="84">
        <f t="shared" si="5"/>
        <v>2220000</v>
      </c>
      <c r="I114" s="84">
        <f t="shared" si="5"/>
        <v>2220000</v>
      </c>
      <c r="J114" s="84">
        <f t="shared" si="5"/>
        <v>2220000</v>
      </c>
      <c r="K114" s="84">
        <f t="shared" si="5"/>
        <v>2220000</v>
      </c>
      <c r="L114" s="84">
        <f t="shared" si="5"/>
        <v>2220000</v>
      </c>
      <c r="M114" s="84">
        <f t="shared" si="5"/>
        <v>2220000</v>
      </c>
      <c r="N114" s="84">
        <f t="shared" si="5"/>
        <v>2220000</v>
      </c>
      <c r="O114" s="84">
        <f t="shared" si="5"/>
        <v>2220000</v>
      </c>
      <c r="P114" s="84">
        <f t="shared" si="5"/>
        <v>2220000</v>
      </c>
      <c r="Q114" s="84">
        <f t="shared" si="5"/>
        <v>2220000</v>
      </c>
      <c r="R114" s="84">
        <f t="shared" si="5"/>
        <v>2220000</v>
      </c>
      <c r="S114" s="84">
        <f t="shared" si="5"/>
        <v>2220000</v>
      </c>
      <c r="T114" s="84">
        <f t="shared" si="5"/>
        <v>2220000</v>
      </c>
      <c r="U114" s="84">
        <f t="shared" si="5"/>
        <v>2220000</v>
      </c>
      <c r="V114" s="84">
        <f t="shared" si="5"/>
        <v>2220000</v>
      </c>
      <c r="W114" s="84">
        <f t="shared" si="5"/>
        <v>2220000</v>
      </c>
      <c r="X114" s="84">
        <f t="shared" si="5"/>
        <v>2220000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-50740</v>
      </c>
      <c r="F116" s="78">
        <f t="shared" si="6"/>
        <v>-51754.8</v>
      </c>
      <c r="G116" s="78">
        <f t="shared" si="6"/>
        <v>-52789.896000000001</v>
      </c>
      <c r="H116" s="78">
        <f t="shared" si="6"/>
        <v>-53845.693919999998</v>
      </c>
      <c r="I116" s="78">
        <f t="shared" si="6"/>
        <v>-54922.6077984</v>
      </c>
      <c r="J116" s="78">
        <f t="shared" si="6"/>
        <v>-56021.059954368</v>
      </c>
      <c r="K116" s="78">
        <f t="shared" si="6"/>
        <v>-57141.481153455366</v>
      </c>
      <c r="L116" s="78">
        <f t="shared" si="6"/>
        <v>-58284.310776524457</v>
      </c>
      <c r="M116" s="78">
        <f t="shared" si="6"/>
        <v>-59449.996992054956</v>
      </c>
      <c r="N116" s="78">
        <f t="shared" si="6"/>
        <v>-60638.99693189605</v>
      </c>
      <c r="O116" s="78">
        <f t="shared" si="6"/>
        <v>-61851.776870533977</v>
      </c>
      <c r="P116" s="78">
        <f t="shared" si="6"/>
        <v>-63088.812407944642</v>
      </c>
      <c r="Q116" s="78">
        <f t="shared" si="6"/>
        <v>-64350.588656103544</v>
      </c>
      <c r="R116" s="78">
        <f t="shared" si="6"/>
        <v>-65637.600429225611</v>
      </c>
      <c r="S116" s="78">
        <f t="shared" si="6"/>
        <v>-66950.352437810128</v>
      </c>
      <c r="T116" s="78">
        <f t="shared" si="6"/>
        <v>-68289.359486566318</v>
      </c>
      <c r="U116" s="78">
        <f t="shared" si="6"/>
        <v>-69655.146676297649</v>
      </c>
      <c r="V116" s="78">
        <f t="shared" si="6"/>
        <v>-71048.249609823615</v>
      </c>
      <c r="W116" s="78">
        <f t="shared" si="6"/>
        <v>-72469.214602020074</v>
      </c>
      <c r="X116" s="78">
        <f t="shared" si="6"/>
        <v>-73918.598894060473</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217812.64013770042</v>
      </c>
      <c r="U123" s="81">
        <f t="shared" si="13"/>
        <v>222168.89294045448</v>
      </c>
      <c r="V123" s="81">
        <f t="shared" si="13"/>
        <v>226612.27079926358</v>
      </c>
      <c r="W123" s="81">
        <f t="shared" si="13"/>
        <v>231144.51621524882</v>
      </c>
      <c r="X123" s="81">
        <f t="shared" si="13"/>
        <v>235767.40653955383</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217812.64013770042</v>
      </c>
      <c r="U126" s="78">
        <f t="shared" si="15"/>
        <v>222168.89294045448</v>
      </c>
      <c r="V126" s="78">
        <f t="shared" si="15"/>
        <v>226612.27079926358</v>
      </c>
      <c r="W126" s="78">
        <f t="shared" si="15"/>
        <v>231144.51621524882</v>
      </c>
      <c r="X126" s="78">
        <f t="shared" si="15"/>
        <v>235767.40653955383</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-50740</v>
      </c>
      <c r="F127" s="81">
        <f t="shared" si="16"/>
        <v>-51754.8</v>
      </c>
      <c r="G127" s="81">
        <f t="shared" si="16"/>
        <v>-52789.896000000001</v>
      </c>
      <c r="H127" s="81">
        <f t="shared" si="16"/>
        <v>-53845.693919999998</v>
      </c>
      <c r="I127" s="81">
        <f t="shared" si="16"/>
        <v>-54922.6077984</v>
      </c>
      <c r="J127" s="81">
        <f t="shared" si="16"/>
        <v>-56021.059954368</v>
      </c>
      <c r="K127" s="81">
        <f t="shared" si="16"/>
        <v>-57141.481153455366</v>
      </c>
      <c r="L127" s="81">
        <f t="shared" si="16"/>
        <v>-58284.310776524457</v>
      </c>
      <c r="M127" s="81">
        <f t="shared" si="16"/>
        <v>-59449.996992054956</v>
      </c>
      <c r="N127" s="81">
        <f t="shared" si="16"/>
        <v>-60638.99693189605</v>
      </c>
      <c r="O127" s="81">
        <f t="shared" si="16"/>
        <v>-61851.776870533977</v>
      </c>
      <c r="P127" s="81">
        <f t="shared" si="16"/>
        <v>-63088.812407944642</v>
      </c>
      <c r="Q127" s="81">
        <f t="shared" si="16"/>
        <v>-64350.588656103544</v>
      </c>
      <c r="R127" s="81">
        <f t="shared" si="16"/>
        <v>-65637.600429225611</v>
      </c>
      <c r="S127" s="81">
        <f t="shared" si="16"/>
        <v>-66950.352437810128</v>
      </c>
      <c r="T127" s="81">
        <f t="shared" si="16"/>
        <v>-68289.359486566318</v>
      </c>
      <c r="U127" s="81">
        <f t="shared" si="16"/>
        <v>-69655.146676297649</v>
      </c>
      <c r="V127" s="81">
        <f t="shared" si="16"/>
        <v>-71048.249609823615</v>
      </c>
      <c r="W127" s="81">
        <f t="shared" si="16"/>
        <v>-72469.214602020074</v>
      </c>
      <c r="X127" s="81">
        <f t="shared" si="16"/>
        <v>-73918.598894060473</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-50740</v>
      </c>
      <c r="F128" s="90">
        <f t="shared" ref="F128:AR128" si="17">SUM(F126:F127)</f>
        <v>-51754.8</v>
      </c>
      <c r="G128" s="90">
        <f t="shared" si="17"/>
        <v>-52789.896000000001</v>
      </c>
      <c r="H128" s="90">
        <f t="shared" si="17"/>
        <v>-53845.693919999998</v>
      </c>
      <c r="I128" s="90">
        <f t="shared" si="17"/>
        <v>-54922.6077984</v>
      </c>
      <c r="J128" s="90">
        <f t="shared" si="17"/>
        <v>-56021.059954368</v>
      </c>
      <c r="K128" s="90">
        <f t="shared" si="17"/>
        <v>-57141.481153455366</v>
      </c>
      <c r="L128" s="90">
        <f t="shared" si="17"/>
        <v>-58284.310776524457</v>
      </c>
      <c r="M128" s="90">
        <f t="shared" si="17"/>
        <v>-59449.996992054956</v>
      </c>
      <c r="N128" s="90">
        <f t="shared" si="17"/>
        <v>-60638.99693189605</v>
      </c>
      <c r="O128" s="90">
        <f t="shared" si="17"/>
        <v>-61851.776870533977</v>
      </c>
      <c r="P128" s="90">
        <f t="shared" si="17"/>
        <v>-63088.812407944642</v>
      </c>
      <c r="Q128" s="90">
        <f t="shared" si="17"/>
        <v>-64350.588656103544</v>
      </c>
      <c r="R128" s="90">
        <f t="shared" si="17"/>
        <v>-65637.600429225611</v>
      </c>
      <c r="S128" s="90">
        <f t="shared" si="17"/>
        <v>-66950.352437810128</v>
      </c>
      <c r="T128" s="90">
        <f t="shared" si="17"/>
        <v>149523.28065113409</v>
      </c>
      <c r="U128" s="90">
        <f t="shared" si="17"/>
        <v>152513.74626415683</v>
      </c>
      <c r="V128" s="90">
        <f t="shared" si="17"/>
        <v>155564.02118943998</v>
      </c>
      <c r="W128" s="90">
        <f t="shared" si="17"/>
        <v>158675.30161322874</v>
      </c>
      <c r="X128" s="90">
        <f t="shared" si="17"/>
        <v>161848.80764549336</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-274312.79656250001</v>
      </c>
      <c r="F135" s="95">
        <f t="shared" ref="F135:AR135" si="22">F128+F130+F131</f>
        <v>-271810.8334333204</v>
      </c>
      <c r="G135" s="95">
        <f t="shared" si="22"/>
        <v>-269126.95242421288</v>
      </c>
      <c r="H135" s="95">
        <f t="shared" si="22"/>
        <v>-266249.93215708173</v>
      </c>
      <c r="I135" s="95">
        <f t="shared" si="22"/>
        <v>-263167.89080259053</v>
      </c>
      <c r="J135" s="95">
        <f t="shared" si="22"/>
        <v>-259868.24779977606</v>
      </c>
      <c r="K135" s="95">
        <f t="shared" si="22"/>
        <v>-256337.68336845102</v>
      </c>
      <c r="L135" s="95">
        <f t="shared" si="22"/>
        <v>-252562.09568735896</v>
      </c>
      <c r="M135" s="95">
        <f t="shared" si="22"/>
        <v>-248526.55560373905</v>
      </c>
      <c r="N135" s="95">
        <f t="shared" si="22"/>
        <v>-244215.25873222857</v>
      </c>
      <c r="O135" s="95">
        <f t="shared" si="22"/>
        <v>-239611.47479286222</v>
      </c>
      <c r="P135" s="95">
        <f t="shared" si="22"/>
        <v>-234697.49402928335</v>
      </c>
      <c r="Q135" s="95">
        <f t="shared" si="22"/>
        <v>-229454.57053914585</v>
      </c>
      <c r="R135" s="95">
        <f t="shared" si="22"/>
        <v>-223862.86233901943</v>
      </c>
      <c r="S135" s="95">
        <f t="shared" si="22"/>
        <v>-217901.36797589372</v>
      </c>
      <c r="T135" s="95">
        <f t="shared" si="22"/>
        <v>149523.28065113409</v>
      </c>
      <c r="U135" s="95">
        <f t="shared" si="22"/>
        <v>152513.74626415683</v>
      </c>
      <c r="V135" s="95">
        <f t="shared" si="22"/>
        <v>155564.02118943998</v>
      </c>
      <c r="W135" s="95">
        <f t="shared" si="22"/>
        <v>158675.30161322874</v>
      </c>
      <c r="X135" s="95">
        <f t="shared" si="22"/>
        <v>161848.80764549336</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52119.431346875004</v>
      </c>
      <c r="F136" s="97">
        <f t="shared" si="23"/>
        <v>51644.058352330874</v>
      </c>
      <c r="G136" s="97">
        <f t="shared" si="23"/>
        <v>51134.120960600449</v>
      </c>
      <c r="H136" s="97">
        <f t="shared" si="23"/>
        <v>50587.487109845526</v>
      </c>
      <c r="I136" s="97">
        <f t="shared" si="23"/>
        <v>50001.8992524922</v>
      </c>
      <c r="J136" s="97">
        <f t="shared" si="23"/>
        <v>49374.967081957453</v>
      </c>
      <c r="K136" s="97">
        <f t="shared" si="23"/>
        <v>48704.159840005697</v>
      </c>
      <c r="L136" s="97">
        <f t="shared" si="23"/>
        <v>47986.798180598205</v>
      </c>
      <c r="M136" s="97">
        <f t="shared" si="23"/>
        <v>47220.045564710417</v>
      </c>
      <c r="N136" s="97">
        <f t="shared" si="23"/>
        <v>46400.89915912343</v>
      </c>
      <c r="O136" s="97">
        <f t="shared" si="23"/>
        <v>45526.180210643826</v>
      </c>
      <c r="P136" s="97">
        <f t="shared" si="23"/>
        <v>44592.523865563839</v>
      </c>
      <c r="Q136" s="97">
        <f t="shared" si="23"/>
        <v>43596.368402437714</v>
      </c>
      <c r="R136" s="97">
        <f t="shared" si="23"/>
        <v>42533.94384441369</v>
      </c>
      <c r="S136" s="97">
        <f t="shared" si="23"/>
        <v>41401.259915419811</v>
      </c>
      <c r="T136" s="97">
        <f t="shared" si="23"/>
        <v>-28409.423323715477</v>
      </c>
      <c r="U136" s="97">
        <f t="shared" si="23"/>
        <v>-28977.611790189796</v>
      </c>
      <c r="V136" s="97">
        <f t="shared" si="23"/>
        <v>-29557.164025993596</v>
      </c>
      <c r="W136" s="97">
        <f t="shared" si="23"/>
        <v>-30148.307306513463</v>
      </c>
      <c r="X136" s="97">
        <f t="shared" si="23"/>
        <v>-30751.273452643738</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-140095.96311440147</v>
      </c>
      <c r="F138" s="101">
        <f t="shared" si="24"/>
        <v>-141586.13610894565</v>
      </c>
      <c r="G138" s="101">
        <f t="shared" si="24"/>
        <v>-143131.16950067604</v>
      </c>
      <c r="H138" s="101">
        <f t="shared" si="24"/>
        <v>-144733.60127143093</v>
      </c>
      <c r="I138" s="101">
        <f t="shared" si="24"/>
        <v>-146396.10300718425</v>
      </c>
      <c r="J138" s="101">
        <f t="shared" si="24"/>
        <v>-148121.48733368702</v>
      </c>
      <c r="K138" s="101">
        <f t="shared" si="24"/>
        <v>-149912.71577472612</v>
      </c>
      <c r="L138" s="101">
        <f t="shared" si="24"/>
        <v>-151772.90705720271</v>
      </c>
      <c r="M138" s="101">
        <f t="shared" si="24"/>
        <v>-153705.345888621</v>
      </c>
      <c r="N138" s="101">
        <f t="shared" si="24"/>
        <v>-155713.4922340491</v>
      </c>
      <c r="O138" s="101">
        <f t="shared" si="24"/>
        <v>-157800.99112116662</v>
      </c>
      <c r="P138" s="101">
        <f t="shared" si="24"/>
        <v>-159971.68300365726</v>
      </c>
      <c r="Q138" s="101">
        <f t="shared" si="24"/>
        <v>-162229.61471494229</v>
      </c>
      <c r="R138" s="101">
        <f t="shared" si="24"/>
        <v>-164579.0510460884</v>
      </c>
      <c r="S138" s="101">
        <f t="shared" si="24"/>
        <v>-167024.48698366678</v>
      </c>
      <c r="T138" s="101">
        <f t="shared" si="24"/>
        <v>121113.85732741861</v>
      </c>
      <c r="U138" s="101">
        <f t="shared" si="24"/>
        <v>123536.13447396703</v>
      </c>
      <c r="V138" s="101">
        <f t="shared" si="24"/>
        <v>126006.85716344639</v>
      </c>
      <c r="W138" s="101">
        <f t="shared" si="24"/>
        <v>128526.99430671528</v>
      </c>
      <c r="X138" s="101">
        <f t="shared" si="24"/>
        <v>131097.53419284962</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1379.4313468750042</v>
      </c>
      <c r="F139" s="106">
        <f t="shared" ref="F139:AR139" si="25">F128+F136</f>
        <v>-110.74164766912872</v>
      </c>
      <c r="G139" s="106">
        <f t="shared" si="25"/>
        <v>-1655.775039399552</v>
      </c>
      <c r="H139" s="106">
        <f t="shared" si="25"/>
        <v>-3258.2068101544719</v>
      </c>
      <c r="I139" s="106">
        <f t="shared" si="25"/>
        <v>-4920.7085459078007</v>
      </c>
      <c r="J139" s="106">
        <f t="shared" si="25"/>
        <v>-6646.092872410547</v>
      </c>
      <c r="K139" s="106">
        <f t="shared" si="25"/>
        <v>-8437.3213134496691</v>
      </c>
      <c r="L139" s="106">
        <f t="shared" si="25"/>
        <v>-10297.512595926251</v>
      </c>
      <c r="M139" s="106">
        <f t="shared" si="25"/>
        <v>-12229.951427344538</v>
      </c>
      <c r="N139" s="106">
        <f t="shared" si="25"/>
        <v>-14238.09777277262</v>
      </c>
      <c r="O139" s="106">
        <f t="shared" si="25"/>
        <v>-16325.59665989015</v>
      </c>
      <c r="P139" s="106">
        <f t="shared" si="25"/>
        <v>-18496.288542380804</v>
      </c>
      <c r="Q139" s="106">
        <f t="shared" si="25"/>
        <v>-20754.22025366583</v>
      </c>
      <c r="R139" s="106">
        <f t="shared" si="25"/>
        <v>-23103.656584811921</v>
      </c>
      <c r="S139" s="106">
        <f t="shared" si="25"/>
        <v>-25549.092522390318</v>
      </c>
      <c r="T139" s="106">
        <f t="shared" si="25"/>
        <v>121113.85732741861</v>
      </c>
      <c r="U139" s="106">
        <f t="shared" si="25"/>
        <v>123536.13447396703</v>
      </c>
      <c r="V139" s="106">
        <f t="shared" si="25"/>
        <v>126006.85716344639</v>
      </c>
      <c r="W139" s="106">
        <f t="shared" si="25"/>
        <v>128526.99430671528</v>
      </c>
      <c r="X139" s="106">
        <f t="shared" si="25"/>
        <v>131097.53419284962</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-140095.96311440147</v>
      </c>
      <c r="F140" s="106">
        <f t="shared" ref="F140:AR140" si="26">F138</f>
        <v>-141586.13610894565</v>
      </c>
      <c r="G140" s="106">
        <f t="shared" si="26"/>
        <v>-143131.16950067604</v>
      </c>
      <c r="H140" s="106">
        <f t="shared" si="26"/>
        <v>-144733.60127143093</v>
      </c>
      <c r="I140" s="106">
        <f t="shared" si="26"/>
        <v>-146396.10300718425</v>
      </c>
      <c r="J140" s="106">
        <f t="shared" si="26"/>
        <v>-148121.48733368702</v>
      </c>
      <c r="K140" s="106">
        <f t="shared" si="26"/>
        <v>-149912.71577472612</v>
      </c>
      <c r="L140" s="106">
        <f t="shared" si="26"/>
        <v>-151772.90705720271</v>
      </c>
      <c r="M140" s="106">
        <f t="shared" si="26"/>
        <v>-153705.345888621</v>
      </c>
      <c r="N140" s="106">
        <f t="shared" si="26"/>
        <v>-155713.4922340491</v>
      </c>
      <c r="O140" s="106">
        <f t="shared" si="26"/>
        <v>-157800.99112116662</v>
      </c>
      <c r="P140" s="106">
        <f t="shared" si="26"/>
        <v>-159971.68300365726</v>
      </c>
      <c r="Q140" s="106">
        <f t="shared" si="26"/>
        <v>-162229.61471494229</v>
      </c>
      <c r="R140" s="106">
        <f t="shared" si="26"/>
        <v>-164579.0510460884</v>
      </c>
      <c r="S140" s="106">
        <f t="shared" si="26"/>
        <v>-167024.48698366678</v>
      </c>
      <c r="T140" s="106">
        <f t="shared" si="26"/>
        <v>121113.85732741861</v>
      </c>
      <c r="U140" s="106">
        <f t="shared" si="26"/>
        <v>123536.13447396703</v>
      </c>
      <c r="V140" s="106">
        <f t="shared" si="26"/>
        <v>126006.85716344639</v>
      </c>
      <c r="W140" s="106">
        <f t="shared" si="26"/>
        <v>128526.99430671528</v>
      </c>
      <c r="X140" s="106">
        <f t="shared" si="26"/>
        <v>131097.53419284962</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2220000</v>
      </c>
      <c r="F141" s="108">
        <f t="shared" si="27"/>
        <v>2220000</v>
      </c>
      <c r="G141" s="108">
        <f t="shared" si="27"/>
        <v>2220000</v>
      </c>
      <c r="H141" s="108">
        <f t="shared" si="27"/>
        <v>2220000</v>
      </c>
      <c r="I141" s="108">
        <f t="shared" si="27"/>
        <v>2220000</v>
      </c>
      <c r="J141" s="108">
        <f t="shared" si="27"/>
        <v>2220000</v>
      </c>
      <c r="K141" s="108">
        <f t="shared" si="27"/>
        <v>2220000</v>
      </c>
      <c r="L141" s="108">
        <f t="shared" si="27"/>
        <v>2220000</v>
      </c>
      <c r="M141" s="108">
        <f t="shared" si="27"/>
        <v>2220000</v>
      </c>
      <c r="N141" s="108">
        <f t="shared" si="27"/>
        <v>2220000</v>
      </c>
      <c r="O141" s="108">
        <f t="shared" si="27"/>
        <v>2220000</v>
      </c>
      <c r="P141" s="108">
        <f t="shared" si="27"/>
        <v>2220000</v>
      </c>
      <c r="Q141" s="108">
        <f t="shared" si="27"/>
        <v>2220000</v>
      </c>
      <c r="R141" s="108">
        <f t="shared" si="27"/>
        <v>2220000</v>
      </c>
      <c r="S141" s="108">
        <f t="shared" si="27"/>
        <v>2220000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2026851.7965625001</v>
      </c>
      <c r="F142" s="124">
        <f t="shared" ref="F142:AR142" si="28">E142-($C$5*F114+F128+F131)</f>
        <v>1902324.1299958203</v>
      </c>
      <c r="G142" s="124">
        <f t="shared" si="28"/>
        <v>1775112.5824200332</v>
      </c>
      <c r="H142" s="124">
        <f t="shared" si="28"/>
        <v>1645024.014577115</v>
      </c>
      <c r="I142" s="124">
        <f t="shared" si="28"/>
        <v>1511853.4053797056</v>
      </c>
      <c r="J142" s="124">
        <f t="shared" si="28"/>
        <v>1375383.1531794816</v>
      </c>
      <c r="K142" s="124">
        <f t="shared" si="28"/>
        <v>1235382.3365479326</v>
      </c>
      <c r="L142" s="124">
        <f t="shared" si="28"/>
        <v>1091605.9322352915</v>
      </c>
      <c r="M142" s="124">
        <f t="shared" si="28"/>
        <v>943793.98783903057</v>
      </c>
      <c r="N142" s="124">
        <f t="shared" si="28"/>
        <v>791670.74657125911</v>
      </c>
      <c r="O142" s="124">
        <f t="shared" si="28"/>
        <v>634943.7213641213</v>
      </c>
      <c r="P142" s="124">
        <f t="shared" si="28"/>
        <v>473302.71539340465</v>
      </c>
      <c r="Q142" s="124">
        <f t="shared" si="28"/>
        <v>306418.7859325505</v>
      </c>
      <c r="R142" s="124">
        <f t="shared" si="28"/>
        <v>133943.14827156992</v>
      </c>
      <c r="S142" s="124">
        <f t="shared" si="28"/>
        <v>-44493.983752536355</v>
      </c>
      <c r="T142" s="124">
        <f t="shared" si="28"/>
        <v>-447097.26440367044</v>
      </c>
      <c r="U142" s="124">
        <f t="shared" si="28"/>
        <v>-852691.01066782721</v>
      </c>
      <c r="V142" s="124">
        <f t="shared" si="28"/>
        <v>-1261335.0318572673</v>
      </c>
      <c r="W142" s="124">
        <f t="shared" si="28"/>
        <v>-1673090.3334704959</v>
      </c>
      <c r="X142" s="124">
        <f t="shared" si="28"/>
        <v>-2088019.1411159893</v>
      </c>
      <c r="Y142" s="124">
        <f t="shared" si="28"/>
        <v>-2088019.1411159893</v>
      </c>
      <c r="Z142" s="124">
        <f t="shared" si="28"/>
        <v>-2088019.1411159893</v>
      </c>
      <c r="AA142" s="124">
        <f t="shared" si="28"/>
        <v>-2088019.1411159893</v>
      </c>
      <c r="AB142" s="124">
        <f t="shared" si="28"/>
        <v>-2088019.1411159893</v>
      </c>
      <c r="AC142" s="124">
        <f t="shared" si="28"/>
        <v>-2088019.1411159893</v>
      </c>
      <c r="AD142" s="124">
        <f t="shared" si="28"/>
        <v>-2088019.1411159893</v>
      </c>
      <c r="AE142" s="124">
        <f t="shared" si="28"/>
        <v>-2088019.1411159893</v>
      </c>
      <c r="AF142" s="124">
        <f t="shared" si="28"/>
        <v>-2088019.1411159893</v>
      </c>
      <c r="AG142" s="124">
        <f t="shared" si="28"/>
        <v>-2088019.1411159893</v>
      </c>
      <c r="AH142" s="124">
        <f t="shared" si="28"/>
        <v>-2088019.1411159893</v>
      </c>
      <c r="AI142" s="124">
        <f t="shared" si="28"/>
        <v>-2088019.1411159893</v>
      </c>
      <c r="AJ142" s="124">
        <f t="shared" si="28"/>
        <v>-2088019.1411159893</v>
      </c>
      <c r="AK142" s="124">
        <f t="shared" si="28"/>
        <v>-2088019.1411159893</v>
      </c>
      <c r="AL142" s="124">
        <f t="shared" si="28"/>
        <v>-2088019.1411159893</v>
      </c>
      <c r="AM142" s="124">
        <f t="shared" si="28"/>
        <v>-2088019.1411159893</v>
      </c>
      <c r="AN142" s="124">
        <f t="shared" si="28"/>
        <v>-2088019.1411159893</v>
      </c>
      <c r="AO142" s="124">
        <f t="shared" si="28"/>
        <v>-2088019.1411159893</v>
      </c>
      <c r="AP142" s="124">
        <f t="shared" si="28"/>
        <v>-2088019.1411159893</v>
      </c>
      <c r="AQ142" s="124">
        <f t="shared" si="28"/>
        <v>-2088019.1411159893</v>
      </c>
      <c r="AR142" s="124">
        <f t="shared" si="28"/>
        <v>-2088019.1411159893</v>
      </c>
    </row>
    <row r="143" spans="1:45" x14ac:dyDescent="0.2">
      <c r="B143" s="5" t="s">
        <v>350</v>
      </c>
      <c r="C143" s="195"/>
      <c r="D143" s="196"/>
      <c r="E143" s="197">
        <f>IF(E108&gt;$C$92,"",(-$C$89*(E135+$C$5*E114)+E128+$C$5*E114)/-E133)</f>
        <v>1.4587287926124999</v>
      </c>
      <c r="F143" s="197">
        <f>IF(F108&gt;$C$92,"",(-$C$89*(F135+$C$5*F114)+F128+$C$5*F114)/-F133)</f>
        <v>1.4481957030938697</v>
      </c>
      <c r="G143" s="197">
        <f>IF(G108&gt;$C$92,"",(-$C$89*(G135+$C$5*G114)+G128+$C$5*G114)/-G133)</f>
        <v>1.4372748401578537</v>
      </c>
      <c r="H143" s="197">
        <f>IF(H108&gt;$C$92,"",(-$C$89*(H135+$C$5*H114)+H128+$C$5*H114)/-H133)</f>
        <v>1.4259482644175505</v>
      </c>
      <c r="I143" s="197">
        <f t="shared" ref="I143:AR143" si="29">IF(I108&gt;$C$92,"",(-$C$89*(I135+$C$5*I114)+I128+$C$5*I114)/-I133)</f>
        <v>1.4141970921230045</v>
      </c>
      <c r="J143" s="197">
        <f t="shared" si="29"/>
        <v>1.4020014426033629</v>
      </c>
      <c r="K143" s="197">
        <f t="shared" si="29"/>
        <v>1.3893403827218203</v>
      </c>
      <c r="L143" s="197">
        <f t="shared" si="29"/>
        <v>1.376191868172276</v>
      </c>
      <c r="M143" s="197">
        <f t="shared" si="29"/>
        <v>1.3625326814368242</v>
      </c>
      <c r="N143" s="197">
        <f t="shared" si="29"/>
        <v>1.348338366212789</v>
      </c>
      <c r="O143" s="197">
        <f t="shared" si="29"/>
        <v>1.3335831581070507</v>
      </c>
      <c r="P143" s="197">
        <f t="shared" si="29"/>
        <v>1.3182399113837855</v>
      </c>
      <c r="Q143" s="197">
        <f t="shared" si="29"/>
        <v>1.3022800215394561</v>
      </c>
      <c r="R143" s="197">
        <f t="shared" si="29"/>
        <v>1.285673343465912</v>
      </c>
      <c r="S143" s="197">
        <f t="shared" si="29"/>
        <v>1.26838810494871</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-1239782.9924210091</v>
      </c>
    </row>
    <row r="147" spans="2:45" x14ac:dyDescent="0.2">
      <c r="B147" s="79" t="s">
        <v>354</v>
      </c>
      <c r="C147" s="216" t="str">
        <f>$C$9</f>
        <v>kWh</v>
      </c>
      <c r="D147" s="126">
        <f>(1-$C$89)*NPV($C$86,E141:AR141)</f>
        <v>17464566.129755836</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1.3713942648664508</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-7.428013887198226E-2</v>
      </c>
      <c r="E151" s="131"/>
      <c r="F151" s="128"/>
      <c r="G151" s="112"/>
    </row>
    <row r="152" spans="2:45" x14ac:dyDescent="0.2">
      <c r="B152" s="79" t="s">
        <v>359</v>
      </c>
      <c r="C152" s="80"/>
      <c r="D152" s="132">
        <f>IFERROR(IRR(D140:AR140),"n.v.t.")</f>
        <v>-0.14658327850118025</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2220</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IFERROR(ROUND(INDEX(Correctiebedragen!$A$1:$K$256,MATCH('8'!C16,Correctiebedragen!$A$1:$A$256,0),8),decimalen),"n.v.t.")</f>
        <v>n.v.t.</v>
      </c>
    </row>
    <row r="162" spans="2:20" customFormat="1" ht="15" x14ac:dyDescent="0.25">
      <c r="B162" s="248" t="s">
        <v>367</v>
      </c>
      <c r="C162" s="250" t="str">
        <f>IFERROR(ROUND(INDEX(Correctiebedragen!$A$1:$K$256,MATCH('8'!C17,Correctiebedragen!$A$1:$A$256,0),8),decimalen),"n.v.t.")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IFERROR(ROUND(INDEX(Correctiebedragen!$A$1:$K$256,MATCH('8'!C16,Correctiebedragen!$A$1:$A$256,0),4),decimalen),"n.v.t.")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IFERROR(ROUND(INDEX(Correctiebedragen!$A$1:$K$256,MATCH('8'!C17,Correctiebedragen!$A$1:$A$256,0),4),decimalen),"n.v.t.")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IFERROR(ROUND(INDEX(Correctiebedragen!$A$1:$K$256,MATCH('8'!C16,Correctiebedragen!$A$1:$A$256,0),6),decimalen),"n.v.t.")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IFERROR(ROUND(INDEX(Correctiebedragen!$A$1:$K$256,MATCH('8'!C17,Correctiebedragen!$A$1:$A$256,0),6),decimalen),"n.v.t.")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33300000</v>
      </c>
      <c r="E174" s="28"/>
    </row>
    <row r="175" spans="2:20" customFormat="1" ht="26.25" x14ac:dyDescent="0.25">
      <c r="B175" s="256" t="s">
        <v>370</v>
      </c>
      <c r="C175" s="271">
        <f>IF(C95=0,SUM(E114:INDEX(E114:AR114,1,C91)),SUM(E114:INDEX(E114:AR114,1,C95)))</f>
        <v>44400000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59" priority="5" operator="containsText" text="Pas op">
      <formula>NOT(ISERROR(SEARCH("Pas op",G1)))</formula>
    </cfRule>
  </conditionalFormatting>
  <conditionalFormatting sqref="G186">
    <cfRule type="containsText" dxfId="58" priority="4" operator="containsText" text="Pas op">
      <formula>NOT(ISERROR(SEARCH("Pas op",G186)))</formula>
    </cfRule>
  </conditionalFormatting>
  <conditionalFormatting sqref="G162 G165 G169:G170">
    <cfRule type="containsText" dxfId="57" priority="3" operator="containsText" text="Pas op">
      <formula>NOT(ISERROR(SEARCH("Pas op",G162)))</formula>
    </cfRule>
  </conditionalFormatting>
  <conditionalFormatting sqref="G100">
    <cfRule type="containsText" dxfId="56" priority="2" operator="containsText" text="Pas op">
      <formula>NOT(ISERROR(SEARCH("Pas op",G100)))</formula>
    </cfRule>
  </conditionalFormatting>
  <conditionalFormatting sqref="G166:G168">
    <cfRule type="containsText" dxfId="55" priority="1" operator="containsText" text="Pas op">
      <formula>NOT(ISERROR(SEARCH("Pas op",G166)))</formula>
    </cfRule>
  </conditionalFormatting>
  <dataValidations disablePrompts="1" count="3">
    <dataValidation type="list" allowBlank="1" showInputMessage="1" showErrorMessage="1" sqref="C10" xr:uid="{83BB4C25-1ECE-491F-B6B6-4092C01ECF33}">
      <formula1>INDIRECT("lst_vermogenseenheid")</formula1>
    </dataValidation>
    <dataValidation type="list" allowBlank="1" showInputMessage="1" showErrorMessage="1" sqref="C9" xr:uid="{D7CCFF85-BA24-42B8-B087-4FA0E0EFA9DA}">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E7BD991B-FEF6-4DF0-8C38-BE9D97A80BEE}">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F1C2DEAA-A611-429E-88E4-9F71D7F58130}">
          <x14:formula1>
            <xm:f>'ETS correctie methodes'!$B$4:$B$14</xm:f>
          </x14:formula1>
          <xm:sqref>C13</xm:sqref>
        </x14:dataValidation>
        <x14:dataValidation type="list" allowBlank="1" showInputMessage="1" showErrorMessage="1" xr:uid="{52234BDF-ECB1-4575-B690-EE184AD6C654}">
          <x14:formula1>
            <xm:f>Colofon!$A$51:$A$56</xm:f>
          </x14:formula1>
          <xm:sqref>C11</xm:sqref>
        </x14:dataValidation>
        <x14:dataValidation type="list" allowBlank="1" showInputMessage="1" showErrorMessage="1" xr:uid="{80468888-BC2D-412A-8B73-B18647EB3057}">
          <x14:formula1>
            <xm:f>Correctiebedragen!$A$3:$A$7</xm:f>
          </x14:formula1>
          <xm:sqref>C12 C16:C17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A135-D88B-4ED5-8214-58BC5F3209D8}">
  <sheetPr codeName="Sheet100">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378</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0.13200000000000001</v>
      </c>
      <c r="D5" s="113" t="str">
        <f>CONCATENATE("Euro/",$C$9)</f>
        <v>Euro/kWh</v>
      </c>
      <c r="E5" s="424"/>
      <c r="F5" s="425"/>
      <c r="G5" s="425"/>
      <c r="H5" s="425"/>
      <c r="I5" s="425"/>
      <c r="J5" s="425"/>
      <c r="K5" s="425"/>
      <c r="L5" s="425"/>
      <c r="M5" s="426"/>
      <c r="N5" s="26"/>
    </row>
    <row r="6" spans="1:14" x14ac:dyDescent="0.2">
      <c r="B6" s="4" t="s">
        <v>203</v>
      </c>
      <c r="C6" s="114">
        <f>ROUND((C5-C7)/C8*1000,0)</f>
        <v>640</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"&amp;IFERROR(INDEX(Correctiebedragen!$A$1:$M$256,MATCH('9'!C12,Correctiebedragen!$A$1:$A$256,0),9),"")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IFERROR(INDEX(Correctiebedragen!$A$1:$M$256,MATCH('9'!C16,Correctiebedragen!$A$1:$A$256,0),9),"")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IFERROR(INDEX(Correctiebedragen!$A$1:$M$256,MATCH('9'!C17,Correctiebedragen!$A$1:$A$256,0),9),"")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IFERROR(ROUND(INDEX(Correctiebedragen!$A$1:$K$7,MATCH('9'!C16,Correctiebedragen!$A$1:$A$7,0),8),decimalen),"n.v.t.")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IFERROR(ROUND(INDEX(Correctiebedragen!$A$1:$K$7,MATCH('9'!C17,Correctiebedragen!$A$1:$A$7,0),8),decimalen),"n.v.t.")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1910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1910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1910000</v>
      </c>
      <c r="F111" s="78">
        <f t="shared" ref="F111:AR111" si="2">IF(F108&lt;=$C$94,$C$37*$C$39,IF(AND(F108&gt;$C$94,F108&lt;=$C$91),$C$37*$C$77,0))*IF($C$41=0,1,$C$42/$C$41)</f>
        <v>1910000</v>
      </c>
      <c r="G111" s="78">
        <f t="shared" si="2"/>
        <v>1910000</v>
      </c>
      <c r="H111" s="78">
        <f t="shared" si="2"/>
        <v>1910000</v>
      </c>
      <c r="I111" s="78">
        <f t="shared" si="2"/>
        <v>1910000</v>
      </c>
      <c r="J111" s="78">
        <f t="shared" si="2"/>
        <v>1910000</v>
      </c>
      <c r="K111" s="78">
        <f t="shared" si="2"/>
        <v>1910000</v>
      </c>
      <c r="L111" s="78">
        <f t="shared" si="2"/>
        <v>1910000</v>
      </c>
      <c r="M111" s="78">
        <f t="shared" si="2"/>
        <v>1910000</v>
      </c>
      <c r="N111" s="78">
        <f t="shared" si="2"/>
        <v>1910000</v>
      </c>
      <c r="O111" s="78">
        <f t="shared" si="2"/>
        <v>1910000</v>
      </c>
      <c r="P111" s="78">
        <f t="shared" si="2"/>
        <v>1910000</v>
      </c>
      <c r="Q111" s="78">
        <f t="shared" si="2"/>
        <v>1910000</v>
      </c>
      <c r="R111" s="78">
        <f t="shared" si="2"/>
        <v>1910000</v>
      </c>
      <c r="S111" s="78">
        <f t="shared" si="2"/>
        <v>1910000</v>
      </c>
      <c r="T111" s="78">
        <f t="shared" si="2"/>
        <v>1910000</v>
      </c>
      <c r="U111" s="78">
        <f t="shared" si="2"/>
        <v>1910000</v>
      </c>
      <c r="V111" s="78">
        <f t="shared" si="2"/>
        <v>1910000</v>
      </c>
      <c r="W111" s="78">
        <f t="shared" si="2"/>
        <v>1910000</v>
      </c>
      <c r="X111" s="78">
        <f t="shared" si="2"/>
        <v>1910000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1910000</v>
      </c>
      <c r="F114" s="84">
        <f t="shared" ref="F114:AR114" si="5">SUM(F111:F113)</f>
        <v>1910000</v>
      </c>
      <c r="G114" s="84">
        <f t="shared" si="5"/>
        <v>1910000</v>
      </c>
      <c r="H114" s="84">
        <f t="shared" si="5"/>
        <v>1910000</v>
      </c>
      <c r="I114" s="84">
        <f t="shared" si="5"/>
        <v>1910000</v>
      </c>
      <c r="J114" s="84">
        <f t="shared" si="5"/>
        <v>1910000</v>
      </c>
      <c r="K114" s="84">
        <f t="shared" si="5"/>
        <v>1910000</v>
      </c>
      <c r="L114" s="84">
        <f t="shared" si="5"/>
        <v>1910000</v>
      </c>
      <c r="M114" s="84">
        <f t="shared" si="5"/>
        <v>1910000</v>
      </c>
      <c r="N114" s="84">
        <f t="shared" si="5"/>
        <v>1910000</v>
      </c>
      <c r="O114" s="84">
        <f t="shared" si="5"/>
        <v>1910000</v>
      </c>
      <c r="P114" s="84">
        <f t="shared" si="5"/>
        <v>1910000</v>
      </c>
      <c r="Q114" s="84">
        <f t="shared" si="5"/>
        <v>1910000</v>
      </c>
      <c r="R114" s="84">
        <f t="shared" si="5"/>
        <v>1910000</v>
      </c>
      <c r="S114" s="84">
        <f t="shared" si="5"/>
        <v>1910000</v>
      </c>
      <c r="T114" s="84">
        <f t="shared" si="5"/>
        <v>1910000</v>
      </c>
      <c r="U114" s="84">
        <f t="shared" si="5"/>
        <v>1910000</v>
      </c>
      <c r="V114" s="84">
        <f t="shared" si="5"/>
        <v>1910000</v>
      </c>
      <c r="W114" s="84">
        <f t="shared" si="5"/>
        <v>1910000</v>
      </c>
      <c r="X114" s="84">
        <f t="shared" si="5"/>
        <v>1910000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-45470</v>
      </c>
      <c r="F116" s="78">
        <f t="shared" si="6"/>
        <v>-46379.4</v>
      </c>
      <c r="G116" s="78">
        <f t="shared" si="6"/>
        <v>-47306.987999999998</v>
      </c>
      <c r="H116" s="78">
        <f t="shared" si="6"/>
        <v>-48253.127759999996</v>
      </c>
      <c r="I116" s="78">
        <f t="shared" si="6"/>
        <v>-49218.190315200001</v>
      </c>
      <c r="J116" s="78">
        <f t="shared" si="6"/>
        <v>-50202.554121503999</v>
      </c>
      <c r="K116" s="78">
        <f t="shared" si="6"/>
        <v>-51206.605203934087</v>
      </c>
      <c r="L116" s="78">
        <f t="shared" si="6"/>
        <v>-52230.737308012751</v>
      </c>
      <c r="M116" s="78">
        <f t="shared" si="6"/>
        <v>-53275.35205417301</v>
      </c>
      <c r="N116" s="78">
        <f t="shared" si="6"/>
        <v>-54340.859095256477</v>
      </c>
      <c r="O116" s="78">
        <f t="shared" si="6"/>
        <v>-55427.676277161605</v>
      </c>
      <c r="P116" s="78">
        <f t="shared" si="6"/>
        <v>-56536.229802704824</v>
      </c>
      <c r="Q116" s="78">
        <f t="shared" si="6"/>
        <v>-57666.954398758935</v>
      </c>
      <c r="R116" s="78">
        <f t="shared" si="6"/>
        <v>-58820.29348673411</v>
      </c>
      <c r="S116" s="78">
        <f t="shared" si="6"/>
        <v>-59996.699356468795</v>
      </c>
      <c r="T116" s="78">
        <f t="shared" si="6"/>
        <v>-61196.633343598158</v>
      </c>
      <c r="U116" s="78">
        <f t="shared" si="6"/>
        <v>-62420.566010470131</v>
      </c>
      <c r="V116" s="78">
        <f t="shared" si="6"/>
        <v>-63668.97733067954</v>
      </c>
      <c r="W116" s="78">
        <f t="shared" si="6"/>
        <v>-64942.356877293118</v>
      </c>
      <c r="X116" s="78">
        <f t="shared" si="6"/>
        <v>-66241.204014838979</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187397.36155991344</v>
      </c>
      <c r="U123" s="81">
        <f t="shared" si="13"/>
        <v>191145.30879111175</v>
      </c>
      <c r="V123" s="81">
        <f t="shared" si="13"/>
        <v>194968.21496693397</v>
      </c>
      <c r="W123" s="81">
        <f t="shared" si="13"/>
        <v>198867.57926627263</v>
      </c>
      <c r="X123" s="81">
        <f t="shared" si="13"/>
        <v>202844.9308515981</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187397.36155991344</v>
      </c>
      <c r="U126" s="78">
        <f t="shared" si="15"/>
        <v>191145.30879111175</v>
      </c>
      <c r="V126" s="78">
        <f t="shared" si="15"/>
        <v>194968.21496693397</v>
      </c>
      <c r="W126" s="78">
        <f t="shared" si="15"/>
        <v>198867.57926627263</v>
      </c>
      <c r="X126" s="78">
        <f t="shared" si="15"/>
        <v>202844.9308515981</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-45470</v>
      </c>
      <c r="F127" s="81">
        <f t="shared" si="16"/>
        <v>-46379.4</v>
      </c>
      <c r="G127" s="81">
        <f t="shared" si="16"/>
        <v>-47306.987999999998</v>
      </c>
      <c r="H127" s="81">
        <f t="shared" si="16"/>
        <v>-48253.127759999996</v>
      </c>
      <c r="I127" s="81">
        <f t="shared" si="16"/>
        <v>-49218.190315200001</v>
      </c>
      <c r="J127" s="81">
        <f t="shared" si="16"/>
        <v>-50202.554121503999</v>
      </c>
      <c r="K127" s="81">
        <f t="shared" si="16"/>
        <v>-51206.605203934087</v>
      </c>
      <c r="L127" s="81">
        <f t="shared" si="16"/>
        <v>-52230.737308012751</v>
      </c>
      <c r="M127" s="81">
        <f t="shared" si="16"/>
        <v>-53275.35205417301</v>
      </c>
      <c r="N127" s="81">
        <f t="shared" si="16"/>
        <v>-54340.859095256477</v>
      </c>
      <c r="O127" s="81">
        <f t="shared" si="16"/>
        <v>-55427.676277161605</v>
      </c>
      <c r="P127" s="81">
        <f t="shared" si="16"/>
        <v>-56536.229802704824</v>
      </c>
      <c r="Q127" s="81">
        <f t="shared" si="16"/>
        <v>-57666.954398758935</v>
      </c>
      <c r="R127" s="81">
        <f t="shared" si="16"/>
        <v>-58820.29348673411</v>
      </c>
      <c r="S127" s="81">
        <f t="shared" si="16"/>
        <v>-59996.699356468795</v>
      </c>
      <c r="T127" s="81">
        <f t="shared" si="16"/>
        <v>-61196.633343598158</v>
      </c>
      <c r="U127" s="81">
        <f t="shared" si="16"/>
        <v>-62420.566010470131</v>
      </c>
      <c r="V127" s="81">
        <f t="shared" si="16"/>
        <v>-63668.97733067954</v>
      </c>
      <c r="W127" s="81">
        <f t="shared" si="16"/>
        <v>-64942.356877293118</v>
      </c>
      <c r="X127" s="81">
        <f t="shared" si="16"/>
        <v>-66241.204014838979</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-45470</v>
      </c>
      <c r="F128" s="90">
        <f t="shared" ref="F128:AR128" si="17">SUM(F126:F127)</f>
        <v>-46379.4</v>
      </c>
      <c r="G128" s="90">
        <f t="shared" si="17"/>
        <v>-47306.987999999998</v>
      </c>
      <c r="H128" s="90">
        <f t="shared" si="17"/>
        <v>-48253.127759999996</v>
      </c>
      <c r="I128" s="90">
        <f t="shared" si="17"/>
        <v>-49218.190315200001</v>
      </c>
      <c r="J128" s="90">
        <f t="shared" si="17"/>
        <v>-50202.554121503999</v>
      </c>
      <c r="K128" s="90">
        <f t="shared" si="17"/>
        <v>-51206.605203934087</v>
      </c>
      <c r="L128" s="90">
        <f t="shared" si="17"/>
        <v>-52230.737308012751</v>
      </c>
      <c r="M128" s="90">
        <f t="shared" si="17"/>
        <v>-53275.35205417301</v>
      </c>
      <c r="N128" s="90">
        <f t="shared" si="17"/>
        <v>-54340.859095256477</v>
      </c>
      <c r="O128" s="90">
        <f t="shared" si="17"/>
        <v>-55427.676277161605</v>
      </c>
      <c r="P128" s="90">
        <f t="shared" si="17"/>
        <v>-56536.229802704824</v>
      </c>
      <c r="Q128" s="90">
        <f t="shared" si="17"/>
        <v>-57666.954398758935</v>
      </c>
      <c r="R128" s="90">
        <f t="shared" si="17"/>
        <v>-58820.29348673411</v>
      </c>
      <c r="S128" s="90">
        <f t="shared" si="17"/>
        <v>-59996.699356468795</v>
      </c>
      <c r="T128" s="90">
        <f t="shared" si="17"/>
        <v>126200.72821631527</v>
      </c>
      <c r="U128" s="90">
        <f t="shared" si="17"/>
        <v>128724.74278064162</v>
      </c>
      <c r="V128" s="90">
        <f t="shared" si="17"/>
        <v>131299.23763625443</v>
      </c>
      <c r="W128" s="90">
        <f t="shared" si="17"/>
        <v>133925.22238897951</v>
      </c>
      <c r="X128" s="90">
        <f t="shared" si="17"/>
        <v>136603.72683675913</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-269042.79656250001</v>
      </c>
      <c r="F135" s="95">
        <f t="shared" ref="F135:AR135" si="22">F128+F130+F131</f>
        <v>-266435.43343332037</v>
      </c>
      <c r="G135" s="95">
        <f t="shared" si="22"/>
        <v>-263644.04442421289</v>
      </c>
      <c r="H135" s="95">
        <f t="shared" si="22"/>
        <v>-260657.36599708174</v>
      </c>
      <c r="I135" s="95">
        <f t="shared" si="22"/>
        <v>-257463.47331939056</v>
      </c>
      <c r="J135" s="95">
        <f t="shared" si="22"/>
        <v>-254049.74196691209</v>
      </c>
      <c r="K135" s="95">
        <f t="shared" si="22"/>
        <v>-250402.8074189297</v>
      </c>
      <c r="L135" s="95">
        <f t="shared" si="22"/>
        <v>-246508.52221884727</v>
      </c>
      <c r="M135" s="95">
        <f t="shared" si="22"/>
        <v>-242351.91066585708</v>
      </c>
      <c r="N135" s="95">
        <f t="shared" si="22"/>
        <v>-237917.120895589</v>
      </c>
      <c r="O135" s="95">
        <f t="shared" si="22"/>
        <v>-233187.37419948986</v>
      </c>
      <c r="P135" s="95">
        <f t="shared" si="22"/>
        <v>-228144.91142404353</v>
      </c>
      <c r="Q135" s="95">
        <f t="shared" si="22"/>
        <v>-222770.93628180126</v>
      </c>
      <c r="R135" s="95">
        <f t="shared" si="22"/>
        <v>-217045.55539652793</v>
      </c>
      <c r="S135" s="95">
        <f t="shared" si="22"/>
        <v>-210947.71489455239</v>
      </c>
      <c r="T135" s="95">
        <f t="shared" si="22"/>
        <v>126200.72821631527</v>
      </c>
      <c r="U135" s="95">
        <f t="shared" si="22"/>
        <v>128724.74278064162</v>
      </c>
      <c r="V135" s="95">
        <f t="shared" si="22"/>
        <v>131299.23763625443</v>
      </c>
      <c r="W135" s="95">
        <f t="shared" si="22"/>
        <v>133925.22238897951</v>
      </c>
      <c r="X135" s="95">
        <f t="shared" si="22"/>
        <v>136603.72683675913</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51118.131346875001</v>
      </c>
      <c r="F136" s="97">
        <f t="shared" si="23"/>
        <v>50622.732352330873</v>
      </c>
      <c r="G136" s="97">
        <f t="shared" si="23"/>
        <v>50092.368440600447</v>
      </c>
      <c r="H136" s="97">
        <f t="shared" si="23"/>
        <v>49524.899539445534</v>
      </c>
      <c r="I136" s="97">
        <f t="shared" si="23"/>
        <v>48918.059930684205</v>
      </c>
      <c r="J136" s="97">
        <f t="shared" si="23"/>
        <v>48269.450973713298</v>
      </c>
      <c r="K136" s="97">
        <f t="shared" si="23"/>
        <v>47576.533409596646</v>
      </c>
      <c r="L136" s="97">
        <f t="shared" si="23"/>
        <v>46836.619221580979</v>
      </c>
      <c r="M136" s="97">
        <f t="shared" si="23"/>
        <v>46046.863026512845</v>
      </c>
      <c r="N136" s="97">
        <f t="shared" si="23"/>
        <v>45204.252970161913</v>
      </c>
      <c r="O136" s="97">
        <f t="shared" si="23"/>
        <v>44305.601097903076</v>
      </c>
      <c r="P136" s="97">
        <f t="shared" si="23"/>
        <v>43347.533170568269</v>
      </c>
      <c r="Q136" s="97">
        <f t="shared" si="23"/>
        <v>42326.477893542236</v>
      </c>
      <c r="R136" s="97">
        <f t="shared" si="23"/>
        <v>41238.655525340306</v>
      </c>
      <c r="S136" s="97">
        <f t="shared" si="23"/>
        <v>40080.065829964959</v>
      </c>
      <c r="T136" s="97">
        <f t="shared" si="23"/>
        <v>-23978.1383610999</v>
      </c>
      <c r="U136" s="97">
        <f t="shared" si="23"/>
        <v>-24457.701128321907</v>
      </c>
      <c r="V136" s="97">
        <f t="shared" si="23"/>
        <v>-24946.855150888343</v>
      </c>
      <c r="W136" s="97">
        <f t="shared" si="23"/>
        <v>-25445.792253906107</v>
      </c>
      <c r="X136" s="97">
        <f t="shared" si="23"/>
        <v>-25954.708098984236</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-135827.26311440149</v>
      </c>
      <c r="F138" s="101">
        <f t="shared" si="24"/>
        <v>-137232.06210894563</v>
      </c>
      <c r="G138" s="101">
        <f t="shared" si="24"/>
        <v>-138690.01402067603</v>
      </c>
      <c r="H138" s="101">
        <f t="shared" si="24"/>
        <v>-140203.62268183095</v>
      </c>
      <c r="I138" s="101">
        <f t="shared" si="24"/>
        <v>-141775.52484579227</v>
      </c>
      <c r="J138" s="101">
        <f t="shared" si="24"/>
        <v>-143408.49760906718</v>
      </c>
      <c r="K138" s="101">
        <f t="shared" si="24"/>
        <v>-145105.46625561389</v>
      </c>
      <c r="L138" s="101">
        <f t="shared" si="24"/>
        <v>-146869.51254770826</v>
      </c>
      <c r="M138" s="101">
        <f t="shared" si="24"/>
        <v>-148703.88348893664</v>
      </c>
      <c r="N138" s="101">
        <f t="shared" si="24"/>
        <v>-150612.00058637105</v>
      </c>
      <c r="O138" s="101">
        <f t="shared" si="24"/>
        <v>-152597.46964053501</v>
      </c>
      <c r="P138" s="101">
        <f t="shared" si="24"/>
        <v>-154664.09109341304</v>
      </c>
      <c r="Q138" s="101">
        <f t="shared" si="24"/>
        <v>-156815.87096649318</v>
      </c>
      <c r="R138" s="101">
        <f t="shared" si="24"/>
        <v>-159057.03242267028</v>
      </c>
      <c r="S138" s="101">
        <f t="shared" si="24"/>
        <v>-161392.02798778031</v>
      </c>
      <c r="T138" s="101">
        <f t="shared" si="24"/>
        <v>102222.58985521537</v>
      </c>
      <c r="U138" s="101">
        <f t="shared" si="24"/>
        <v>104267.04165231972</v>
      </c>
      <c r="V138" s="101">
        <f t="shared" si="24"/>
        <v>106352.38248536609</v>
      </c>
      <c r="W138" s="101">
        <f t="shared" si="24"/>
        <v>108479.4301350734</v>
      </c>
      <c r="X138" s="101">
        <f t="shared" si="24"/>
        <v>110649.0187377749</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5648.1313468750013</v>
      </c>
      <c r="F139" s="106">
        <f t="shared" ref="F139:AR139" si="25">F128+F136</f>
        <v>4243.3323523308718</v>
      </c>
      <c r="G139" s="106">
        <f t="shared" si="25"/>
        <v>2785.3804406004492</v>
      </c>
      <c r="H139" s="106">
        <f t="shared" si="25"/>
        <v>1271.7717794455384</v>
      </c>
      <c r="I139" s="106">
        <f t="shared" si="25"/>
        <v>-300.13038451579632</v>
      </c>
      <c r="J139" s="106">
        <f t="shared" si="25"/>
        <v>-1933.1031477907018</v>
      </c>
      <c r="K139" s="106">
        <f t="shared" si="25"/>
        <v>-3630.0717943374402</v>
      </c>
      <c r="L139" s="106">
        <f t="shared" si="25"/>
        <v>-5394.1180864317721</v>
      </c>
      <c r="M139" s="106">
        <f t="shared" si="25"/>
        <v>-7228.4890276601654</v>
      </c>
      <c r="N139" s="106">
        <f t="shared" si="25"/>
        <v>-9136.606125094564</v>
      </c>
      <c r="O139" s="106">
        <f t="shared" si="25"/>
        <v>-11122.075179258529</v>
      </c>
      <c r="P139" s="106">
        <f t="shared" si="25"/>
        <v>-13188.696632136554</v>
      </c>
      <c r="Q139" s="106">
        <f t="shared" si="25"/>
        <v>-15340.476505216699</v>
      </c>
      <c r="R139" s="106">
        <f t="shared" si="25"/>
        <v>-17581.637961393804</v>
      </c>
      <c r="S139" s="106">
        <f t="shared" si="25"/>
        <v>-19916.633526503836</v>
      </c>
      <c r="T139" s="106">
        <f t="shared" si="25"/>
        <v>102222.58985521537</v>
      </c>
      <c r="U139" s="106">
        <f t="shared" si="25"/>
        <v>104267.04165231972</v>
      </c>
      <c r="V139" s="106">
        <f t="shared" si="25"/>
        <v>106352.38248536609</v>
      </c>
      <c r="W139" s="106">
        <f t="shared" si="25"/>
        <v>108479.4301350734</v>
      </c>
      <c r="X139" s="106">
        <f t="shared" si="25"/>
        <v>110649.0187377749</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-135827.26311440149</v>
      </c>
      <c r="F140" s="106">
        <f t="shared" ref="F140:AR140" si="26">F138</f>
        <v>-137232.06210894563</v>
      </c>
      <c r="G140" s="106">
        <f t="shared" si="26"/>
        <v>-138690.01402067603</v>
      </c>
      <c r="H140" s="106">
        <f t="shared" si="26"/>
        <v>-140203.62268183095</v>
      </c>
      <c r="I140" s="106">
        <f t="shared" si="26"/>
        <v>-141775.52484579227</v>
      </c>
      <c r="J140" s="106">
        <f t="shared" si="26"/>
        <v>-143408.49760906718</v>
      </c>
      <c r="K140" s="106">
        <f t="shared" si="26"/>
        <v>-145105.46625561389</v>
      </c>
      <c r="L140" s="106">
        <f t="shared" si="26"/>
        <v>-146869.51254770826</v>
      </c>
      <c r="M140" s="106">
        <f t="shared" si="26"/>
        <v>-148703.88348893664</v>
      </c>
      <c r="N140" s="106">
        <f t="shared" si="26"/>
        <v>-150612.00058637105</v>
      </c>
      <c r="O140" s="106">
        <f t="shared" si="26"/>
        <v>-152597.46964053501</v>
      </c>
      <c r="P140" s="106">
        <f t="shared" si="26"/>
        <v>-154664.09109341304</v>
      </c>
      <c r="Q140" s="106">
        <f t="shared" si="26"/>
        <v>-156815.87096649318</v>
      </c>
      <c r="R140" s="106">
        <f t="shared" si="26"/>
        <v>-159057.03242267028</v>
      </c>
      <c r="S140" s="106">
        <f t="shared" si="26"/>
        <v>-161392.02798778031</v>
      </c>
      <c r="T140" s="106">
        <f t="shared" si="26"/>
        <v>102222.58985521537</v>
      </c>
      <c r="U140" s="106">
        <f t="shared" si="26"/>
        <v>104267.04165231972</v>
      </c>
      <c r="V140" s="106">
        <f t="shared" si="26"/>
        <v>106352.38248536609</v>
      </c>
      <c r="W140" s="106">
        <f t="shared" si="26"/>
        <v>108479.4301350734</v>
      </c>
      <c r="X140" s="106">
        <f t="shared" si="26"/>
        <v>110649.0187377749</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1910000</v>
      </c>
      <c r="F141" s="108">
        <f t="shared" si="27"/>
        <v>1910000</v>
      </c>
      <c r="G141" s="108">
        <f t="shared" si="27"/>
        <v>1910000</v>
      </c>
      <c r="H141" s="108">
        <f t="shared" si="27"/>
        <v>1910000</v>
      </c>
      <c r="I141" s="108">
        <f t="shared" si="27"/>
        <v>1910000</v>
      </c>
      <c r="J141" s="108">
        <f t="shared" si="27"/>
        <v>1910000</v>
      </c>
      <c r="K141" s="108">
        <f t="shared" si="27"/>
        <v>1910000</v>
      </c>
      <c r="L141" s="108">
        <f t="shared" si="27"/>
        <v>1910000</v>
      </c>
      <c r="M141" s="108">
        <f t="shared" si="27"/>
        <v>1910000</v>
      </c>
      <c r="N141" s="108">
        <f t="shared" si="27"/>
        <v>1910000</v>
      </c>
      <c r="O141" s="108">
        <f t="shared" si="27"/>
        <v>1910000</v>
      </c>
      <c r="P141" s="108">
        <f t="shared" si="27"/>
        <v>1910000</v>
      </c>
      <c r="Q141" s="108">
        <f t="shared" si="27"/>
        <v>1910000</v>
      </c>
      <c r="R141" s="108">
        <f t="shared" si="27"/>
        <v>1910000</v>
      </c>
      <c r="S141" s="108">
        <f t="shared" si="27"/>
        <v>1910000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2022541.7965625001</v>
      </c>
      <c r="F142" s="124">
        <f t="shared" ref="F142:AR142" si="28">E142-($C$5*F114+F128+F131)</f>
        <v>1893598.7299958204</v>
      </c>
      <c r="G142" s="124">
        <f t="shared" si="28"/>
        <v>1761864.2744200332</v>
      </c>
      <c r="H142" s="124">
        <f t="shared" si="28"/>
        <v>1627143.1404171148</v>
      </c>
      <c r="I142" s="124">
        <f t="shared" si="28"/>
        <v>1489228.1137365054</v>
      </c>
      <c r="J142" s="124">
        <f t="shared" si="28"/>
        <v>1347899.3557034174</v>
      </c>
      <c r="K142" s="124">
        <f t="shared" si="28"/>
        <v>1202923.6631223471</v>
      </c>
      <c r="L142" s="124">
        <f t="shared" si="28"/>
        <v>1054053.6853411943</v>
      </c>
      <c r="M142" s="124">
        <f t="shared" si="28"/>
        <v>901027.09600705141</v>
      </c>
      <c r="N142" s="124">
        <f t="shared" si="28"/>
        <v>743565.71690264042</v>
      </c>
      <c r="O142" s="124">
        <f t="shared" si="28"/>
        <v>581374.59110213025</v>
      </c>
      <c r="P142" s="124">
        <f t="shared" si="28"/>
        <v>414141.00252617378</v>
      </c>
      <c r="Q142" s="124">
        <f t="shared" si="28"/>
        <v>241533.43880797504</v>
      </c>
      <c r="R142" s="124">
        <f t="shared" si="28"/>
        <v>63200.49420450296</v>
      </c>
      <c r="S142" s="124">
        <f t="shared" si="28"/>
        <v>-121230.29090094464</v>
      </c>
      <c r="T142" s="124">
        <f t="shared" si="28"/>
        <v>-499551.01911725989</v>
      </c>
      <c r="U142" s="124">
        <f t="shared" si="28"/>
        <v>-880395.76189790154</v>
      </c>
      <c r="V142" s="124">
        <f t="shared" si="28"/>
        <v>-1263814.9995341559</v>
      </c>
      <c r="W142" s="124">
        <f t="shared" si="28"/>
        <v>-1649860.2219231355</v>
      </c>
      <c r="X142" s="124">
        <f t="shared" si="28"/>
        <v>-2038583.9487598946</v>
      </c>
      <c r="Y142" s="124">
        <f t="shared" si="28"/>
        <v>-2038583.9487598946</v>
      </c>
      <c r="Z142" s="124">
        <f t="shared" si="28"/>
        <v>-2038583.9487598946</v>
      </c>
      <c r="AA142" s="124">
        <f t="shared" si="28"/>
        <v>-2038583.9487598946</v>
      </c>
      <c r="AB142" s="124">
        <f t="shared" si="28"/>
        <v>-2038583.9487598946</v>
      </c>
      <c r="AC142" s="124">
        <f t="shared" si="28"/>
        <v>-2038583.9487598946</v>
      </c>
      <c r="AD142" s="124">
        <f t="shared" si="28"/>
        <v>-2038583.9487598946</v>
      </c>
      <c r="AE142" s="124">
        <f t="shared" si="28"/>
        <v>-2038583.9487598946</v>
      </c>
      <c r="AF142" s="124">
        <f t="shared" si="28"/>
        <v>-2038583.9487598946</v>
      </c>
      <c r="AG142" s="124">
        <f t="shared" si="28"/>
        <v>-2038583.9487598946</v>
      </c>
      <c r="AH142" s="124">
        <f t="shared" si="28"/>
        <v>-2038583.9487598946</v>
      </c>
      <c r="AI142" s="124">
        <f t="shared" si="28"/>
        <v>-2038583.9487598946</v>
      </c>
      <c r="AJ142" s="124">
        <f t="shared" si="28"/>
        <v>-2038583.9487598946</v>
      </c>
      <c r="AK142" s="124">
        <f t="shared" si="28"/>
        <v>-2038583.9487598946</v>
      </c>
      <c r="AL142" s="124">
        <f t="shared" si="28"/>
        <v>-2038583.9487598946</v>
      </c>
      <c r="AM142" s="124">
        <f t="shared" si="28"/>
        <v>-2038583.9487598946</v>
      </c>
      <c r="AN142" s="124">
        <f t="shared" si="28"/>
        <v>-2038583.9487598946</v>
      </c>
      <c r="AO142" s="124">
        <f t="shared" si="28"/>
        <v>-2038583.9487598946</v>
      </c>
      <c r="AP142" s="124">
        <f t="shared" si="28"/>
        <v>-2038583.9487598946</v>
      </c>
      <c r="AQ142" s="124">
        <f t="shared" si="28"/>
        <v>-2038583.9487598946</v>
      </c>
      <c r="AR142" s="124">
        <f t="shared" si="28"/>
        <v>-2038583.9487598946</v>
      </c>
    </row>
    <row r="143" spans="1:45" x14ac:dyDescent="0.2">
      <c r="B143" s="5" t="s">
        <v>350</v>
      </c>
      <c r="C143" s="195"/>
      <c r="D143" s="196"/>
      <c r="E143" s="197">
        <f>IF(E108&gt;$C$92,"",(-$C$89*(E135+$C$5*E114)+E128+$C$5*E114)/-E133)</f>
        <v>1.4834051684112297</v>
      </c>
      <c r="F143" s="197">
        <f>IF(F108&gt;$C$92,"",(-$C$89*(F135+$C$5*F114)+F128+$C$5*F114)/-F133)</f>
        <v>1.4734755336511112</v>
      </c>
      <c r="G143" s="197">
        <f>IF(G108&gt;$C$92,"",(-$C$89*(G135+$C$5*G114)+G128+$C$5*G114)/-G133)</f>
        <v>1.4631701945687776</v>
      </c>
      <c r="H143" s="197">
        <f>IF(H108&gt;$C$92,"",(-$C$89*(H135+$C$5*H114)+H128+$C$5*H114)/-H133)</f>
        <v>1.4524714531592302</v>
      </c>
      <c r="I143" s="197">
        <f t="shared" ref="I143:AR143" si="29">IF(I108&gt;$C$92,"",(-$C$89*(I135+$C$5*I114)+I128+$C$5*I114)/-I133)</f>
        <v>1.4413606718820549</v>
      </c>
      <c r="J143" s="197">
        <f t="shared" si="29"/>
        <v>1.4298182212001318</v>
      </c>
      <c r="K143" s="197">
        <f t="shared" si="29"/>
        <v>1.4178234241330614</v>
      </c>
      <c r="L143" s="197">
        <f t="shared" si="29"/>
        <v>1.4053544976542793</v>
      </c>
      <c r="M143" s="197">
        <f t="shared" si="29"/>
        <v>1.3923884907510051</v>
      </c>
      <c r="N143" s="197">
        <f t="shared" si="29"/>
        <v>1.3789012189557905</v>
      </c>
      <c r="O143" s="197">
        <f t="shared" si="29"/>
        <v>1.3648671951474498</v>
      </c>
      <c r="P143" s="197">
        <f t="shared" si="29"/>
        <v>1.3502595564075297</v>
      </c>
      <c r="Q143" s="197">
        <f t="shared" si="29"/>
        <v>1.3350499867062124</v>
      </c>
      <c r="R143" s="197">
        <f t="shared" si="29"/>
        <v>1.3192086351785408</v>
      </c>
      <c r="S143" s="197">
        <f t="shared" si="29"/>
        <v>1.3027040297381283</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-1227476.3956420117</v>
      </c>
    </row>
    <row r="147" spans="2:45" x14ac:dyDescent="0.2">
      <c r="B147" s="79" t="s">
        <v>354</v>
      </c>
      <c r="C147" s="216" t="str">
        <f>$C$9</f>
        <v>kWh</v>
      </c>
      <c r="D147" s="126">
        <f>(1-$C$89)*NPV($C$86,E141:AR141)</f>
        <v>15025820.408934077</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1.4006838851696355</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-8.0313312178380669E-2</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1910</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IFERROR(ROUND(INDEX(Correctiebedragen!$A$1:$K$256,MATCH('9'!C16,Correctiebedragen!$A$1:$A$256,0),8),decimalen),"n.v.t.")</f>
        <v>n.v.t.</v>
      </c>
    </row>
    <row r="162" spans="2:20" customFormat="1" ht="15" x14ac:dyDescent="0.25">
      <c r="B162" s="248" t="s">
        <v>367</v>
      </c>
      <c r="C162" s="250" t="str">
        <f>IFERROR(ROUND(INDEX(Correctiebedragen!$A$1:$K$256,MATCH('9'!C17,Correctiebedragen!$A$1:$A$256,0),8),decimalen),"n.v.t.")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IFERROR(ROUND(INDEX(Correctiebedragen!$A$1:$K$256,MATCH('9'!C16,Correctiebedragen!$A$1:$A$256,0),4),decimalen),"n.v.t.")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IFERROR(ROUND(INDEX(Correctiebedragen!$A$1:$K$256,MATCH('9'!C17,Correctiebedragen!$A$1:$A$256,0),4),decimalen),"n.v.t.")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IFERROR(ROUND(INDEX(Correctiebedragen!$A$1:$K$256,MATCH('9'!C16,Correctiebedragen!$A$1:$A$256,0),6),decimalen),"n.v.t.")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IFERROR(ROUND(INDEX(Correctiebedragen!$A$1:$K$256,MATCH('9'!C17,Correctiebedragen!$A$1:$A$256,0),6),decimalen),"n.v.t.")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28650000</v>
      </c>
      <c r="E174" s="28"/>
    </row>
    <row r="175" spans="2:20" customFormat="1" ht="26.25" x14ac:dyDescent="0.25">
      <c r="B175" s="256" t="s">
        <v>370</v>
      </c>
      <c r="C175" s="271">
        <f>IF(C95=0,SUM(E114:INDEX(E114:AR114,1,C91)),SUM(E114:INDEX(E114:AR114,1,C95)))</f>
        <v>38200000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54" priority="5" operator="containsText" text="Pas op">
      <formula>NOT(ISERROR(SEARCH("Pas op",G1)))</formula>
    </cfRule>
  </conditionalFormatting>
  <conditionalFormatting sqref="G186">
    <cfRule type="containsText" dxfId="53" priority="4" operator="containsText" text="Pas op">
      <formula>NOT(ISERROR(SEARCH("Pas op",G186)))</formula>
    </cfRule>
  </conditionalFormatting>
  <conditionalFormatting sqref="G162 G165 G169:G170">
    <cfRule type="containsText" dxfId="52" priority="3" operator="containsText" text="Pas op">
      <formula>NOT(ISERROR(SEARCH("Pas op",G162)))</formula>
    </cfRule>
  </conditionalFormatting>
  <conditionalFormatting sqref="G100">
    <cfRule type="containsText" dxfId="51" priority="2" operator="containsText" text="Pas op">
      <formula>NOT(ISERROR(SEARCH("Pas op",G100)))</formula>
    </cfRule>
  </conditionalFormatting>
  <conditionalFormatting sqref="G166:G168">
    <cfRule type="containsText" dxfId="50" priority="1" operator="containsText" text="Pas op">
      <formula>NOT(ISERROR(SEARCH("Pas op",G166)))</formula>
    </cfRule>
  </conditionalFormatting>
  <dataValidations count="3">
    <dataValidation type="list" allowBlank="1" showInputMessage="1" showErrorMessage="1" sqref="C10" xr:uid="{AD2F6452-BF5B-43C8-94FB-983F46A68372}">
      <formula1>INDIRECT("lst_vermogenseenheid")</formula1>
    </dataValidation>
    <dataValidation type="list" allowBlank="1" showInputMessage="1" showErrorMessage="1" sqref="C9" xr:uid="{722239A5-52B1-418D-B863-5E0C8EF75658}">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71815730-EC90-4ADD-8335-89DA959C6C0B}">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6CC8C486-A9A3-48D0-9777-DCB0FDF406B8}">
          <x14:formula1>
            <xm:f>'ETS correctie methodes'!$B$4:$B$14</xm:f>
          </x14:formula1>
          <xm:sqref>C13</xm:sqref>
        </x14:dataValidation>
        <x14:dataValidation type="list" allowBlank="1" showInputMessage="1" showErrorMessage="1" xr:uid="{A43125E1-DE5C-4252-A538-F80C776DD0C3}">
          <x14:formula1>
            <xm:f>Colofon!$A$51:$A$56</xm:f>
          </x14:formula1>
          <xm:sqref>C11</xm:sqref>
        </x14:dataValidation>
        <x14:dataValidation type="list" allowBlank="1" showInputMessage="1" showErrorMessage="1" xr:uid="{8CDBBE08-2460-4363-8F4A-6D702D680AF8}">
          <x14:formula1>
            <xm:f>Correctiebedragen!$A$3:$A$7</xm:f>
          </x14:formula1>
          <xm:sqref>C12 C16:C17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F4894-3C25-4EE8-9D50-BF2AE37E76B9}">
  <sheetPr codeName="Sheet101">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379</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0.14099999999999999</v>
      </c>
      <c r="D5" s="113" t="str">
        <f>CONCATENATE("Euro/",$C$9)</f>
        <v>Euro/kWh</v>
      </c>
      <c r="E5" s="424"/>
      <c r="F5" s="425"/>
      <c r="G5" s="425"/>
      <c r="H5" s="425"/>
      <c r="I5" s="425"/>
      <c r="J5" s="425"/>
      <c r="K5" s="425"/>
      <c r="L5" s="425"/>
      <c r="M5" s="426"/>
      <c r="N5" s="26"/>
    </row>
    <row r="6" spans="1:14" x14ac:dyDescent="0.2">
      <c r="B6" s="4" t="s">
        <v>203</v>
      </c>
      <c r="C6" s="114">
        <f>ROUND((C5-C7)/C8*1000,0)</f>
        <v>723</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"&amp;IFERROR(INDEX(Correctiebedragen!$A$1:$M$256,MATCH('10'!C12,Correctiebedragen!$A$1:$A$256,0),9),"")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IFERROR(INDEX(Correctiebedragen!$A$1:$M$256,MATCH('10'!C16,Correctiebedragen!$A$1:$A$256,0),9),"")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IFERROR(INDEX(Correctiebedragen!$A$1:$M$256,MATCH('10'!C17,Correctiebedragen!$A$1:$A$256,0),9),"")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IFERROR(ROUND(INDEX(Correctiebedragen!$A$1:$K$7,MATCH('10'!C16,Correctiebedragen!$A$1:$A$7,0),8),decimalen),"n.v.t.")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IFERROR(ROUND(INDEX(Correctiebedragen!$A$1:$K$7,MATCH('10'!C17,Correctiebedragen!$A$1:$A$7,0),8),decimalen),"n.v.t.")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1780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1780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1780000</v>
      </c>
      <c r="F111" s="78">
        <f t="shared" ref="F111:AR111" si="2">IF(F108&lt;=$C$94,$C$37*$C$39,IF(AND(F108&gt;$C$94,F108&lt;=$C$91),$C$37*$C$77,0))*IF($C$41=0,1,$C$42/$C$41)</f>
        <v>1780000</v>
      </c>
      <c r="G111" s="78">
        <f t="shared" si="2"/>
        <v>1780000</v>
      </c>
      <c r="H111" s="78">
        <f t="shared" si="2"/>
        <v>1780000</v>
      </c>
      <c r="I111" s="78">
        <f t="shared" si="2"/>
        <v>1780000</v>
      </c>
      <c r="J111" s="78">
        <f t="shared" si="2"/>
        <v>1780000</v>
      </c>
      <c r="K111" s="78">
        <f t="shared" si="2"/>
        <v>1780000</v>
      </c>
      <c r="L111" s="78">
        <f t="shared" si="2"/>
        <v>1780000</v>
      </c>
      <c r="M111" s="78">
        <f t="shared" si="2"/>
        <v>1780000</v>
      </c>
      <c r="N111" s="78">
        <f t="shared" si="2"/>
        <v>1780000</v>
      </c>
      <c r="O111" s="78">
        <f t="shared" si="2"/>
        <v>1780000</v>
      </c>
      <c r="P111" s="78">
        <f t="shared" si="2"/>
        <v>1780000</v>
      </c>
      <c r="Q111" s="78">
        <f t="shared" si="2"/>
        <v>1780000</v>
      </c>
      <c r="R111" s="78">
        <f t="shared" si="2"/>
        <v>1780000</v>
      </c>
      <c r="S111" s="78">
        <f t="shared" si="2"/>
        <v>1780000</v>
      </c>
      <c r="T111" s="78">
        <f t="shared" si="2"/>
        <v>1780000</v>
      </c>
      <c r="U111" s="78">
        <f t="shared" si="2"/>
        <v>1780000</v>
      </c>
      <c r="V111" s="78">
        <f t="shared" si="2"/>
        <v>1780000</v>
      </c>
      <c r="W111" s="78">
        <f t="shared" si="2"/>
        <v>1780000</v>
      </c>
      <c r="X111" s="78">
        <f t="shared" si="2"/>
        <v>1780000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1780000</v>
      </c>
      <c r="F114" s="84">
        <f t="shared" ref="F114:AR114" si="5">SUM(F111:F113)</f>
        <v>1780000</v>
      </c>
      <c r="G114" s="84">
        <f t="shared" si="5"/>
        <v>1780000</v>
      </c>
      <c r="H114" s="84">
        <f t="shared" si="5"/>
        <v>1780000</v>
      </c>
      <c r="I114" s="84">
        <f t="shared" si="5"/>
        <v>1780000</v>
      </c>
      <c r="J114" s="84">
        <f t="shared" si="5"/>
        <v>1780000</v>
      </c>
      <c r="K114" s="84">
        <f t="shared" si="5"/>
        <v>1780000</v>
      </c>
      <c r="L114" s="84">
        <f t="shared" si="5"/>
        <v>1780000</v>
      </c>
      <c r="M114" s="84">
        <f t="shared" si="5"/>
        <v>1780000</v>
      </c>
      <c r="N114" s="84">
        <f t="shared" si="5"/>
        <v>1780000</v>
      </c>
      <c r="O114" s="84">
        <f t="shared" si="5"/>
        <v>1780000</v>
      </c>
      <c r="P114" s="84">
        <f t="shared" si="5"/>
        <v>1780000</v>
      </c>
      <c r="Q114" s="84">
        <f t="shared" si="5"/>
        <v>1780000</v>
      </c>
      <c r="R114" s="84">
        <f t="shared" si="5"/>
        <v>1780000</v>
      </c>
      <c r="S114" s="84">
        <f t="shared" si="5"/>
        <v>1780000</v>
      </c>
      <c r="T114" s="84">
        <f t="shared" si="5"/>
        <v>1780000</v>
      </c>
      <c r="U114" s="84">
        <f t="shared" si="5"/>
        <v>1780000</v>
      </c>
      <c r="V114" s="84">
        <f t="shared" si="5"/>
        <v>1780000</v>
      </c>
      <c r="W114" s="84">
        <f t="shared" si="5"/>
        <v>1780000</v>
      </c>
      <c r="X114" s="84">
        <f t="shared" si="5"/>
        <v>1780000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-43260</v>
      </c>
      <c r="F116" s="78">
        <f t="shared" si="6"/>
        <v>-44125.200000000004</v>
      </c>
      <c r="G116" s="78">
        <f t="shared" si="6"/>
        <v>-45007.703999999998</v>
      </c>
      <c r="H116" s="78">
        <f t="shared" si="6"/>
        <v>-45907.858079999998</v>
      </c>
      <c r="I116" s="78">
        <f t="shared" si="6"/>
        <v>-46826.015241599998</v>
      </c>
      <c r="J116" s="78">
        <f t="shared" si="6"/>
        <v>-47762.535546432002</v>
      </c>
      <c r="K116" s="78">
        <f t="shared" si="6"/>
        <v>-48717.78625736064</v>
      </c>
      <c r="L116" s="78">
        <f t="shared" si="6"/>
        <v>-49692.141982507848</v>
      </c>
      <c r="M116" s="78">
        <f t="shared" si="6"/>
        <v>-50685.984822158003</v>
      </c>
      <c r="N116" s="78">
        <f t="shared" si="6"/>
        <v>-51699.704518601167</v>
      </c>
      <c r="O116" s="78">
        <f t="shared" si="6"/>
        <v>-52733.698608973194</v>
      </c>
      <c r="P116" s="78">
        <f t="shared" si="6"/>
        <v>-53788.372581152646</v>
      </c>
      <c r="Q116" s="78">
        <f t="shared" si="6"/>
        <v>-54864.140032775707</v>
      </c>
      <c r="R116" s="78">
        <f t="shared" si="6"/>
        <v>-55961.422833431221</v>
      </c>
      <c r="S116" s="78">
        <f t="shared" si="6"/>
        <v>-57080.65129009985</v>
      </c>
      <c r="T116" s="78">
        <f t="shared" si="6"/>
        <v>-58222.264315901833</v>
      </c>
      <c r="U116" s="78">
        <f t="shared" si="6"/>
        <v>-59386.709602219875</v>
      </c>
      <c r="V116" s="78">
        <f t="shared" si="6"/>
        <v>-60574.443794264276</v>
      </c>
      <c r="W116" s="78">
        <f t="shared" si="6"/>
        <v>-61785.932670149559</v>
      </c>
      <c r="X116" s="78">
        <f t="shared" si="6"/>
        <v>-63021.651323552549</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174642.56731761567</v>
      </c>
      <c r="U123" s="81">
        <f t="shared" si="13"/>
        <v>178135.41866396801</v>
      </c>
      <c r="V123" s="81">
        <f t="shared" si="13"/>
        <v>181698.12703724738</v>
      </c>
      <c r="W123" s="81">
        <f t="shared" si="13"/>
        <v>185332.0895779923</v>
      </c>
      <c r="X123" s="81">
        <f t="shared" si="13"/>
        <v>189038.73136955217</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174642.56731761567</v>
      </c>
      <c r="U126" s="78">
        <f t="shared" si="15"/>
        <v>178135.41866396801</v>
      </c>
      <c r="V126" s="78">
        <f t="shared" si="15"/>
        <v>181698.12703724738</v>
      </c>
      <c r="W126" s="78">
        <f t="shared" si="15"/>
        <v>185332.0895779923</v>
      </c>
      <c r="X126" s="78">
        <f t="shared" si="15"/>
        <v>189038.73136955217</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-43260</v>
      </c>
      <c r="F127" s="81">
        <f t="shared" si="16"/>
        <v>-44125.200000000004</v>
      </c>
      <c r="G127" s="81">
        <f t="shared" si="16"/>
        <v>-45007.703999999998</v>
      </c>
      <c r="H127" s="81">
        <f t="shared" si="16"/>
        <v>-45907.858079999998</v>
      </c>
      <c r="I127" s="81">
        <f t="shared" si="16"/>
        <v>-46826.015241599998</v>
      </c>
      <c r="J127" s="81">
        <f t="shared" si="16"/>
        <v>-47762.535546432002</v>
      </c>
      <c r="K127" s="81">
        <f t="shared" si="16"/>
        <v>-48717.78625736064</v>
      </c>
      <c r="L127" s="81">
        <f t="shared" si="16"/>
        <v>-49692.141982507848</v>
      </c>
      <c r="M127" s="81">
        <f t="shared" si="16"/>
        <v>-50685.984822158003</v>
      </c>
      <c r="N127" s="81">
        <f t="shared" si="16"/>
        <v>-51699.704518601167</v>
      </c>
      <c r="O127" s="81">
        <f t="shared" si="16"/>
        <v>-52733.698608973194</v>
      </c>
      <c r="P127" s="81">
        <f t="shared" si="16"/>
        <v>-53788.372581152646</v>
      </c>
      <c r="Q127" s="81">
        <f t="shared" si="16"/>
        <v>-54864.140032775707</v>
      </c>
      <c r="R127" s="81">
        <f t="shared" si="16"/>
        <v>-55961.422833431221</v>
      </c>
      <c r="S127" s="81">
        <f t="shared" si="16"/>
        <v>-57080.65129009985</v>
      </c>
      <c r="T127" s="81">
        <f t="shared" si="16"/>
        <v>-58222.264315901833</v>
      </c>
      <c r="U127" s="81">
        <f t="shared" si="16"/>
        <v>-59386.709602219875</v>
      </c>
      <c r="V127" s="81">
        <f t="shared" si="16"/>
        <v>-60574.443794264276</v>
      </c>
      <c r="W127" s="81">
        <f t="shared" si="16"/>
        <v>-61785.932670149559</v>
      </c>
      <c r="X127" s="81">
        <f t="shared" si="16"/>
        <v>-63021.651323552549</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-43260</v>
      </c>
      <c r="F128" s="90">
        <f t="shared" ref="F128:AR128" si="17">SUM(F126:F127)</f>
        <v>-44125.200000000004</v>
      </c>
      <c r="G128" s="90">
        <f t="shared" si="17"/>
        <v>-45007.703999999998</v>
      </c>
      <c r="H128" s="90">
        <f t="shared" si="17"/>
        <v>-45907.858079999998</v>
      </c>
      <c r="I128" s="90">
        <f t="shared" si="17"/>
        <v>-46826.015241599998</v>
      </c>
      <c r="J128" s="90">
        <f t="shared" si="17"/>
        <v>-47762.535546432002</v>
      </c>
      <c r="K128" s="90">
        <f t="shared" si="17"/>
        <v>-48717.78625736064</v>
      </c>
      <c r="L128" s="90">
        <f t="shared" si="17"/>
        <v>-49692.141982507848</v>
      </c>
      <c r="M128" s="90">
        <f t="shared" si="17"/>
        <v>-50685.984822158003</v>
      </c>
      <c r="N128" s="90">
        <f t="shared" si="17"/>
        <v>-51699.704518601167</v>
      </c>
      <c r="O128" s="90">
        <f t="shared" si="17"/>
        <v>-52733.698608973194</v>
      </c>
      <c r="P128" s="90">
        <f t="shared" si="17"/>
        <v>-53788.372581152646</v>
      </c>
      <c r="Q128" s="90">
        <f t="shared" si="17"/>
        <v>-54864.140032775707</v>
      </c>
      <c r="R128" s="90">
        <f t="shared" si="17"/>
        <v>-55961.422833431221</v>
      </c>
      <c r="S128" s="90">
        <f t="shared" si="17"/>
        <v>-57080.65129009985</v>
      </c>
      <c r="T128" s="90">
        <f t="shared" si="17"/>
        <v>116420.30300171384</v>
      </c>
      <c r="U128" s="90">
        <f t="shared" si="17"/>
        <v>118748.70906174814</v>
      </c>
      <c r="V128" s="90">
        <f t="shared" si="17"/>
        <v>121123.6832429831</v>
      </c>
      <c r="W128" s="90">
        <f t="shared" si="17"/>
        <v>123546.15690784274</v>
      </c>
      <c r="X128" s="90">
        <f t="shared" si="17"/>
        <v>126017.08004599962</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-266832.79656250001</v>
      </c>
      <c r="F135" s="95">
        <f t="shared" ref="F135:AR135" si="22">F128+F130+F131</f>
        <v>-264181.23343332042</v>
      </c>
      <c r="G135" s="95">
        <f t="shared" si="22"/>
        <v>-261344.76042421287</v>
      </c>
      <c r="H135" s="95">
        <f t="shared" si="22"/>
        <v>-258312.09631708174</v>
      </c>
      <c r="I135" s="95">
        <f t="shared" si="22"/>
        <v>-255071.29824579053</v>
      </c>
      <c r="J135" s="95">
        <f t="shared" si="22"/>
        <v>-251609.72339184009</v>
      </c>
      <c r="K135" s="95">
        <f t="shared" si="22"/>
        <v>-247913.98847235629</v>
      </c>
      <c r="L135" s="95">
        <f t="shared" si="22"/>
        <v>-243969.92689334234</v>
      </c>
      <c r="M135" s="95">
        <f t="shared" si="22"/>
        <v>-239762.54343384207</v>
      </c>
      <c r="N135" s="95">
        <f t="shared" si="22"/>
        <v>-235275.9663189337</v>
      </c>
      <c r="O135" s="95">
        <f t="shared" si="22"/>
        <v>-230493.39653130143</v>
      </c>
      <c r="P135" s="95">
        <f t="shared" si="22"/>
        <v>-225397.05420249136</v>
      </c>
      <c r="Q135" s="95">
        <f t="shared" si="22"/>
        <v>-219968.12191581802</v>
      </c>
      <c r="R135" s="95">
        <f t="shared" si="22"/>
        <v>-214186.68474322505</v>
      </c>
      <c r="S135" s="95">
        <f t="shared" si="22"/>
        <v>-208031.66682818343</v>
      </c>
      <c r="T135" s="95">
        <f t="shared" si="22"/>
        <v>116420.30300171384</v>
      </c>
      <c r="U135" s="95">
        <f t="shared" si="22"/>
        <v>118748.70906174814</v>
      </c>
      <c r="V135" s="95">
        <f t="shared" si="22"/>
        <v>121123.6832429831</v>
      </c>
      <c r="W135" s="95">
        <f t="shared" si="22"/>
        <v>123546.15690784274</v>
      </c>
      <c r="X135" s="95">
        <f t="shared" si="22"/>
        <v>126017.08004599962</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50698.231346875</v>
      </c>
      <c r="F136" s="97">
        <f t="shared" si="23"/>
        <v>50194.434352330878</v>
      </c>
      <c r="G136" s="97">
        <f t="shared" si="23"/>
        <v>49655.504480600444</v>
      </c>
      <c r="H136" s="97">
        <f t="shared" si="23"/>
        <v>49079.298300245529</v>
      </c>
      <c r="I136" s="97">
        <f t="shared" si="23"/>
        <v>48463.546666700204</v>
      </c>
      <c r="J136" s="97">
        <f t="shared" si="23"/>
        <v>47805.847444449617</v>
      </c>
      <c r="K136" s="97">
        <f t="shared" si="23"/>
        <v>47103.657809747696</v>
      </c>
      <c r="L136" s="97">
        <f t="shared" si="23"/>
        <v>46354.286109735047</v>
      </c>
      <c r="M136" s="97">
        <f t="shared" si="23"/>
        <v>45554.883252429994</v>
      </c>
      <c r="N136" s="97">
        <f t="shared" si="23"/>
        <v>44702.433600597404</v>
      </c>
      <c r="O136" s="97">
        <f t="shared" si="23"/>
        <v>43793.745340947273</v>
      </c>
      <c r="P136" s="97">
        <f t="shared" si="23"/>
        <v>42825.440298473361</v>
      </c>
      <c r="Q136" s="97">
        <f t="shared" si="23"/>
        <v>41793.943164005424</v>
      </c>
      <c r="R136" s="97">
        <f t="shared" si="23"/>
        <v>40695.470101212763</v>
      </c>
      <c r="S136" s="97">
        <f t="shared" si="23"/>
        <v>39526.016697354855</v>
      </c>
      <c r="T136" s="97">
        <f t="shared" si="23"/>
        <v>-22119.857570325628</v>
      </c>
      <c r="U136" s="97">
        <f t="shared" si="23"/>
        <v>-22562.254721732148</v>
      </c>
      <c r="V136" s="97">
        <f t="shared" si="23"/>
        <v>-23013.49981616679</v>
      </c>
      <c r="W136" s="97">
        <f t="shared" si="23"/>
        <v>-23473.769812490122</v>
      </c>
      <c r="X136" s="97">
        <f t="shared" si="23"/>
        <v>-23943.245208739929</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-134037.16311440148</v>
      </c>
      <c r="F138" s="101">
        <f t="shared" si="24"/>
        <v>-135406.16010894562</v>
      </c>
      <c r="G138" s="101">
        <f t="shared" si="24"/>
        <v>-136827.59398067603</v>
      </c>
      <c r="H138" s="101">
        <f t="shared" si="24"/>
        <v>-138303.95424103097</v>
      </c>
      <c r="I138" s="101">
        <f t="shared" si="24"/>
        <v>-139837.86303617625</v>
      </c>
      <c r="J138" s="101">
        <f t="shared" si="24"/>
        <v>-141432.08256325888</v>
      </c>
      <c r="K138" s="101">
        <f t="shared" si="24"/>
        <v>-143089.52290888943</v>
      </c>
      <c r="L138" s="101">
        <f t="shared" si="24"/>
        <v>-144813.25033404925</v>
      </c>
      <c r="M138" s="101">
        <f t="shared" si="24"/>
        <v>-146606.49603100447</v>
      </c>
      <c r="N138" s="101">
        <f t="shared" si="24"/>
        <v>-148472.66537928025</v>
      </c>
      <c r="O138" s="101">
        <f t="shared" si="24"/>
        <v>-150415.34772930239</v>
      </c>
      <c r="P138" s="101">
        <f t="shared" si="24"/>
        <v>-152438.32674395578</v>
      </c>
      <c r="Q138" s="101">
        <f t="shared" si="24"/>
        <v>-154545.59133004677</v>
      </c>
      <c r="R138" s="101">
        <f t="shared" si="24"/>
        <v>-156741.3471934949</v>
      </c>
      <c r="S138" s="101">
        <f t="shared" si="24"/>
        <v>-159030.02905402146</v>
      </c>
      <c r="T138" s="101">
        <f t="shared" si="24"/>
        <v>94300.445431388216</v>
      </c>
      <c r="U138" s="101">
        <f t="shared" si="24"/>
        <v>96186.454340016004</v>
      </c>
      <c r="V138" s="101">
        <f t="shared" si="24"/>
        <v>98110.183426816307</v>
      </c>
      <c r="W138" s="101">
        <f t="shared" si="24"/>
        <v>100072.38709535262</v>
      </c>
      <c r="X138" s="101">
        <f t="shared" si="24"/>
        <v>102073.8348372597</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7438.2313468749999</v>
      </c>
      <c r="F139" s="106">
        <f t="shared" ref="F139:AR139" si="25">F128+F136</f>
        <v>6069.2343523308737</v>
      </c>
      <c r="G139" s="106">
        <f t="shared" si="25"/>
        <v>4647.8004806004465</v>
      </c>
      <c r="H139" s="106">
        <f t="shared" si="25"/>
        <v>3171.4402202455312</v>
      </c>
      <c r="I139" s="106">
        <f t="shared" si="25"/>
        <v>1637.5314251002055</v>
      </c>
      <c r="J139" s="106">
        <f t="shared" si="25"/>
        <v>43.311898017615022</v>
      </c>
      <c r="K139" s="106">
        <f t="shared" si="25"/>
        <v>-1614.128447612944</v>
      </c>
      <c r="L139" s="106">
        <f t="shared" si="25"/>
        <v>-3337.8558727728014</v>
      </c>
      <c r="M139" s="106">
        <f t="shared" si="25"/>
        <v>-5131.1015697280091</v>
      </c>
      <c r="N139" s="106">
        <f t="shared" si="25"/>
        <v>-6997.2709180037637</v>
      </c>
      <c r="O139" s="106">
        <f t="shared" si="25"/>
        <v>-8939.9532680259217</v>
      </c>
      <c r="P139" s="106">
        <f t="shared" si="25"/>
        <v>-10962.932282679285</v>
      </c>
      <c r="Q139" s="106">
        <f t="shared" si="25"/>
        <v>-13070.196868770283</v>
      </c>
      <c r="R139" s="106">
        <f t="shared" si="25"/>
        <v>-15265.952732218459</v>
      </c>
      <c r="S139" s="106">
        <f t="shared" si="25"/>
        <v>-17554.634592744995</v>
      </c>
      <c r="T139" s="106">
        <f t="shared" si="25"/>
        <v>94300.445431388216</v>
      </c>
      <c r="U139" s="106">
        <f t="shared" si="25"/>
        <v>96186.454340016004</v>
      </c>
      <c r="V139" s="106">
        <f t="shared" si="25"/>
        <v>98110.183426816307</v>
      </c>
      <c r="W139" s="106">
        <f t="shared" si="25"/>
        <v>100072.38709535262</v>
      </c>
      <c r="X139" s="106">
        <f t="shared" si="25"/>
        <v>102073.8348372597</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-134037.16311440148</v>
      </c>
      <c r="F140" s="106">
        <f t="shared" ref="F140:AR140" si="26">F138</f>
        <v>-135406.16010894562</v>
      </c>
      <c r="G140" s="106">
        <f t="shared" si="26"/>
        <v>-136827.59398067603</v>
      </c>
      <c r="H140" s="106">
        <f t="shared" si="26"/>
        <v>-138303.95424103097</v>
      </c>
      <c r="I140" s="106">
        <f t="shared" si="26"/>
        <v>-139837.86303617625</v>
      </c>
      <c r="J140" s="106">
        <f t="shared" si="26"/>
        <v>-141432.08256325888</v>
      </c>
      <c r="K140" s="106">
        <f t="shared" si="26"/>
        <v>-143089.52290888943</v>
      </c>
      <c r="L140" s="106">
        <f t="shared" si="26"/>
        <v>-144813.25033404925</v>
      </c>
      <c r="M140" s="106">
        <f t="shared" si="26"/>
        <v>-146606.49603100447</v>
      </c>
      <c r="N140" s="106">
        <f t="shared" si="26"/>
        <v>-148472.66537928025</v>
      </c>
      <c r="O140" s="106">
        <f t="shared" si="26"/>
        <v>-150415.34772930239</v>
      </c>
      <c r="P140" s="106">
        <f t="shared" si="26"/>
        <v>-152438.32674395578</v>
      </c>
      <c r="Q140" s="106">
        <f t="shared" si="26"/>
        <v>-154545.59133004677</v>
      </c>
      <c r="R140" s="106">
        <f t="shared" si="26"/>
        <v>-156741.3471934949</v>
      </c>
      <c r="S140" s="106">
        <f t="shared" si="26"/>
        <v>-159030.02905402146</v>
      </c>
      <c r="T140" s="106">
        <f t="shared" si="26"/>
        <v>94300.445431388216</v>
      </c>
      <c r="U140" s="106">
        <f t="shared" si="26"/>
        <v>96186.454340016004</v>
      </c>
      <c r="V140" s="106">
        <f t="shared" si="26"/>
        <v>98110.183426816307</v>
      </c>
      <c r="W140" s="106">
        <f t="shared" si="26"/>
        <v>100072.38709535262</v>
      </c>
      <c r="X140" s="106">
        <f t="shared" si="26"/>
        <v>102073.8348372597</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1780000</v>
      </c>
      <c r="F141" s="108">
        <f t="shared" si="27"/>
        <v>1780000</v>
      </c>
      <c r="G141" s="108">
        <f t="shared" si="27"/>
        <v>1780000</v>
      </c>
      <c r="H141" s="108">
        <f t="shared" si="27"/>
        <v>1780000</v>
      </c>
      <c r="I141" s="108">
        <f t="shared" si="27"/>
        <v>1780000</v>
      </c>
      <c r="J141" s="108">
        <f t="shared" si="27"/>
        <v>1780000</v>
      </c>
      <c r="K141" s="108">
        <f t="shared" si="27"/>
        <v>1780000</v>
      </c>
      <c r="L141" s="108">
        <f t="shared" si="27"/>
        <v>1780000</v>
      </c>
      <c r="M141" s="108">
        <f t="shared" si="27"/>
        <v>1780000</v>
      </c>
      <c r="N141" s="108">
        <f t="shared" si="27"/>
        <v>1780000</v>
      </c>
      <c r="O141" s="108">
        <f t="shared" si="27"/>
        <v>1780000</v>
      </c>
      <c r="P141" s="108">
        <f t="shared" si="27"/>
        <v>1780000</v>
      </c>
      <c r="Q141" s="108">
        <f t="shared" si="27"/>
        <v>1780000</v>
      </c>
      <c r="R141" s="108">
        <f t="shared" si="27"/>
        <v>1780000</v>
      </c>
      <c r="S141" s="108">
        <f t="shared" si="27"/>
        <v>1780000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2021471.7965625001</v>
      </c>
      <c r="F142" s="124">
        <f t="shared" ref="F142:AR142" si="28">E142-($C$5*F114+F128+F131)</f>
        <v>1891414.5299958205</v>
      </c>
      <c r="G142" s="124">
        <f t="shared" si="28"/>
        <v>1758520.7904200335</v>
      </c>
      <c r="H142" s="124">
        <f t="shared" si="28"/>
        <v>1622594.3867371152</v>
      </c>
      <c r="I142" s="124">
        <f t="shared" si="28"/>
        <v>1483427.1849829056</v>
      </c>
      <c r="J142" s="124">
        <f t="shared" si="28"/>
        <v>1340798.4083747456</v>
      </c>
      <c r="K142" s="124">
        <f t="shared" si="28"/>
        <v>1194473.8968471019</v>
      </c>
      <c r="L142" s="124">
        <f t="shared" si="28"/>
        <v>1044205.3237404443</v>
      </c>
      <c r="M142" s="124">
        <f t="shared" si="28"/>
        <v>889729.3671742864</v>
      </c>
      <c r="N142" s="124">
        <f t="shared" si="28"/>
        <v>730766.83349322015</v>
      </c>
      <c r="O142" s="124">
        <f t="shared" si="28"/>
        <v>567021.7300245217</v>
      </c>
      <c r="P142" s="124">
        <f t="shared" si="28"/>
        <v>398180.28422701312</v>
      </c>
      <c r="Q142" s="124">
        <f t="shared" si="28"/>
        <v>223909.90614283117</v>
      </c>
      <c r="R142" s="124">
        <f t="shared" si="28"/>
        <v>43858.090886056249</v>
      </c>
      <c r="S142" s="124">
        <f t="shared" si="28"/>
        <v>-142348.74228576027</v>
      </c>
      <c r="T142" s="124">
        <f t="shared" si="28"/>
        <v>-509749.04528747406</v>
      </c>
      <c r="U142" s="124">
        <f t="shared" si="28"/>
        <v>-879477.75434922217</v>
      </c>
      <c r="V142" s="124">
        <f t="shared" si="28"/>
        <v>-1251581.4375922051</v>
      </c>
      <c r="W142" s="124">
        <f t="shared" si="28"/>
        <v>-1626107.5945000479</v>
      </c>
      <c r="X142" s="124">
        <f t="shared" si="28"/>
        <v>-2003104.6745460476</v>
      </c>
      <c r="Y142" s="124">
        <f t="shared" si="28"/>
        <v>-2003104.6745460476</v>
      </c>
      <c r="Z142" s="124">
        <f t="shared" si="28"/>
        <v>-2003104.6745460476</v>
      </c>
      <c r="AA142" s="124">
        <f t="shared" si="28"/>
        <v>-2003104.6745460476</v>
      </c>
      <c r="AB142" s="124">
        <f t="shared" si="28"/>
        <v>-2003104.6745460476</v>
      </c>
      <c r="AC142" s="124">
        <f t="shared" si="28"/>
        <v>-2003104.6745460476</v>
      </c>
      <c r="AD142" s="124">
        <f t="shared" si="28"/>
        <v>-2003104.6745460476</v>
      </c>
      <c r="AE142" s="124">
        <f t="shared" si="28"/>
        <v>-2003104.6745460476</v>
      </c>
      <c r="AF142" s="124">
        <f t="shared" si="28"/>
        <v>-2003104.6745460476</v>
      </c>
      <c r="AG142" s="124">
        <f t="shared" si="28"/>
        <v>-2003104.6745460476</v>
      </c>
      <c r="AH142" s="124">
        <f t="shared" si="28"/>
        <v>-2003104.6745460476</v>
      </c>
      <c r="AI142" s="124">
        <f t="shared" si="28"/>
        <v>-2003104.6745460476</v>
      </c>
      <c r="AJ142" s="124">
        <f t="shared" si="28"/>
        <v>-2003104.6745460476</v>
      </c>
      <c r="AK142" s="124">
        <f t="shared" si="28"/>
        <v>-2003104.6745460476</v>
      </c>
      <c r="AL142" s="124">
        <f t="shared" si="28"/>
        <v>-2003104.6745460476</v>
      </c>
      <c r="AM142" s="124">
        <f t="shared" si="28"/>
        <v>-2003104.6745460476</v>
      </c>
      <c r="AN142" s="124">
        <f t="shared" si="28"/>
        <v>-2003104.6745460476</v>
      </c>
      <c r="AO142" s="124">
        <f t="shared" si="28"/>
        <v>-2003104.6745460476</v>
      </c>
      <c r="AP142" s="124">
        <f t="shared" si="28"/>
        <v>-2003104.6745460476</v>
      </c>
      <c r="AQ142" s="124">
        <f t="shared" si="28"/>
        <v>-2003104.6745460476</v>
      </c>
      <c r="AR142" s="124">
        <f t="shared" si="28"/>
        <v>-2003104.6745460476</v>
      </c>
    </row>
    <row r="143" spans="1:45" x14ac:dyDescent="0.2">
      <c r="B143" s="5" t="s">
        <v>350</v>
      </c>
      <c r="C143" s="195"/>
      <c r="D143" s="196"/>
      <c r="E143" s="197">
        <f>IF(E108&gt;$C$92,"",(-$C$89*(E135+$C$5*E114)+E128+$C$5*E114)/-E133)</f>
        <v>1.4895313220317961</v>
      </c>
      <c r="F143" s="197">
        <f>IF(F108&gt;$C$92,"",(-$C$89*(F135+$C$5*F114)+F128+$C$5*F114)/-F133)</f>
        <v>1.4798547489446017</v>
      </c>
      <c r="G143" s="197">
        <f>IF(G108&gt;$C$92,"",(-$C$89*(G135+$C$5*G114)+G128+$C$5*G114)/-G133)</f>
        <v>1.4698075327686508</v>
      </c>
      <c r="H143" s="197">
        <f>IF(H108&gt;$C$92,"",(-$C$89*(H135+$C$5*H114)+H128+$C$5*H114)/-H133)</f>
        <v>1.4593720767236138</v>
      </c>
      <c r="I143" s="197">
        <f t="shared" ref="I143:AR143" si="29">IF(I108&gt;$C$92,"",(-$C$89*(I135+$C$5*I114)+I128+$C$5*I114)/-I133)</f>
        <v>1.4485298465182395</v>
      </c>
      <c r="J143" s="197">
        <f t="shared" si="29"/>
        <v>1.4372613179295528</v>
      </c>
      <c r="K143" s="197">
        <f t="shared" si="29"/>
        <v>1.4255459213975841</v>
      </c>
      <c r="L143" s="197">
        <f t="shared" si="29"/>
        <v>1.4133619834646054</v>
      </c>
      <c r="M143" s="197">
        <f t="shared" si="29"/>
        <v>1.4006866648780505</v>
      </c>
      <c r="N143" s="197">
        <f t="shared" si="29"/>
        <v>1.38749589516589</v>
      </c>
      <c r="O143" s="197">
        <f t="shared" si="29"/>
        <v>1.3737643034822642</v>
      </c>
      <c r="P143" s="197">
        <f t="shared" si="29"/>
        <v>1.3594651455095534</v>
      </c>
      <c r="Q143" s="197">
        <f t="shared" si="29"/>
        <v>1.3445702261907897</v>
      </c>
      <c r="R143" s="197">
        <f t="shared" si="29"/>
        <v>1.3290498180533226</v>
      </c>
      <c r="S143" s="197">
        <f t="shared" si="29"/>
        <v>1.3128725748709189</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-1222315.5647346897</v>
      </c>
    </row>
    <row r="147" spans="2:45" x14ac:dyDescent="0.2">
      <c r="B147" s="79" t="s">
        <v>354</v>
      </c>
      <c r="C147" s="216" t="str">
        <f>$C$9</f>
        <v>kWh</v>
      </c>
      <c r="D147" s="126">
        <f>(1-$C$89)*NPV($C$86,E141:AR141)</f>
        <v>14003120.590524947</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1.4087446251952958</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-8.3183326874807118E-2</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1780</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IFERROR(ROUND(INDEX(Correctiebedragen!$A$1:$K$256,MATCH('10'!C16,Correctiebedragen!$A$1:$A$256,0),8),decimalen),"n.v.t.")</f>
        <v>n.v.t.</v>
      </c>
    </row>
    <row r="162" spans="2:20" customFormat="1" ht="15" x14ac:dyDescent="0.25">
      <c r="B162" s="248" t="s">
        <v>367</v>
      </c>
      <c r="C162" s="250" t="str">
        <f>IFERROR(ROUND(INDEX(Correctiebedragen!$A$1:$K$256,MATCH('10'!C17,Correctiebedragen!$A$1:$A$256,0),8),decimalen),"n.v.t.")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IFERROR(ROUND(INDEX(Correctiebedragen!$A$1:$K$256,MATCH('10'!C16,Correctiebedragen!$A$1:$A$256,0),4),decimalen),"n.v.t.")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IFERROR(ROUND(INDEX(Correctiebedragen!$A$1:$K$256,MATCH('10'!C17,Correctiebedragen!$A$1:$A$256,0),4),decimalen),"n.v.t.")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IFERROR(ROUND(INDEX(Correctiebedragen!$A$1:$K$256,MATCH('10'!C16,Correctiebedragen!$A$1:$A$256,0),6),decimalen),"n.v.t.")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IFERROR(ROUND(INDEX(Correctiebedragen!$A$1:$K$256,MATCH('10'!C17,Correctiebedragen!$A$1:$A$256,0),6),decimalen),"n.v.t.")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26700000</v>
      </c>
      <c r="E174" s="28"/>
    </row>
    <row r="175" spans="2:20" customFormat="1" ht="26.25" x14ac:dyDescent="0.25">
      <c r="B175" s="256" t="s">
        <v>370</v>
      </c>
      <c r="C175" s="271">
        <f>IF(C95=0,SUM(E114:INDEX(E114:AR114,1,C91)),SUM(E114:INDEX(E114:AR114,1,C95)))</f>
        <v>35600000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49" priority="5" operator="containsText" text="Pas op">
      <formula>NOT(ISERROR(SEARCH("Pas op",G1)))</formula>
    </cfRule>
  </conditionalFormatting>
  <conditionalFormatting sqref="G186">
    <cfRule type="containsText" dxfId="48" priority="4" operator="containsText" text="Pas op">
      <formula>NOT(ISERROR(SEARCH("Pas op",G186)))</formula>
    </cfRule>
  </conditionalFormatting>
  <conditionalFormatting sqref="G162 G165 G169:G170">
    <cfRule type="containsText" dxfId="47" priority="3" operator="containsText" text="Pas op">
      <formula>NOT(ISERROR(SEARCH("Pas op",G162)))</formula>
    </cfRule>
  </conditionalFormatting>
  <conditionalFormatting sqref="G100">
    <cfRule type="containsText" dxfId="46" priority="2" operator="containsText" text="Pas op">
      <formula>NOT(ISERROR(SEARCH("Pas op",G100)))</formula>
    </cfRule>
  </conditionalFormatting>
  <conditionalFormatting sqref="G166:G168">
    <cfRule type="containsText" dxfId="45" priority="1" operator="containsText" text="Pas op">
      <formula>NOT(ISERROR(SEARCH("Pas op",G166)))</formula>
    </cfRule>
  </conditionalFormatting>
  <dataValidations count="3">
    <dataValidation type="list" allowBlank="1" showInputMessage="1" showErrorMessage="1" sqref="C10" xr:uid="{B5EF4680-3FC1-463F-8338-306263F33373}">
      <formula1>INDIRECT("lst_vermogenseenheid")</formula1>
    </dataValidation>
    <dataValidation type="list" allowBlank="1" showInputMessage="1" showErrorMessage="1" sqref="C9" xr:uid="{103A242F-5D69-481C-97A3-51ED61FF34A2}">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9AE2EC9B-C53B-4C82-8556-BE89053BD168}">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CA25D7F-A58E-4619-B6B4-716B855EB848}">
          <x14:formula1>
            <xm:f>'ETS correctie methodes'!$B$4:$B$14</xm:f>
          </x14:formula1>
          <xm:sqref>C13</xm:sqref>
        </x14:dataValidation>
        <x14:dataValidation type="list" allowBlank="1" showInputMessage="1" showErrorMessage="1" xr:uid="{60337914-DFC5-484F-808D-5509E30BAC5C}">
          <x14:formula1>
            <xm:f>Colofon!$A$51:$A$56</xm:f>
          </x14:formula1>
          <xm:sqref>C11</xm:sqref>
        </x14:dataValidation>
        <x14:dataValidation type="list" allowBlank="1" showInputMessage="1" showErrorMessage="1" xr:uid="{F1373261-2F6D-4340-9C0A-77FF8C3D4F14}">
          <x14:formula1>
            <xm:f>Correctiebedragen!$A$3:$A$7</xm:f>
          </x14:formula1>
          <xm:sqref>C12 C16:C17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A7B7-E261-41B2-B435-A8FBCC2946AF}">
  <sheetPr codeName="Sheet102">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380</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0.152</v>
      </c>
      <c r="D5" s="113" t="str">
        <f>CONCATENATE("Euro/",$C$9)</f>
        <v>Euro/kWh</v>
      </c>
      <c r="E5" s="424"/>
      <c r="F5" s="425"/>
      <c r="G5" s="425"/>
      <c r="H5" s="425"/>
      <c r="I5" s="425"/>
      <c r="J5" s="425"/>
      <c r="K5" s="425"/>
      <c r="L5" s="425"/>
      <c r="M5" s="426"/>
      <c r="N5" s="26"/>
    </row>
    <row r="6" spans="1:14" x14ac:dyDescent="0.2">
      <c r="B6" s="4" t="s">
        <v>203</v>
      </c>
      <c r="C6" s="114">
        <f>ROUND((C5-C7)/C8*1000,0)</f>
        <v>823</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"&amp;IFERROR(INDEX(Correctiebedragen!$A$1:$M$256,MATCH('11'!C12,Correctiebedragen!$A$1:$A$256,0),9),"")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IFERROR(INDEX(Correctiebedragen!$A$1:$M$256,MATCH('11'!C16,Correctiebedragen!$A$1:$A$256,0),9),"")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IFERROR(INDEX(Correctiebedragen!$A$1:$M$256,MATCH('11'!C17,Correctiebedragen!$A$1:$A$256,0),9),"")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IFERROR(ROUND(INDEX(Correctiebedragen!$A$1:$K$7,MATCH('11'!C16,Correctiebedragen!$A$1:$A$7,0),8),decimalen),"n.v.t.")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IFERROR(ROUND(INDEX(Correctiebedragen!$A$1:$K$7,MATCH('11'!C17,Correctiebedragen!$A$1:$A$7,0),8),decimalen),"n.v.t.")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1650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1650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1650000</v>
      </c>
      <c r="F111" s="78">
        <f t="shared" ref="F111:AR111" si="2">IF(F108&lt;=$C$94,$C$37*$C$39,IF(AND(F108&gt;$C$94,F108&lt;=$C$91),$C$37*$C$77,0))*IF($C$41=0,1,$C$42/$C$41)</f>
        <v>1650000</v>
      </c>
      <c r="G111" s="78">
        <f t="shared" si="2"/>
        <v>1650000</v>
      </c>
      <c r="H111" s="78">
        <f t="shared" si="2"/>
        <v>1650000</v>
      </c>
      <c r="I111" s="78">
        <f t="shared" si="2"/>
        <v>1650000</v>
      </c>
      <c r="J111" s="78">
        <f t="shared" si="2"/>
        <v>1650000</v>
      </c>
      <c r="K111" s="78">
        <f t="shared" si="2"/>
        <v>1650000</v>
      </c>
      <c r="L111" s="78">
        <f t="shared" si="2"/>
        <v>1650000</v>
      </c>
      <c r="M111" s="78">
        <f t="shared" si="2"/>
        <v>1650000</v>
      </c>
      <c r="N111" s="78">
        <f t="shared" si="2"/>
        <v>1650000</v>
      </c>
      <c r="O111" s="78">
        <f t="shared" si="2"/>
        <v>1650000</v>
      </c>
      <c r="P111" s="78">
        <f t="shared" si="2"/>
        <v>1650000</v>
      </c>
      <c r="Q111" s="78">
        <f t="shared" si="2"/>
        <v>1650000</v>
      </c>
      <c r="R111" s="78">
        <f t="shared" si="2"/>
        <v>1650000</v>
      </c>
      <c r="S111" s="78">
        <f t="shared" si="2"/>
        <v>1650000</v>
      </c>
      <c r="T111" s="78">
        <f t="shared" si="2"/>
        <v>1650000</v>
      </c>
      <c r="U111" s="78">
        <f t="shared" si="2"/>
        <v>1650000</v>
      </c>
      <c r="V111" s="78">
        <f t="shared" si="2"/>
        <v>1650000</v>
      </c>
      <c r="W111" s="78">
        <f t="shared" si="2"/>
        <v>1650000</v>
      </c>
      <c r="X111" s="78">
        <f t="shared" si="2"/>
        <v>1650000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1650000</v>
      </c>
      <c r="F114" s="84">
        <f t="shared" ref="F114:AR114" si="5">SUM(F111:F113)</f>
        <v>1650000</v>
      </c>
      <c r="G114" s="84">
        <f t="shared" si="5"/>
        <v>1650000</v>
      </c>
      <c r="H114" s="84">
        <f t="shared" si="5"/>
        <v>1650000</v>
      </c>
      <c r="I114" s="84">
        <f t="shared" si="5"/>
        <v>1650000</v>
      </c>
      <c r="J114" s="84">
        <f t="shared" si="5"/>
        <v>1650000</v>
      </c>
      <c r="K114" s="84">
        <f t="shared" si="5"/>
        <v>1650000</v>
      </c>
      <c r="L114" s="84">
        <f t="shared" si="5"/>
        <v>1650000</v>
      </c>
      <c r="M114" s="84">
        <f t="shared" si="5"/>
        <v>1650000</v>
      </c>
      <c r="N114" s="84">
        <f t="shared" si="5"/>
        <v>1650000</v>
      </c>
      <c r="O114" s="84">
        <f t="shared" si="5"/>
        <v>1650000</v>
      </c>
      <c r="P114" s="84">
        <f t="shared" si="5"/>
        <v>1650000</v>
      </c>
      <c r="Q114" s="84">
        <f t="shared" si="5"/>
        <v>1650000</v>
      </c>
      <c r="R114" s="84">
        <f t="shared" si="5"/>
        <v>1650000</v>
      </c>
      <c r="S114" s="84">
        <f t="shared" si="5"/>
        <v>1650000</v>
      </c>
      <c r="T114" s="84">
        <f t="shared" si="5"/>
        <v>1650000</v>
      </c>
      <c r="U114" s="84">
        <f t="shared" si="5"/>
        <v>1650000</v>
      </c>
      <c r="V114" s="84">
        <f t="shared" si="5"/>
        <v>1650000</v>
      </c>
      <c r="W114" s="84">
        <f t="shared" si="5"/>
        <v>1650000</v>
      </c>
      <c r="X114" s="84">
        <f t="shared" si="5"/>
        <v>1650000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-41050</v>
      </c>
      <c r="F116" s="78">
        <f t="shared" si="6"/>
        <v>-41871</v>
      </c>
      <c r="G116" s="78">
        <f t="shared" si="6"/>
        <v>-42708.42</v>
      </c>
      <c r="H116" s="78">
        <f t="shared" si="6"/>
        <v>-43562.588400000001</v>
      </c>
      <c r="I116" s="78">
        <f t="shared" si="6"/>
        <v>-44433.840168000002</v>
      </c>
      <c r="J116" s="78">
        <f t="shared" si="6"/>
        <v>-45322.516971359997</v>
      </c>
      <c r="K116" s="78">
        <f t="shared" si="6"/>
        <v>-46228.9673107872</v>
      </c>
      <c r="L116" s="78">
        <f t="shared" si="6"/>
        <v>-47153.546657002938</v>
      </c>
      <c r="M116" s="78">
        <f t="shared" si="6"/>
        <v>-48096.617590142996</v>
      </c>
      <c r="N116" s="78">
        <f t="shared" si="6"/>
        <v>-49058.549941945857</v>
      </c>
      <c r="O116" s="78">
        <f t="shared" si="6"/>
        <v>-50039.720940784777</v>
      </c>
      <c r="P116" s="78">
        <f t="shared" si="6"/>
        <v>-51040.515359600467</v>
      </c>
      <c r="Q116" s="78">
        <f t="shared" si="6"/>
        <v>-52061.32566679248</v>
      </c>
      <c r="R116" s="78">
        <f t="shared" si="6"/>
        <v>-53102.552180128332</v>
      </c>
      <c r="S116" s="78">
        <f t="shared" si="6"/>
        <v>-54164.603223730905</v>
      </c>
      <c r="T116" s="78">
        <f t="shared" si="6"/>
        <v>-55247.895288205502</v>
      </c>
      <c r="U116" s="78">
        <f t="shared" si="6"/>
        <v>-56352.853193969626</v>
      </c>
      <c r="V116" s="78">
        <f t="shared" si="6"/>
        <v>-57479.91025784902</v>
      </c>
      <c r="W116" s="78">
        <f t="shared" si="6"/>
        <v>-58629.508463005994</v>
      </c>
      <c r="X116" s="78">
        <f t="shared" si="6"/>
        <v>-59802.098632266112</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161887.77307531788</v>
      </c>
      <c r="U123" s="81">
        <f t="shared" si="13"/>
        <v>165125.52853682428</v>
      </c>
      <c r="V123" s="81">
        <f t="shared" si="13"/>
        <v>168428.03910756076</v>
      </c>
      <c r="W123" s="81">
        <f t="shared" si="13"/>
        <v>171796.59988971197</v>
      </c>
      <c r="X123" s="81">
        <f t="shared" si="13"/>
        <v>175232.53188750622</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161887.77307531788</v>
      </c>
      <c r="U126" s="78">
        <f t="shared" si="15"/>
        <v>165125.52853682428</v>
      </c>
      <c r="V126" s="78">
        <f t="shared" si="15"/>
        <v>168428.03910756076</v>
      </c>
      <c r="W126" s="78">
        <f t="shared" si="15"/>
        <v>171796.59988971197</v>
      </c>
      <c r="X126" s="78">
        <f t="shared" si="15"/>
        <v>175232.53188750622</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-41050</v>
      </c>
      <c r="F127" s="81">
        <f t="shared" si="16"/>
        <v>-41871</v>
      </c>
      <c r="G127" s="81">
        <f t="shared" si="16"/>
        <v>-42708.42</v>
      </c>
      <c r="H127" s="81">
        <f t="shared" si="16"/>
        <v>-43562.588400000001</v>
      </c>
      <c r="I127" s="81">
        <f t="shared" si="16"/>
        <v>-44433.840168000002</v>
      </c>
      <c r="J127" s="81">
        <f t="shared" si="16"/>
        <v>-45322.516971359997</v>
      </c>
      <c r="K127" s="81">
        <f t="shared" si="16"/>
        <v>-46228.9673107872</v>
      </c>
      <c r="L127" s="81">
        <f t="shared" si="16"/>
        <v>-47153.546657002938</v>
      </c>
      <c r="M127" s="81">
        <f t="shared" si="16"/>
        <v>-48096.617590142996</v>
      </c>
      <c r="N127" s="81">
        <f t="shared" si="16"/>
        <v>-49058.549941945857</v>
      </c>
      <c r="O127" s="81">
        <f t="shared" si="16"/>
        <v>-50039.720940784777</v>
      </c>
      <c r="P127" s="81">
        <f t="shared" si="16"/>
        <v>-51040.515359600467</v>
      </c>
      <c r="Q127" s="81">
        <f t="shared" si="16"/>
        <v>-52061.32566679248</v>
      </c>
      <c r="R127" s="81">
        <f t="shared" si="16"/>
        <v>-53102.552180128332</v>
      </c>
      <c r="S127" s="81">
        <f t="shared" si="16"/>
        <v>-54164.603223730905</v>
      </c>
      <c r="T127" s="81">
        <f t="shared" si="16"/>
        <v>-55247.895288205502</v>
      </c>
      <c r="U127" s="81">
        <f t="shared" si="16"/>
        <v>-56352.853193969626</v>
      </c>
      <c r="V127" s="81">
        <f t="shared" si="16"/>
        <v>-57479.91025784902</v>
      </c>
      <c r="W127" s="81">
        <f t="shared" si="16"/>
        <v>-58629.508463005994</v>
      </c>
      <c r="X127" s="81">
        <f t="shared" si="16"/>
        <v>-59802.098632266112</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-41050</v>
      </c>
      <c r="F128" s="90">
        <f t="shared" ref="F128:AR128" si="17">SUM(F126:F127)</f>
        <v>-41871</v>
      </c>
      <c r="G128" s="90">
        <f t="shared" si="17"/>
        <v>-42708.42</v>
      </c>
      <c r="H128" s="90">
        <f t="shared" si="17"/>
        <v>-43562.588400000001</v>
      </c>
      <c r="I128" s="90">
        <f t="shared" si="17"/>
        <v>-44433.840168000002</v>
      </c>
      <c r="J128" s="90">
        <f t="shared" si="17"/>
        <v>-45322.516971359997</v>
      </c>
      <c r="K128" s="90">
        <f t="shared" si="17"/>
        <v>-46228.9673107872</v>
      </c>
      <c r="L128" s="90">
        <f t="shared" si="17"/>
        <v>-47153.546657002938</v>
      </c>
      <c r="M128" s="90">
        <f t="shared" si="17"/>
        <v>-48096.617590142996</v>
      </c>
      <c r="N128" s="90">
        <f t="shared" si="17"/>
        <v>-49058.549941945857</v>
      </c>
      <c r="O128" s="90">
        <f t="shared" si="17"/>
        <v>-50039.720940784777</v>
      </c>
      <c r="P128" s="90">
        <f t="shared" si="17"/>
        <v>-51040.515359600467</v>
      </c>
      <c r="Q128" s="90">
        <f t="shared" si="17"/>
        <v>-52061.32566679248</v>
      </c>
      <c r="R128" s="90">
        <f t="shared" si="17"/>
        <v>-53102.552180128332</v>
      </c>
      <c r="S128" s="90">
        <f t="shared" si="17"/>
        <v>-54164.603223730905</v>
      </c>
      <c r="T128" s="90">
        <f t="shared" si="17"/>
        <v>106639.87778711237</v>
      </c>
      <c r="U128" s="90">
        <f t="shared" si="17"/>
        <v>108772.67534285465</v>
      </c>
      <c r="V128" s="90">
        <f t="shared" si="17"/>
        <v>110948.12884971173</v>
      </c>
      <c r="W128" s="90">
        <f t="shared" si="17"/>
        <v>113167.09142670597</v>
      </c>
      <c r="X128" s="90">
        <f t="shared" si="17"/>
        <v>115430.43325524012</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-264622.79656250001</v>
      </c>
      <c r="F135" s="95">
        <f t="shared" ref="F135:AR135" si="22">F128+F130+F131</f>
        <v>-261927.03343332038</v>
      </c>
      <c r="G135" s="95">
        <f t="shared" si="22"/>
        <v>-259045.47642421286</v>
      </c>
      <c r="H135" s="95">
        <f t="shared" si="22"/>
        <v>-255966.82663708174</v>
      </c>
      <c r="I135" s="95">
        <f t="shared" si="22"/>
        <v>-252679.12317219051</v>
      </c>
      <c r="J135" s="95">
        <f t="shared" si="22"/>
        <v>-249169.70481676806</v>
      </c>
      <c r="K135" s="95">
        <f t="shared" si="22"/>
        <v>-245425.16952578287</v>
      </c>
      <c r="L135" s="95">
        <f t="shared" si="22"/>
        <v>-241431.33156783745</v>
      </c>
      <c r="M135" s="95">
        <f t="shared" si="22"/>
        <v>-237173.17620182707</v>
      </c>
      <c r="N135" s="95">
        <f t="shared" si="22"/>
        <v>-232634.81174227837</v>
      </c>
      <c r="O135" s="95">
        <f t="shared" si="22"/>
        <v>-227799.41886311304</v>
      </c>
      <c r="P135" s="95">
        <f t="shared" si="22"/>
        <v>-222649.19698093919</v>
      </c>
      <c r="Q135" s="95">
        <f t="shared" si="22"/>
        <v>-217165.3075498348</v>
      </c>
      <c r="R135" s="95">
        <f t="shared" si="22"/>
        <v>-211327.81408992218</v>
      </c>
      <c r="S135" s="95">
        <f t="shared" si="22"/>
        <v>-205115.61876181449</v>
      </c>
      <c r="T135" s="95">
        <f t="shared" si="22"/>
        <v>106639.87778711237</v>
      </c>
      <c r="U135" s="95">
        <f t="shared" si="22"/>
        <v>108772.67534285465</v>
      </c>
      <c r="V135" s="95">
        <f t="shared" si="22"/>
        <v>110948.12884971173</v>
      </c>
      <c r="W135" s="95">
        <f t="shared" si="22"/>
        <v>113167.09142670597</v>
      </c>
      <c r="X135" s="95">
        <f t="shared" si="22"/>
        <v>115430.43325524012</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50278.331346874998</v>
      </c>
      <c r="F136" s="97">
        <f t="shared" si="23"/>
        <v>49766.136352330876</v>
      </c>
      <c r="G136" s="97">
        <f t="shared" si="23"/>
        <v>49218.640520600442</v>
      </c>
      <c r="H136" s="97">
        <f t="shared" si="23"/>
        <v>48633.697061045532</v>
      </c>
      <c r="I136" s="97">
        <f t="shared" si="23"/>
        <v>48009.033402716195</v>
      </c>
      <c r="J136" s="97">
        <f t="shared" si="23"/>
        <v>47342.243915185929</v>
      </c>
      <c r="K136" s="97">
        <f t="shared" si="23"/>
        <v>46630.782209898745</v>
      </c>
      <c r="L136" s="97">
        <f t="shared" si="23"/>
        <v>45871.952997889115</v>
      </c>
      <c r="M136" s="97">
        <f t="shared" si="23"/>
        <v>45062.903478347143</v>
      </c>
      <c r="N136" s="97">
        <f t="shared" si="23"/>
        <v>44200.614231032894</v>
      </c>
      <c r="O136" s="97">
        <f t="shared" si="23"/>
        <v>43281.889583991477</v>
      </c>
      <c r="P136" s="97">
        <f t="shared" si="23"/>
        <v>42303.347426378445</v>
      </c>
      <c r="Q136" s="97">
        <f t="shared" si="23"/>
        <v>41261.408434468613</v>
      </c>
      <c r="R136" s="97">
        <f t="shared" si="23"/>
        <v>40152.284677085212</v>
      </c>
      <c r="S136" s="97">
        <f t="shared" si="23"/>
        <v>38971.967564744751</v>
      </c>
      <c r="T136" s="97">
        <f t="shared" si="23"/>
        <v>-20261.576779551353</v>
      </c>
      <c r="U136" s="97">
        <f t="shared" si="23"/>
        <v>-20666.808315142385</v>
      </c>
      <c r="V136" s="97">
        <f t="shared" si="23"/>
        <v>-21080.14448144523</v>
      </c>
      <c r="W136" s="97">
        <f t="shared" si="23"/>
        <v>-21501.747371074136</v>
      </c>
      <c r="X136" s="97">
        <f t="shared" si="23"/>
        <v>-21931.782318495621</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-132247.06311440148</v>
      </c>
      <c r="F138" s="101">
        <f t="shared" si="24"/>
        <v>-133580.25810894562</v>
      </c>
      <c r="G138" s="101">
        <f t="shared" si="24"/>
        <v>-134965.17394067603</v>
      </c>
      <c r="H138" s="101">
        <f t="shared" si="24"/>
        <v>-136404.28580023095</v>
      </c>
      <c r="I138" s="101">
        <f t="shared" si="24"/>
        <v>-137900.20122656028</v>
      </c>
      <c r="J138" s="101">
        <f t="shared" si="24"/>
        <v>-139455.66751745052</v>
      </c>
      <c r="K138" s="101">
        <f t="shared" si="24"/>
        <v>-141073.57956216493</v>
      </c>
      <c r="L138" s="101">
        <f t="shared" si="24"/>
        <v>-142756.98812039031</v>
      </c>
      <c r="M138" s="101">
        <f t="shared" si="24"/>
        <v>-144509.10857307233</v>
      </c>
      <c r="N138" s="101">
        <f t="shared" si="24"/>
        <v>-146333.33017218942</v>
      </c>
      <c r="O138" s="101">
        <f t="shared" si="24"/>
        <v>-148233.22581806977</v>
      </c>
      <c r="P138" s="101">
        <f t="shared" si="24"/>
        <v>-150212.5623944985</v>
      </c>
      <c r="Q138" s="101">
        <f t="shared" si="24"/>
        <v>-152275.31169360035</v>
      </c>
      <c r="R138" s="101">
        <f t="shared" si="24"/>
        <v>-154425.66196431956</v>
      </c>
      <c r="S138" s="101">
        <f t="shared" si="24"/>
        <v>-156668.03012026261</v>
      </c>
      <c r="T138" s="101">
        <f t="shared" si="24"/>
        <v>86378.301007561022</v>
      </c>
      <c r="U138" s="101">
        <f t="shared" si="24"/>
        <v>88105.867027712258</v>
      </c>
      <c r="V138" s="101">
        <f t="shared" si="24"/>
        <v>89867.984368266509</v>
      </c>
      <c r="W138" s="101">
        <f t="shared" si="24"/>
        <v>91665.344055631838</v>
      </c>
      <c r="X138" s="101">
        <f t="shared" si="24"/>
        <v>93498.650936744496</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9228.3313468749984</v>
      </c>
      <c r="F139" s="106">
        <f t="shared" ref="F139:AR139" si="25">F128+F136</f>
        <v>7895.1363523308755</v>
      </c>
      <c r="G139" s="106">
        <f t="shared" si="25"/>
        <v>6510.2205206004437</v>
      </c>
      <c r="H139" s="106">
        <f t="shared" si="25"/>
        <v>5071.1086610455313</v>
      </c>
      <c r="I139" s="106">
        <f t="shared" si="25"/>
        <v>3575.1932347161928</v>
      </c>
      <c r="J139" s="106">
        <f t="shared" si="25"/>
        <v>2019.7269438259318</v>
      </c>
      <c r="K139" s="106">
        <f t="shared" si="25"/>
        <v>401.81489911154495</v>
      </c>
      <c r="L139" s="106">
        <f t="shared" si="25"/>
        <v>-1281.5936591138234</v>
      </c>
      <c r="M139" s="106">
        <f t="shared" si="25"/>
        <v>-3033.7141117958527</v>
      </c>
      <c r="N139" s="106">
        <f t="shared" si="25"/>
        <v>-4857.9357109129633</v>
      </c>
      <c r="O139" s="106">
        <f t="shared" si="25"/>
        <v>-6757.8313567933001</v>
      </c>
      <c r="P139" s="106">
        <f t="shared" si="25"/>
        <v>-8737.1679332220228</v>
      </c>
      <c r="Q139" s="106">
        <f t="shared" si="25"/>
        <v>-10799.917232323867</v>
      </c>
      <c r="R139" s="106">
        <f t="shared" si="25"/>
        <v>-12950.26750304312</v>
      </c>
      <c r="S139" s="106">
        <f t="shared" si="25"/>
        <v>-15192.635658986153</v>
      </c>
      <c r="T139" s="106">
        <f t="shared" si="25"/>
        <v>86378.301007561022</v>
      </c>
      <c r="U139" s="106">
        <f t="shared" si="25"/>
        <v>88105.867027712258</v>
      </c>
      <c r="V139" s="106">
        <f t="shared" si="25"/>
        <v>89867.984368266509</v>
      </c>
      <c r="W139" s="106">
        <f t="shared" si="25"/>
        <v>91665.344055631838</v>
      </c>
      <c r="X139" s="106">
        <f t="shared" si="25"/>
        <v>93498.650936744496</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-132247.06311440148</v>
      </c>
      <c r="F140" s="106">
        <f t="shared" ref="F140:AR140" si="26">F138</f>
        <v>-133580.25810894562</v>
      </c>
      <c r="G140" s="106">
        <f t="shared" si="26"/>
        <v>-134965.17394067603</v>
      </c>
      <c r="H140" s="106">
        <f t="shared" si="26"/>
        <v>-136404.28580023095</v>
      </c>
      <c r="I140" s="106">
        <f t="shared" si="26"/>
        <v>-137900.20122656028</v>
      </c>
      <c r="J140" s="106">
        <f t="shared" si="26"/>
        <v>-139455.66751745052</v>
      </c>
      <c r="K140" s="106">
        <f t="shared" si="26"/>
        <v>-141073.57956216493</v>
      </c>
      <c r="L140" s="106">
        <f t="shared" si="26"/>
        <v>-142756.98812039031</v>
      </c>
      <c r="M140" s="106">
        <f t="shared" si="26"/>
        <v>-144509.10857307233</v>
      </c>
      <c r="N140" s="106">
        <f t="shared" si="26"/>
        <v>-146333.33017218942</v>
      </c>
      <c r="O140" s="106">
        <f t="shared" si="26"/>
        <v>-148233.22581806977</v>
      </c>
      <c r="P140" s="106">
        <f t="shared" si="26"/>
        <v>-150212.5623944985</v>
      </c>
      <c r="Q140" s="106">
        <f t="shared" si="26"/>
        <v>-152275.31169360035</v>
      </c>
      <c r="R140" s="106">
        <f t="shared" si="26"/>
        <v>-154425.66196431956</v>
      </c>
      <c r="S140" s="106">
        <f t="shared" si="26"/>
        <v>-156668.03012026261</v>
      </c>
      <c r="T140" s="106">
        <f t="shared" si="26"/>
        <v>86378.301007561022</v>
      </c>
      <c r="U140" s="106">
        <f t="shared" si="26"/>
        <v>88105.867027712258</v>
      </c>
      <c r="V140" s="106">
        <f t="shared" si="26"/>
        <v>89867.984368266509</v>
      </c>
      <c r="W140" s="106">
        <f t="shared" si="26"/>
        <v>91665.344055631838</v>
      </c>
      <c r="X140" s="106">
        <f t="shared" si="26"/>
        <v>93498.650936744496</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1650000</v>
      </c>
      <c r="F141" s="108">
        <f t="shared" si="27"/>
        <v>1650000</v>
      </c>
      <c r="G141" s="108">
        <f t="shared" si="27"/>
        <v>1650000</v>
      </c>
      <c r="H141" s="108">
        <f t="shared" si="27"/>
        <v>1650000</v>
      </c>
      <c r="I141" s="108">
        <f t="shared" si="27"/>
        <v>1650000</v>
      </c>
      <c r="J141" s="108">
        <f t="shared" si="27"/>
        <v>1650000</v>
      </c>
      <c r="K141" s="108">
        <f t="shared" si="27"/>
        <v>1650000</v>
      </c>
      <c r="L141" s="108">
        <f t="shared" si="27"/>
        <v>1650000</v>
      </c>
      <c r="M141" s="108">
        <f t="shared" si="27"/>
        <v>1650000</v>
      </c>
      <c r="N141" s="108">
        <f t="shared" si="27"/>
        <v>1650000</v>
      </c>
      <c r="O141" s="108">
        <f t="shared" si="27"/>
        <v>1650000</v>
      </c>
      <c r="P141" s="108">
        <f t="shared" si="27"/>
        <v>1650000</v>
      </c>
      <c r="Q141" s="108">
        <f t="shared" si="27"/>
        <v>1650000</v>
      </c>
      <c r="R141" s="108">
        <f t="shared" si="27"/>
        <v>1650000</v>
      </c>
      <c r="S141" s="108">
        <f t="shared" si="27"/>
        <v>1650000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2019441.7965625001</v>
      </c>
      <c r="F142" s="124">
        <f t="shared" ref="F142:AR142" si="28">E142-($C$5*F114+F128+F131)</f>
        <v>1887310.3299958205</v>
      </c>
      <c r="G142" s="124">
        <f t="shared" si="28"/>
        <v>1752297.3064200333</v>
      </c>
      <c r="H142" s="124">
        <f t="shared" si="28"/>
        <v>1614205.6330571151</v>
      </c>
      <c r="I142" s="124">
        <f t="shared" si="28"/>
        <v>1472826.2562293056</v>
      </c>
      <c r="J142" s="124">
        <f t="shared" si="28"/>
        <v>1327937.4610460736</v>
      </c>
      <c r="K142" s="124">
        <f t="shared" si="28"/>
        <v>1179304.1305718564</v>
      </c>
      <c r="L142" s="124">
        <f t="shared" si="28"/>
        <v>1026676.9621396938</v>
      </c>
      <c r="M142" s="124">
        <f t="shared" si="28"/>
        <v>869791.63834152091</v>
      </c>
      <c r="N142" s="124">
        <f t="shared" si="28"/>
        <v>708367.95008379931</v>
      </c>
      <c r="O142" s="124">
        <f t="shared" si="28"/>
        <v>542108.86894691235</v>
      </c>
      <c r="P142" s="124">
        <f t="shared" si="28"/>
        <v>370699.56592785154</v>
      </c>
      <c r="Q142" s="124">
        <f t="shared" si="28"/>
        <v>193806.37347768634</v>
      </c>
      <c r="R142" s="124">
        <f t="shared" si="28"/>
        <v>11075.687567608518</v>
      </c>
      <c r="S142" s="124">
        <f t="shared" si="28"/>
        <v>-177867.19367057699</v>
      </c>
      <c r="T142" s="124">
        <f t="shared" si="28"/>
        <v>-535307.0714576894</v>
      </c>
      <c r="U142" s="124">
        <f t="shared" si="28"/>
        <v>-894879.74680054397</v>
      </c>
      <c r="V142" s="124">
        <f t="shared" si="28"/>
        <v>-1256627.8756502557</v>
      </c>
      <c r="W142" s="124">
        <f t="shared" si="28"/>
        <v>-1620594.9670769616</v>
      </c>
      <c r="X142" s="124">
        <f t="shared" si="28"/>
        <v>-1986825.4003322017</v>
      </c>
      <c r="Y142" s="124">
        <f t="shared" si="28"/>
        <v>-1986825.4003322017</v>
      </c>
      <c r="Z142" s="124">
        <f t="shared" si="28"/>
        <v>-1986825.4003322017</v>
      </c>
      <c r="AA142" s="124">
        <f t="shared" si="28"/>
        <v>-1986825.4003322017</v>
      </c>
      <c r="AB142" s="124">
        <f t="shared" si="28"/>
        <v>-1986825.4003322017</v>
      </c>
      <c r="AC142" s="124">
        <f t="shared" si="28"/>
        <v>-1986825.4003322017</v>
      </c>
      <c r="AD142" s="124">
        <f t="shared" si="28"/>
        <v>-1986825.4003322017</v>
      </c>
      <c r="AE142" s="124">
        <f t="shared" si="28"/>
        <v>-1986825.4003322017</v>
      </c>
      <c r="AF142" s="124">
        <f t="shared" si="28"/>
        <v>-1986825.4003322017</v>
      </c>
      <c r="AG142" s="124">
        <f t="shared" si="28"/>
        <v>-1986825.4003322017</v>
      </c>
      <c r="AH142" s="124">
        <f t="shared" si="28"/>
        <v>-1986825.4003322017</v>
      </c>
      <c r="AI142" s="124">
        <f t="shared" si="28"/>
        <v>-1986825.4003322017</v>
      </c>
      <c r="AJ142" s="124">
        <f t="shared" si="28"/>
        <v>-1986825.4003322017</v>
      </c>
      <c r="AK142" s="124">
        <f t="shared" si="28"/>
        <v>-1986825.4003322017</v>
      </c>
      <c r="AL142" s="124">
        <f t="shared" si="28"/>
        <v>-1986825.4003322017</v>
      </c>
      <c r="AM142" s="124">
        <f t="shared" si="28"/>
        <v>-1986825.4003322017</v>
      </c>
      <c r="AN142" s="124">
        <f t="shared" si="28"/>
        <v>-1986825.4003322017</v>
      </c>
      <c r="AO142" s="124">
        <f t="shared" si="28"/>
        <v>-1986825.4003322017</v>
      </c>
      <c r="AP142" s="124">
        <f t="shared" si="28"/>
        <v>-1986825.4003322017</v>
      </c>
      <c r="AQ142" s="124">
        <f t="shared" si="28"/>
        <v>-1986825.4003322017</v>
      </c>
      <c r="AR142" s="124">
        <f t="shared" si="28"/>
        <v>-1986825.4003322017</v>
      </c>
    </row>
    <row r="143" spans="1:45" x14ac:dyDescent="0.2">
      <c r="B143" s="5" t="s">
        <v>350</v>
      </c>
      <c r="C143" s="195"/>
      <c r="D143" s="196"/>
      <c r="E143" s="197">
        <f>IF(E108&gt;$C$92,"",(-$C$89*(E135+$C$5*E114)+E128+$C$5*E114)/-E133)</f>
        <v>1.5011538377792257</v>
      </c>
      <c r="F143" s="197">
        <f>IF(F108&gt;$C$92,"",(-$C$89*(F135+$C$5*F114)+F128+$C$5*F114)/-F133)</f>
        <v>1.4917303263649557</v>
      </c>
      <c r="G143" s="197">
        <f>IF(G108&gt;$C$92,"",(-$C$89*(G135+$C$5*G114)+G128+$C$5*G114)/-G133)</f>
        <v>1.4819412330953876</v>
      </c>
      <c r="H143" s="197">
        <f>IF(H108&gt;$C$92,"",(-$C$89*(H135+$C$5*H114)+H128+$C$5*H114)/-H133)</f>
        <v>1.4717690624148612</v>
      </c>
      <c r="I143" s="197">
        <f t="shared" ref="I143:AR143" si="29">IF(I108&gt;$C$92,"",(-$C$89*(I135+$C$5*I114)+I128+$C$5*I114)/-I133)</f>
        <v>1.4611953832812874</v>
      </c>
      <c r="J143" s="197">
        <f t="shared" si="29"/>
        <v>1.4502007767858376</v>
      </c>
      <c r="K143" s="197">
        <f t="shared" si="29"/>
        <v>1.4387647807889703</v>
      </c>
      <c r="L143" s="197">
        <f t="shared" si="29"/>
        <v>1.426865831401795</v>
      </c>
      <c r="M143" s="197">
        <f t="shared" si="29"/>
        <v>1.4144812011319596</v>
      </c>
      <c r="N143" s="197">
        <f t="shared" si="29"/>
        <v>1.401586933502853</v>
      </c>
      <c r="O143" s="197">
        <f t="shared" si="29"/>
        <v>1.3881577739439424</v>
      </c>
      <c r="P143" s="197">
        <f t="shared" si="29"/>
        <v>1.3741670967384407</v>
      </c>
      <c r="Q143" s="197">
        <f t="shared" si="29"/>
        <v>1.3595868278022305</v>
      </c>
      <c r="R143" s="197">
        <f t="shared" si="29"/>
        <v>1.3443873630549681</v>
      </c>
      <c r="S143" s="197">
        <f t="shared" si="29"/>
        <v>1.3285374821305729</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-1217154.7338273679</v>
      </c>
    </row>
    <row r="147" spans="2:45" x14ac:dyDescent="0.2">
      <c r="B147" s="79" t="s">
        <v>354</v>
      </c>
      <c r="C147" s="216" t="str">
        <f>$C$9</f>
        <v>kWh</v>
      </c>
      <c r="D147" s="126">
        <f>(1-$C$89)*NPV($C$86,E141:AR141)</f>
        <v>12980420.772115819</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1.4223017273478191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-8.6301873639435867E-2</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1650</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IFERROR(ROUND(INDEX(Correctiebedragen!$A$1:$K$256,MATCH('11'!C16,Correctiebedragen!$A$1:$A$256,0),8),decimalen),"n.v.t.")</f>
        <v>n.v.t.</v>
      </c>
    </row>
    <row r="162" spans="2:20" customFormat="1" ht="15" x14ac:dyDescent="0.25">
      <c r="B162" s="248" t="s">
        <v>367</v>
      </c>
      <c r="C162" s="250" t="str">
        <f>IFERROR(ROUND(INDEX(Correctiebedragen!$A$1:$K$256,MATCH('11'!C17,Correctiebedragen!$A$1:$A$256,0),8),decimalen),"n.v.t.")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IFERROR(ROUND(INDEX(Correctiebedragen!$A$1:$K$256,MATCH('11'!C16,Correctiebedragen!$A$1:$A$256,0),4),decimalen),"n.v.t.")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IFERROR(ROUND(INDEX(Correctiebedragen!$A$1:$K$256,MATCH('11'!C17,Correctiebedragen!$A$1:$A$256,0),4),decimalen),"n.v.t.")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IFERROR(ROUND(INDEX(Correctiebedragen!$A$1:$K$256,MATCH('11'!C16,Correctiebedragen!$A$1:$A$256,0),6),decimalen),"n.v.t.")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IFERROR(ROUND(INDEX(Correctiebedragen!$A$1:$K$256,MATCH('11'!C17,Correctiebedragen!$A$1:$A$256,0),6),decimalen),"n.v.t.")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24750000</v>
      </c>
      <c r="E174" s="28"/>
    </row>
    <row r="175" spans="2:20" customFormat="1" ht="26.25" x14ac:dyDescent="0.25">
      <c r="B175" s="256" t="s">
        <v>370</v>
      </c>
      <c r="C175" s="271">
        <f>IF(C95=0,SUM(E114:INDEX(E114:AR114,1,C91)),SUM(E114:INDEX(E114:AR114,1,C95)))</f>
        <v>33000000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44" priority="5" operator="containsText" text="Pas op">
      <formula>NOT(ISERROR(SEARCH("Pas op",G1)))</formula>
    </cfRule>
  </conditionalFormatting>
  <conditionalFormatting sqref="G186">
    <cfRule type="containsText" dxfId="43" priority="4" operator="containsText" text="Pas op">
      <formula>NOT(ISERROR(SEARCH("Pas op",G186)))</formula>
    </cfRule>
  </conditionalFormatting>
  <conditionalFormatting sqref="G162 G165 G169:G170">
    <cfRule type="containsText" dxfId="42" priority="3" operator="containsText" text="Pas op">
      <formula>NOT(ISERROR(SEARCH("Pas op",G162)))</formula>
    </cfRule>
  </conditionalFormatting>
  <conditionalFormatting sqref="G100">
    <cfRule type="containsText" dxfId="41" priority="2" operator="containsText" text="Pas op">
      <formula>NOT(ISERROR(SEARCH("Pas op",G100)))</formula>
    </cfRule>
  </conditionalFormatting>
  <conditionalFormatting sqref="G166:G168">
    <cfRule type="containsText" dxfId="40" priority="1" operator="containsText" text="Pas op">
      <formula>NOT(ISERROR(SEARCH("Pas op",G166)))</formula>
    </cfRule>
  </conditionalFormatting>
  <dataValidations count="3">
    <dataValidation type="list" allowBlank="1" showInputMessage="1" showErrorMessage="1" sqref="C10" xr:uid="{9A0643AD-FEED-4235-995D-F60E721B651E}">
      <formula1>INDIRECT("lst_vermogenseenheid")</formula1>
    </dataValidation>
    <dataValidation type="list" allowBlank="1" showInputMessage="1" showErrorMessage="1" sqref="C9" xr:uid="{C57FCA61-6619-4C9A-8C43-58F98BD51B06}">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0C4895C5-AFAA-4BED-856F-5ED07BDF5A72}">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EC48799-287A-4FF1-AE85-CA4766FCD31F}">
          <x14:formula1>
            <xm:f>'ETS correctie methodes'!$B$4:$B$14</xm:f>
          </x14:formula1>
          <xm:sqref>C13</xm:sqref>
        </x14:dataValidation>
        <x14:dataValidation type="list" allowBlank="1" showInputMessage="1" showErrorMessage="1" xr:uid="{5E27E302-761E-4137-9BC5-2AC56B3D8944}">
          <x14:formula1>
            <xm:f>Colofon!$A$51:$A$56</xm:f>
          </x14:formula1>
          <xm:sqref>C11</xm:sqref>
        </x14:dataValidation>
        <x14:dataValidation type="list" allowBlank="1" showInputMessage="1" showErrorMessage="1" xr:uid="{C94F3768-DAC0-4C40-970D-BB2AA93FA242}">
          <x14:formula1>
            <xm:f>Correctiebedragen!$A$3:$A$7</xm:f>
          </x14:formula1>
          <xm:sqref>C12 C16:C17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FB31-9867-4AEF-A96C-81AEB3BF0EF2}">
  <sheetPr codeName="Sheet103">
    <tabColor theme="5" tint="0.59999389629810485"/>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381</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0.16300000000000001</v>
      </c>
      <c r="D5" s="113" t="str">
        <f>CONCATENATE("Euro/",$C$9)</f>
        <v>Euro/kWh</v>
      </c>
      <c r="E5" s="424"/>
      <c r="F5" s="425"/>
      <c r="G5" s="425"/>
      <c r="H5" s="425"/>
      <c r="I5" s="425"/>
      <c r="J5" s="425"/>
      <c r="K5" s="425"/>
      <c r="L5" s="425"/>
      <c r="M5" s="426"/>
      <c r="N5" s="26"/>
    </row>
    <row r="6" spans="1:14" x14ac:dyDescent="0.2">
      <c r="B6" s="4" t="s">
        <v>203</v>
      </c>
      <c r="C6" s="114">
        <f>ROUND((C5-C7)/C8*1000,0)</f>
        <v>924</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"&amp;IFERROR(INDEX(Correctiebedragen!$A$1:$M$256,MATCH('12'!C12,Correctiebedragen!$A$1:$A$256,0),9),"")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IFERROR(INDEX(Correctiebedragen!$A$1:$M$256,MATCH('12'!C16,Correctiebedragen!$A$1:$A$256,0),9),"")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IFERROR(INDEX(Correctiebedragen!$A$1:$M$256,MATCH('12'!C17,Correctiebedragen!$A$1:$A$256,0),9),"")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IFERROR(ROUND(INDEX(Correctiebedragen!$A$1:$K$7,MATCH('12'!C16,Correctiebedragen!$A$1:$A$7,0),8),decimalen),"n.v.t.")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IFERROR(ROUND(INDEX(Correctiebedragen!$A$1:$K$7,MATCH('12'!C17,Correctiebedragen!$A$1:$A$7,0),8),decimalen),"n.v.t.")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1530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2135</v>
      </c>
      <c r="D47" s="32" t="str">
        <f>CONCATENATE("Euro/",$C$10)</f>
        <v>Euro/kW</v>
      </c>
    </row>
    <row r="48" spans="2:13" x14ac:dyDescent="0.2">
      <c r="B48" s="6" t="s">
        <v>245</v>
      </c>
      <c r="C48" s="44">
        <f>IF(C99&lt;&gt;0,((C30*C46+SUM(C35,C37)*C47)+C99)/1000000,((C30*C46+SUM(C35,C37)*C47)*(1+C98*C87))/1000000)</f>
        <v>2.1488775000000002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13</v>
      </c>
      <c r="D50" s="32" t="str">
        <f>CONCATENATE("Euro/",$C$10,"/jaar")</f>
        <v>Euro/kW/jaar</v>
      </c>
      <c r="E50" s="424"/>
      <c r="F50" s="425"/>
      <c r="G50" s="425"/>
      <c r="H50" s="425"/>
      <c r="I50" s="425"/>
      <c r="J50" s="425"/>
      <c r="K50" s="425"/>
      <c r="L50" s="425"/>
      <c r="M50" s="426"/>
    </row>
    <row r="51" spans="2:13" x14ac:dyDescent="0.2">
      <c r="B51" s="6" t="s">
        <v>249</v>
      </c>
      <c r="C51" s="46">
        <f>(C49*C30+C50*SUM(C35,C37))/1000</f>
        <v>13</v>
      </c>
      <c r="D51" s="34" t="s">
        <v>250</v>
      </c>
      <c r="E51" s="424"/>
      <c r="F51" s="425"/>
      <c r="G51" s="425"/>
      <c r="H51" s="425"/>
      <c r="I51" s="425"/>
      <c r="J51" s="425"/>
      <c r="K51" s="425"/>
      <c r="L51" s="425"/>
      <c r="M51" s="426"/>
    </row>
    <row r="52" spans="2:13" x14ac:dyDescent="0.2">
      <c r="B52" s="6" t="s">
        <v>251</v>
      </c>
      <c r="C52" s="266">
        <v>1.7000000000000001E-2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v>1530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-2148877.5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1530000</v>
      </c>
      <c r="F111" s="78">
        <f t="shared" ref="F111:AR111" si="2">IF(F108&lt;=$C$94,$C$37*$C$39,IF(AND(F108&gt;$C$94,F108&lt;=$C$91),$C$37*$C$77,0))*IF($C$41=0,1,$C$42/$C$41)</f>
        <v>1530000</v>
      </c>
      <c r="G111" s="78">
        <f t="shared" si="2"/>
        <v>1530000</v>
      </c>
      <c r="H111" s="78">
        <f t="shared" si="2"/>
        <v>1530000</v>
      </c>
      <c r="I111" s="78">
        <f t="shared" si="2"/>
        <v>1530000</v>
      </c>
      <c r="J111" s="78">
        <f t="shared" si="2"/>
        <v>1530000</v>
      </c>
      <c r="K111" s="78">
        <f t="shared" si="2"/>
        <v>1530000</v>
      </c>
      <c r="L111" s="78">
        <f t="shared" si="2"/>
        <v>1530000</v>
      </c>
      <c r="M111" s="78">
        <f t="shared" si="2"/>
        <v>1530000</v>
      </c>
      <c r="N111" s="78">
        <f t="shared" si="2"/>
        <v>1530000</v>
      </c>
      <c r="O111" s="78">
        <f t="shared" si="2"/>
        <v>1530000</v>
      </c>
      <c r="P111" s="78">
        <f t="shared" si="2"/>
        <v>1530000</v>
      </c>
      <c r="Q111" s="78">
        <f t="shared" si="2"/>
        <v>1530000</v>
      </c>
      <c r="R111" s="78">
        <f t="shared" si="2"/>
        <v>1530000</v>
      </c>
      <c r="S111" s="78">
        <f t="shared" si="2"/>
        <v>1530000</v>
      </c>
      <c r="T111" s="78">
        <f t="shared" si="2"/>
        <v>1530000</v>
      </c>
      <c r="U111" s="78">
        <f t="shared" si="2"/>
        <v>1530000</v>
      </c>
      <c r="V111" s="78">
        <f t="shared" si="2"/>
        <v>1530000</v>
      </c>
      <c r="W111" s="78">
        <f t="shared" si="2"/>
        <v>1530000</v>
      </c>
      <c r="X111" s="78">
        <f t="shared" si="2"/>
        <v>1530000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1530000</v>
      </c>
      <c r="F114" s="84">
        <f t="shared" ref="F114:AR114" si="5">SUM(F111:F113)</f>
        <v>1530000</v>
      </c>
      <c r="G114" s="84">
        <f t="shared" si="5"/>
        <v>1530000</v>
      </c>
      <c r="H114" s="84">
        <f t="shared" si="5"/>
        <v>1530000</v>
      </c>
      <c r="I114" s="84">
        <f t="shared" si="5"/>
        <v>1530000</v>
      </c>
      <c r="J114" s="84">
        <f t="shared" si="5"/>
        <v>1530000</v>
      </c>
      <c r="K114" s="84">
        <f t="shared" si="5"/>
        <v>1530000</v>
      </c>
      <c r="L114" s="84">
        <f t="shared" si="5"/>
        <v>1530000</v>
      </c>
      <c r="M114" s="84">
        <f t="shared" si="5"/>
        <v>1530000</v>
      </c>
      <c r="N114" s="84">
        <f t="shared" si="5"/>
        <v>1530000</v>
      </c>
      <c r="O114" s="84">
        <f t="shared" si="5"/>
        <v>1530000</v>
      </c>
      <c r="P114" s="84">
        <f t="shared" si="5"/>
        <v>1530000</v>
      </c>
      <c r="Q114" s="84">
        <f t="shared" si="5"/>
        <v>1530000</v>
      </c>
      <c r="R114" s="84">
        <f t="shared" si="5"/>
        <v>1530000</v>
      </c>
      <c r="S114" s="84">
        <f t="shared" si="5"/>
        <v>1530000</v>
      </c>
      <c r="T114" s="84">
        <f t="shared" si="5"/>
        <v>1530000</v>
      </c>
      <c r="U114" s="84">
        <f t="shared" si="5"/>
        <v>1530000</v>
      </c>
      <c r="V114" s="84">
        <f t="shared" si="5"/>
        <v>1530000</v>
      </c>
      <c r="W114" s="84">
        <f t="shared" si="5"/>
        <v>1530000</v>
      </c>
      <c r="X114" s="84">
        <f t="shared" si="5"/>
        <v>1530000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-39010</v>
      </c>
      <c r="F116" s="78">
        <f t="shared" si="6"/>
        <v>-39790.199999999997</v>
      </c>
      <c r="G116" s="78">
        <f t="shared" si="6"/>
        <v>-40586.004000000001</v>
      </c>
      <c r="H116" s="78">
        <f t="shared" si="6"/>
        <v>-41397.72408</v>
      </c>
      <c r="I116" s="78">
        <f t="shared" si="6"/>
        <v>-42225.678561599998</v>
      </c>
      <c r="J116" s="78">
        <f t="shared" si="6"/>
        <v>-43070.192132832002</v>
      </c>
      <c r="K116" s="78">
        <f t="shared" si="6"/>
        <v>-43931.595975488643</v>
      </c>
      <c r="L116" s="78">
        <f t="shared" si="6"/>
        <v>-44810.227894998403</v>
      </c>
      <c r="M116" s="78">
        <f t="shared" si="6"/>
        <v>-45706.432452898378</v>
      </c>
      <c r="N116" s="78">
        <f t="shared" si="6"/>
        <v>-46620.561101956344</v>
      </c>
      <c r="O116" s="78">
        <f t="shared" si="6"/>
        <v>-47552.972323995476</v>
      </c>
      <c r="P116" s="78">
        <f t="shared" si="6"/>
        <v>-48504.031770475376</v>
      </c>
      <c r="Q116" s="78">
        <f t="shared" si="6"/>
        <v>-49474.112405884887</v>
      </c>
      <c r="R116" s="78">
        <f t="shared" si="6"/>
        <v>-50463.594654002583</v>
      </c>
      <c r="S116" s="78">
        <f t="shared" si="6"/>
        <v>-51472.866547082645</v>
      </c>
      <c r="T116" s="78">
        <f t="shared" si="6"/>
        <v>-52502.323878024283</v>
      </c>
      <c r="U116" s="78">
        <f t="shared" si="6"/>
        <v>-53552.370355584775</v>
      </c>
      <c r="V116" s="78">
        <f t="shared" si="6"/>
        <v>-54623.417762696474</v>
      </c>
      <c r="W116" s="78">
        <f t="shared" si="6"/>
        <v>-55715.886117950402</v>
      </c>
      <c r="X116" s="78">
        <f t="shared" si="6"/>
        <v>-56830.203840309405</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150114.11685165841</v>
      </c>
      <c r="U123" s="81">
        <f t="shared" si="13"/>
        <v>153116.3991886916</v>
      </c>
      <c r="V123" s="81">
        <f t="shared" si="13"/>
        <v>156178.72717246544</v>
      </c>
      <c r="W123" s="81">
        <f t="shared" si="13"/>
        <v>159302.30171591474</v>
      </c>
      <c r="X123" s="81">
        <f t="shared" si="13"/>
        <v>162488.34775023305</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150114.11685165841</v>
      </c>
      <c r="U126" s="78">
        <f t="shared" si="15"/>
        <v>153116.3991886916</v>
      </c>
      <c r="V126" s="78">
        <f t="shared" si="15"/>
        <v>156178.72717246544</v>
      </c>
      <c r="W126" s="78">
        <f t="shared" si="15"/>
        <v>159302.30171591474</v>
      </c>
      <c r="X126" s="78">
        <f t="shared" si="15"/>
        <v>162488.34775023305</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-39010</v>
      </c>
      <c r="F127" s="81">
        <f t="shared" si="16"/>
        <v>-39790.199999999997</v>
      </c>
      <c r="G127" s="81">
        <f t="shared" si="16"/>
        <v>-40586.004000000001</v>
      </c>
      <c r="H127" s="81">
        <f t="shared" si="16"/>
        <v>-41397.72408</v>
      </c>
      <c r="I127" s="81">
        <f t="shared" si="16"/>
        <v>-42225.678561599998</v>
      </c>
      <c r="J127" s="81">
        <f t="shared" si="16"/>
        <v>-43070.192132832002</v>
      </c>
      <c r="K127" s="81">
        <f t="shared" si="16"/>
        <v>-43931.595975488643</v>
      </c>
      <c r="L127" s="81">
        <f t="shared" si="16"/>
        <v>-44810.227894998403</v>
      </c>
      <c r="M127" s="81">
        <f t="shared" si="16"/>
        <v>-45706.432452898378</v>
      </c>
      <c r="N127" s="81">
        <f t="shared" si="16"/>
        <v>-46620.561101956344</v>
      </c>
      <c r="O127" s="81">
        <f t="shared" si="16"/>
        <v>-47552.972323995476</v>
      </c>
      <c r="P127" s="81">
        <f t="shared" si="16"/>
        <v>-48504.031770475376</v>
      </c>
      <c r="Q127" s="81">
        <f t="shared" si="16"/>
        <v>-49474.112405884887</v>
      </c>
      <c r="R127" s="81">
        <f t="shared" si="16"/>
        <v>-50463.594654002583</v>
      </c>
      <c r="S127" s="81">
        <f t="shared" si="16"/>
        <v>-51472.866547082645</v>
      </c>
      <c r="T127" s="81">
        <f t="shared" si="16"/>
        <v>-52502.323878024283</v>
      </c>
      <c r="U127" s="81">
        <f t="shared" si="16"/>
        <v>-53552.370355584775</v>
      </c>
      <c r="V127" s="81">
        <f t="shared" si="16"/>
        <v>-54623.417762696474</v>
      </c>
      <c r="W127" s="81">
        <f t="shared" si="16"/>
        <v>-55715.886117950402</v>
      </c>
      <c r="X127" s="81">
        <f t="shared" si="16"/>
        <v>-56830.203840309405</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-39010</v>
      </c>
      <c r="F128" s="90">
        <f t="shared" ref="F128:AR128" si="17">SUM(F126:F127)</f>
        <v>-39790.199999999997</v>
      </c>
      <c r="G128" s="90">
        <f t="shared" si="17"/>
        <v>-40586.004000000001</v>
      </c>
      <c r="H128" s="90">
        <f t="shared" si="17"/>
        <v>-41397.72408</v>
      </c>
      <c r="I128" s="90">
        <f t="shared" si="17"/>
        <v>-42225.678561599998</v>
      </c>
      <c r="J128" s="90">
        <f t="shared" si="17"/>
        <v>-43070.192132832002</v>
      </c>
      <c r="K128" s="90">
        <f t="shared" si="17"/>
        <v>-43931.595975488643</v>
      </c>
      <c r="L128" s="90">
        <f t="shared" si="17"/>
        <v>-44810.227894998403</v>
      </c>
      <c r="M128" s="90">
        <f t="shared" si="17"/>
        <v>-45706.432452898378</v>
      </c>
      <c r="N128" s="90">
        <f t="shared" si="17"/>
        <v>-46620.561101956344</v>
      </c>
      <c r="O128" s="90">
        <f t="shared" si="17"/>
        <v>-47552.972323995476</v>
      </c>
      <c r="P128" s="90">
        <f t="shared" si="17"/>
        <v>-48504.031770475376</v>
      </c>
      <c r="Q128" s="90">
        <f t="shared" si="17"/>
        <v>-49474.112405884887</v>
      </c>
      <c r="R128" s="90">
        <f t="shared" si="17"/>
        <v>-50463.594654002583</v>
      </c>
      <c r="S128" s="90">
        <f t="shared" si="17"/>
        <v>-51472.866547082645</v>
      </c>
      <c r="T128" s="90">
        <f t="shared" si="17"/>
        <v>97611.792973634132</v>
      </c>
      <c r="U128" s="90">
        <f t="shared" si="17"/>
        <v>99564.02883310683</v>
      </c>
      <c r="V128" s="90">
        <f t="shared" si="17"/>
        <v>101555.30940976896</v>
      </c>
      <c r="W128" s="90">
        <f t="shared" si="17"/>
        <v>103586.41559796434</v>
      </c>
      <c r="X128" s="90">
        <f t="shared" si="17"/>
        <v>105658.14390992364</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-143258.5</v>
      </c>
      <c r="F130" s="78">
        <f t="shared" si="18"/>
        <v>-143258.5</v>
      </c>
      <c r="G130" s="78">
        <f t="shared" si="18"/>
        <v>-143258.5</v>
      </c>
      <c r="H130" s="78">
        <f t="shared" si="18"/>
        <v>-143258.5</v>
      </c>
      <c r="I130" s="78">
        <f t="shared" si="18"/>
        <v>-143258.5</v>
      </c>
      <c r="J130" s="78">
        <f t="shared" si="18"/>
        <v>-143258.5</v>
      </c>
      <c r="K130" s="78">
        <f t="shared" si="18"/>
        <v>-143258.5</v>
      </c>
      <c r="L130" s="78">
        <f t="shared" si="18"/>
        <v>-143258.5</v>
      </c>
      <c r="M130" s="78">
        <f t="shared" si="18"/>
        <v>-143258.5</v>
      </c>
      <c r="N130" s="78">
        <f t="shared" si="18"/>
        <v>-143258.5</v>
      </c>
      <c r="O130" s="78">
        <f t="shared" si="18"/>
        <v>-143258.5</v>
      </c>
      <c r="P130" s="78">
        <f t="shared" si="18"/>
        <v>-143258.5</v>
      </c>
      <c r="Q130" s="78">
        <f t="shared" si="18"/>
        <v>-143258.5</v>
      </c>
      <c r="R130" s="78">
        <f t="shared" si="18"/>
        <v>-143258.5</v>
      </c>
      <c r="S130" s="78">
        <f t="shared" si="18"/>
        <v>-143258.5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-80314.296562500007</v>
      </c>
      <c r="F131" s="81">
        <f t="shared" si="19"/>
        <v>-76797.533433320379</v>
      </c>
      <c r="G131" s="81">
        <f t="shared" si="19"/>
        <v>-73078.556424212875</v>
      </c>
      <c r="H131" s="81">
        <f t="shared" si="19"/>
        <v>-69145.738237081736</v>
      </c>
      <c r="I131" s="81">
        <f t="shared" si="19"/>
        <v>-64986.783004190525</v>
      </c>
      <c r="J131" s="81">
        <f t="shared" si="19"/>
        <v>-60588.687845408072</v>
      </c>
      <c r="K131" s="81">
        <f t="shared" si="19"/>
        <v>-55937.702214995647</v>
      </c>
      <c r="L131" s="81">
        <f t="shared" si="19"/>
        <v>-51019.284910834504</v>
      </c>
      <c r="M131" s="81">
        <f t="shared" si="19"/>
        <v>-45818.058611684086</v>
      </c>
      <c r="N131" s="81">
        <f t="shared" si="19"/>
        <v>-40317.761800332526</v>
      </c>
      <c r="O131" s="81">
        <f t="shared" si="19"/>
        <v>-34501.197922328247</v>
      </c>
      <c r="P131" s="81">
        <f t="shared" si="19"/>
        <v>-28350.181621338721</v>
      </c>
      <c r="Q131" s="81">
        <f t="shared" si="19"/>
        <v>-21845.481883042306</v>
      </c>
      <c r="R131" s="81">
        <f t="shared" si="19"/>
        <v>-14966.76190979384</v>
      </c>
      <c r="S131" s="81">
        <f t="shared" si="19"/>
        <v>-7692.5155380835895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-61161.097898776461</v>
      </c>
      <c r="F132" s="81">
        <f t="shared" si="20"/>
        <v>-64677.861027956118</v>
      </c>
      <c r="G132" s="81">
        <f t="shared" si="20"/>
        <v>-68396.838037063586</v>
      </c>
      <c r="H132" s="81">
        <f t="shared" si="20"/>
        <v>-72329.656224194739</v>
      </c>
      <c r="I132" s="81">
        <f t="shared" si="20"/>
        <v>-76488.611457085935</v>
      </c>
      <c r="J132" s="81">
        <f t="shared" si="20"/>
        <v>-80886.706615868403</v>
      </c>
      <c r="K132" s="81">
        <f t="shared" si="20"/>
        <v>-85537.692246280814</v>
      </c>
      <c r="L132" s="81">
        <f t="shared" si="20"/>
        <v>-90456.109550441965</v>
      </c>
      <c r="M132" s="81">
        <f t="shared" si="20"/>
        <v>-95657.335849592375</v>
      </c>
      <c r="N132" s="81">
        <f t="shared" si="20"/>
        <v>-101157.63266094394</v>
      </c>
      <c r="O132" s="81">
        <f t="shared" si="20"/>
        <v>-106974.19653894822</v>
      </c>
      <c r="P132" s="81">
        <f t="shared" si="20"/>
        <v>-113125.21283993774</v>
      </c>
      <c r="Q132" s="81">
        <f t="shared" si="20"/>
        <v>-119629.91257823417</v>
      </c>
      <c r="R132" s="81">
        <f t="shared" si="20"/>
        <v>-126508.63255148262</v>
      </c>
      <c r="S132" s="81">
        <f t="shared" si="20"/>
        <v>-133782.87892319288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-141475.39446127648</v>
      </c>
      <c r="F133" s="90">
        <f t="shared" ref="F133:AR133" si="21">SUM(F131,F132)</f>
        <v>-141475.3944612765</v>
      </c>
      <c r="G133" s="90">
        <f t="shared" si="21"/>
        <v>-141475.39446127648</v>
      </c>
      <c r="H133" s="90">
        <f t="shared" si="21"/>
        <v>-141475.39446127648</v>
      </c>
      <c r="I133" s="90">
        <f t="shared" si="21"/>
        <v>-141475.39446127648</v>
      </c>
      <c r="J133" s="90">
        <f t="shared" si="21"/>
        <v>-141475.39446127648</v>
      </c>
      <c r="K133" s="90">
        <f t="shared" si="21"/>
        <v>-141475.39446127648</v>
      </c>
      <c r="L133" s="90">
        <f t="shared" si="21"/>
        <v>-141475.39446127648</v>
      </c>
      <c r="M133" s="90">
        <f t="shared" si="21"/>
        <v>-141475.39446127648</v>
      </c>
      <c r="N133" s="90">
        <f t="shared" si="21"/>
        <v>-141475.39446127648</v>
      </c>
      <c r="O133" s="90">
        <f t="shared" si="21"/>
        <v>-141475.39446127648</v>
      </c>
      <c r="P133" s="90">
        <f t="shared" si="21"/>
        <v>-141475.39446127648</v>
      </c>
      <c r="Q133" s="90">
        <f t="shared" si="21"/>
        <v>-141475.39446127648</v>
      </c>
      <c r="R133" s="90">
        <f t="shared" si="21"/>
        <v>-141475.39446127645</v>
      </c>
      <c r="S133" s="90">
        <f t="shared" si="21"/>
        <v>-141475.39446127648</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-262582.79656250001</v>
      </c>
      <c r="F135" s="95">
        <f t="shared" ref="F135:AR135" si="22">F128+F130+F131</f>
        <v>-259846.23343332039</v>
      </c>
      <c r="G135" s="95">
        <f t="shared" si="22"/>
        <v>-256923.06042421289</v>
      </c>
      <c r="H135" s="95">
        <f t="shared" si="22"/>
        <v>-253801.96231708175</v>
      </c>
      <c r="I135" s="95">
        <f t="shared" si="22"/>
        <v>-250470.96156579052</v>
      </c>
      <c r="J135" s="95">
        <f t="shared" si="22"/>
        <v>-246917.37997824009</v>
      </c>
      <c r="K135" s="95">
        <f t="shared" si="22"/>
        <v>-243127.79819048429</v>
      </c>
      <c r="L135" s="95">
        <f t="shared" si="22"/>
        <v>-239088.0128058329</v>
      </c>
      <c r="M135" s="95">
        <f t="shared" si="22"/>
        <v>-234782.99106458249</v>
      </c>
      <c r="N135" s="95">
        <f t="shared" si="22"/>
        <v>-230196.82290228887</v>
      </c>
      <c r="O135" s="95">
        <f t="shared" si="22"/>
        <v>-225312.67024632375</v>
      </c>
      <c r="P135" s="95">
        <f t="shared" si="22"/>
        <v>-220112.71339181409</v>
      </c>
      <c r="Q135" s="95">
        <f t="shared" si="22"/>
        <v>-214578.09428892721</v>
      </c>
      <c r="R135" s="95">
        <f t="shared" si="22"/>
        <v>-208688.85656379641</v>
      </c>
      <c r="S135" s="95">
        <f t="shared" si="22"/>
        <v>-202423.88208516623</v>
      </c>
      <c r="T135" s="95">
        <f t="shared" si="22"/>
        <v>97611.792973634132</v>
      </c>
      <c r="U135" s="95">
        <f t="shared" si="22"/>
        <v>99564.02883310683</v>
      </c>
      <c r="V135" s="95">
        <f t="shared" si="22"/>
        <v>101555.30940976896</v>
      </c>
      <c r="W135" s="95">
        <f t="shared" si="22"/>
        <v>103586.41559796434</v>
      </c>
      <c r="X135" s="95">
        <f t="shared" si="22"/>
        <v>105658.14390992364</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49890.731346875</v>
      </c>
      <c r="F136" s="97">
        <f t="shared" si="23"/>
        <v>49370.784352330877</v>
      </c>
      <c r="G136" s="97">
        <f t="shared" si="23"/>
        <v>48815.381480600452</v>
      </c>
      <c r="H136" s="97">
        <f t="shared" si="23"/>
        <v>48222.372840245531</v>
      </c>
      <c r="I136" s="97">
        <f t="shared" si="23"/>
        <v>47589.4826975002</v>
      </c>
      <c r="J136" s="97">
        <f t="shared" si="23"/>
        <v>46914.302195865617</v>
      </c>
      <c r="K136" s="97">
        <f t="shared" si="23"/>
        <v>46194.281656192019</v>
      </c>
      <c r="L136" s="97">
        <f t="shared" si="23"/>
        <v>45426.722433108254</v>
      </c>
      <c r="M136" s="97">
        <f t="shared" si="23"/>
        <v>44608.76830227067</v>
      </c>
      <c r="N136" s="97">
        <f t="shared" si="23"/>
        <v>43737.396351434887</v>
      </c>
      <c r="O136" s="97">
        <f t="shared" si="23"/>
        <v>42809.407346801512</v>
      </c>
      <c r="P136" s="97">
        <f t="shared" si="23"/>
        <v>41821.415544444681</v>
      </c>
      <c r="Q136" s="97">
        <f t="shared" si="23"/>
        <v>40769.837914896169</v>
      </c>
      <c r="R136" s="97">
        <f t="shared" si="23"/>
        <v>39650.882747121315</v>
      </c>
      <c r="S136" s="97">
        <f t="shared" si="23"/>
        <v>38460.537596181588</v>
      </c>
      <c r="T136" s="97">
        <f t="shared" si="23"/>
        <v>-18546.240664990484</v>
      </c>
      <c r="U136" s="97">
        <f t="shared" si="23"/>
        <v>-18917.165478290299</v>
      </c>
      <c r="V136" s="97">
        <f t="shared" si="23"/>
        <v>-19295.508787856103</v>
      </c>
      <c r="W136" s="97">
        <f t="shared" si="23"/>
        <v>-19681.418963613225</v>
      </c>
      <c r="X136" s="97">
        <f t="shared" si="23"/>
        <v>-20075.047342885493</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-130594.66311440148</v>
      </c>
      <c r="F138" s="101">
        <f t="shared" si="24"/>
        <v>-131894.81010894562</v>
      </c>
      <c r="G138" s="101">
        <f t="shared" si="24"/>
        <v>-133246.01698067604</v>
      </c>
      <c r="H138" s="101">
        <f t="shared" si="24"/>
        <v>-134650.74570103094</v>
      </c>
      <c r="I138" s="101">
        <f t="shared" si="24"/>
        <v>-136111.59032537625</v>
      </c>
      <c r="J138" s="101">
        <f t="shared" si="24"/>
        <v>-137631.28439824289</v>
      </c>
      <c r="K138" s="101">
        <f t="shared" si="24"/>
        <v>-139212.7087805731</v>
      </c>
      <c r="L138" s="101">
        <f t="shared" si="24"/>
        <v>-140858.89992316661</v>
      </c>
      <c r="M138" s="101">
        <f t="shared" si="24"/>
        <v>-142573.05861190418</v>
      </c>
      <c r="N138" s="101">
        <f t="shared" si="24"/>
        <v>-144358.55921179795</v>
      </c>
      <c r="O138" s="101">
        <f t="shared" si="24"/>
        <v>-146218.95943847045</v>
      </c>
      <c r="P138" s="101">
        <f t="shared" si="24"/>
        <v>-148158.01068730716</v>
      </c>
      <c r="Q138" s="101">
        <f t="shared" si="24"/>
        <v>-150179.6689522652</v>
      </c>
      <c r="R138" s="101">
        <f t="shared" si="24"/>
        <v>-152288.10636815772</v>
      </c>
      <c r="S138" s="101">
        <f t="shared" si="24"/>
        <v>-154487.72341217753</v>
      </c>
      <c r="T138" s="101">
        <f t="shared" si="24"/>
        <v>79065.552308643644</v>
      </c>
      <c r="U138" s="101">
        <f t="shared" si="24"/>
        <v>80646.863354816538</v>
      </c>
      <c r="V138" s="101">
        <f t="shared" si="24"/>
        <v>82259.800621912858</v>
      </c>
      <c r="W138" s="101">
        <f t="shared" si="24"/>
        <v>83904.996634351119</v>
      </c>
      <c r="X138" s="101">
        <f t="shared" si="24"/>
        <v>85583.096567038156</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-2148877.5</v>
      </c>
      <c r="E139" s="106">
        <f>E128+E136</f>
        <v>10880.731346875</v>
      </c>
      <c r="F139" s="106">
        <f t="shared" ref="F139:AR139" si="25">F128+F136</f>
        <v>9580.5843523308795</v>
      </c>
      <c r="G139" s="106">
        <f t="shared" si="25"/>
        <v>8229.3774806004512</v>
      </c>
      <c r="H139" s="106">
        <f t="shared" si="25"/>
        <v>6824.6487602455309</v>
      </c>
      <c r="I139" s="106">
        <f t="shared" si="25"/>
        <v>5363.8041359002018</v>
      </c>
      <c r="J139" s="106">
        <f t="shared" si="25"/>
        <v>3844.110063033615</v>
      </c>
      <c r="K139" s="106">
        <f t="shared" si="25"/>
        <v>2262.6856807033764</v>
      </c>
      <c r="L139" s="106">
        <f t="shared" si="25"/>
        <v>616.49453810985142</v>
      </c>
      <c r="M139" s="106">
        <f t="shared" si="25"/>
        <v>-1097.6641506277083</v>
      </c>
      <c r="N139" s="106">
        <f t="shared" si="25"/>
        <v>-2883.1647505214569</v>
      </c>
      <c r="O139" s="106">
        <f t="shared" si="25"/>
        <v>-4743.5649771939643</v>
      </c>
      <c r="P139" s="106">
        <f t="shared" si="25"/>
        <v>-6682.6162260306955</v>
      </c>
      <c r="Q139" s="106">
        <f t="shared" si="25"/>
        <v>-8704.2744909887188</v>
      </c>
      <c r="R139" s="106">
        <f t="shared" si="25"/>
        <v>-10812.711906881268</v>
      </c>
      <c r="S139" s="106">
        <f t="shared" si="25"/>
        <v>-13012.328950901057</v>
      </c>
      <c r="T139" s="106">
        <f t="shared" si="25"/>
        <v>79065.552308643644</v>
      </c>
      <c r="U139" s="106">
        <f t="shared" si="25"/>
        <v>80646.863354816538</v>
      </c>
      <c r="V139" s="106">
        <f t="shared" si="25"/>
        <v>82259.800621912858</v>
      </c>
      <c r="W139" s="106">
        <f t="shared" si="25"/>
        <v>83904.996634351119</v>
      </c>
      <c r="X139" s="106">
        <f t="shared" si="25"/>
        <v>85583.096567038156</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-752107.125</v>
      </c>
      <c r="E140" s="106">
        <f>E138</f>
        <v>-130594.66311440148</v>
      </c>
      <c r="F140" s="106">
        <f t="shared" ref="F140:AR140" si="26">F138</f>
        <v>-131894.81010894562</v>
      </c>
      <c r="G140" s="106">
        <f t="shared" si="26"/>
        <v>-133246.01698067604</v>
      </c>
      <c r="H140" s="106">
        <f t="shared" si="26"/>
        <v>-134650.74570103094</v>
      </c>
      <c r="I140" s="106">
        <f t="shared" si="26"/>
        <v>-136111.59032537625</v>
      </c>
      <c r="J140" s="106">
        <f t="shared" si="26"/>
        <v>-137631.28439824289</v>
      </c>
      <c r="K140" s="106">
        <f t="shared" si="26"/>
        <v>-139212.7087805731</v>
      </c>
      <c r="L140" s="106">
        <f t="shared" si="26"/>
        <v>-140858.89992316661</v>
      </c>
      <c r="M140" s="106">
        <f t="shared" si="26"/>
        <v>-142573.05861190418</v>
      </c>
      <c r="N140" s="106">
        <f t="shared" si="26"/>
        <v>-144358.55921179795</v>
      </c>
      <c r="O140" s="106">
        <f t="shared" si="26"/>
        <v>-146218.95943847045</v>
      </c>
      <c r="P140" s="106">
        <f t="shared" si="26"/>
        <v>-148158.01068730716</v>
      </c>
      <c r="Q140" s="106">
        <f t="shared" si="26"/>
        <v>-150179.6689522652</v>
      </c>
      <c r="R140" s="106">
        <f t="shared" si="26"/>
        <v>-152288.10636815772</v>
      </c>
      <c r="S140" s="106">
        <f t="shared" si="26"/>
        <v>-154487.72341217753</v>
      </c>
      <c r="T140" s="106">
        <f t="shared" si="26"/>
        <v>79065.552308643644</v>
      </c>
      <c r="U140" s="106">
        <f t="shared" si="26"/>
        <v>80646.863354816538</v>
      </c>
      <c r="V140" s="106">
        <f t="shared" si="26"/>
        <v>82259.800621912858</v>
      </c>
      <c r="W140" s="106">
        <f t="shared" si="26"/>
        <v>83904.996634351119</v>
      </c>
      <c r="X140" s="106">
        <f t="shared" si="26"/>
        <v>85583.096567038156</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1530000</v>
      </c>
      <c r="F141" s="108">
        <f t="shared" si="27"/>
        <v>1530000</v>
      </c>
      <c r="G141" s="108">
        <f t="shared" si="27"/>
        <v>1530000</v>
      </c>
      <c r="H141" s="108">
        <f t="shared" si="27"/>
        <v>1530000</v>
      </c>
      <c r="I141" s="108">
        <f t="shared" si="27"/>
        <v>1530000</v>
      </c>
      <c r="J141" s="108">
        <f t="shared" si="27"/>
        <v>1530000</v>
      </c>
      <c r="K141" s="108">
        <f t="shared" si="27"/>
        <v>1530000</v>
      </c>
      <c r="L141" s="108">
        <f t="shared" si="27"/>
        <v>1530000</v>
      </c>
      <c r="M141" s="108">
        <f t="shared" si="27"/>
        <v>1530000</v>
      </c>
      <c r="N141" s="108">
        <f t="shared" si="27"/>
        <v>1530000</v>
      </c>
      <c r="O141" s="108">
        <f t="shared" si="27"/>
        <v>1530000</v>
      </c>
      <c r="P141" s="108">
        <f t="shared" si="27"/>
        <v>1530000</v>
      </c>
      <c r="Q141" s="108">
        <f t="shared" si="27"/>
        <v>1530000</v>
      </c>
      <c r="R141" s="108">
        <f t="shared" si="27"/>
        <v>1530000</v>
      </c>
      <c r="S141" s="108">
        <f t="shared" si="27"/>
        <v>1530000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2148877.5</v>
      </c>
      <c r="E142" s="124">
        <f>D142-($C$5*E114+E128+E131)</f>
        <v>2018811.7965625001</v>
      </c>
      <c r="F142" s="124">
        <f t="shared" ref="F142:AR142" si="28">E142-($C$5*F114+F128+F131)</f>
        <v>1886009.5299958205</v>
      </c>
      <c r="G142" s="124">
        <f t="shared" si="28"/>
        <v>1750284.0904200333</v>
      </c>
      <c r="H142" s="124">
        <f t="shared" si="28"/>
        <v>1611437.552737115</v>
      </c>
      <c r="I142" s="124">
        <f t="shared" si="28"/>
        <v>1469260.0143029054</v>
      </c>
      <c r="J142" s="124">
        <f t="shared" si="28"/>
        <v>1323528.8942811454</v>
      </c>
      <c r="K142" s="124">
        <f t="shared" si="28"/>
        <v>1174008.1924716297</v>
      </c>
      <c r="L142" s="124">
        <f t="shared" si="28"/>
        <v>1020447.7052774626</v>
      </c>
      <c r="M142" s="124">
        <f t="shared" si="28"/>
        <v>862582.19634204509</v>
      </c>
      <c r="N142" s="124">
        <f t="shared" si="28"/>
        <v>700130.51924433396</v>
      </c>
      <c r="O142" s="124">
        <f t="shared" si="28"/>
        <v>532794.68949065777</v>
      </c>
      <c r="P142" s="124">
        <f t="shared" si="28"/>
        <v>360258.90288247186</v>
      </c>
      <c r="Q142" s="124">
        <f t="shared" si="28"/>
        <v>182188.49717139907</v>
      </c>
      <c r="R142" s="124">
        <f t="shared" si="28"/>
        <v>-1771.1462648045272</v>
      </c>
      <c r="S142" s="124">
        <f t="shared" si="28"/>
        <v>-191995.7641796383</v>
      </c>
      <c r="T142" s="124">
        <f t="shared" si="28"/>
        <v>-538997.55715327244</v>
      </c>
      <c r="U142" s="124">
        <f t="shared" si="28"/>
        <v>-887951.5859863793</v>
      </c>
      <c r="V142" s="124">
        <f t="shared" si="28"/>
        <v>-1238896.8953961483</v>
      </c>
      <c r="W142" s="124">
        <f t="shared" si="28"/>
        <v>-1591873.3109941126</v>
      </c>
      <c r="X142" s="124">
        <f t="shared" si="28"/>
        <v>-1946921.4549040361</v>
      </c>
      <c r="Y142" s="124">
        <f t="shared" si="28"/>
        <v>-1946921.4549040361</v>
      </c>
      <c r="Z142" s="124">
        <f t="shared" si="28"/>
        <v>-1946921.4549040361</v>
      </c>
      <c r="AA142" s="124">
        <f t="shared" si="28"/>
        <v>-1946921.4549040361</v>
      </c>
      <c r="AB142" s="124">
        <f t="shared" si="28"/>
        <v>-1946921.4549040361</v>
      </c>
      <c r="AC142" s="124">
        <f t="shared" si="28"/>
        <v>-1946921.4549040361</v>
      </c>
      <c r="AD142" s="124">
        <f t="shared" si="28"/>
        <v>-1946921.4549040361</v>
      </c>
      <c r="AE142" s="124">
        <f t="shared" si="28"/>
        <v>-1946921.4549040361</v>
      </c>
      <c r="AF142" s="124">
        <f t="shared" si="28"/>
        <v>-1946921.4549040361</v>
      </c>
      <c r="AG142" s="124">
        <f t="shared" si="28"/>
        <v>-1946921.4549040361</v>
      </c>
      <c r="AH142" s="124">
        <f t="shared" si="28"/>
        <v>-1946921.4549040361</v>
      </c>
      <c r="AI142" s="124">
        <f t="shared" si="28"/>
        <v>-1946921.4549040361</v>
      </c>
      <c r="AJ142" s="124">
        <f t="shared" si="28"/>
        <v>-1946921.4549040361</v>
      </c>
      <c r="AK142" s="124">
        <f t="shared" si="28"/>
        <v>-1946921.4549040361</v>
      </c>
      <c r="AL142" s="124">
        <f t="shared" si="28"/>
        <v>-1946921.4549040361</v>
      </c>
      <c r="AM142" s="124">
        <f t="shared" si="28"/>
        <v>-1946921.4549040361</v>
      </c>
      <c r="AN142" s="124">
        <f t="shared" si="28"/>
        <v>-1946921.4549040361</v>
      </c>
      <c r="AO142" s="124">
        <f t="shared" si="28"/>
        <v>-1946921.4549040361</v>
      </c>
      <c r="AP142" s="124">
        <f t="shared" si="28"/>
        <v>-1946921.4549040361</v>
      </c>
      <c r="AQ142" s="124">
        <f t="shared" si="28"/>
        <v>-1946921.4549040361</v>
      </c>
      <c r="AR142" s="124">
        <f t="shared" si="28"/>
        <v>-1946921.4549040361</v>
      </c>
    </row>
    <row r="143" spans="1:45" x14ac:dyDescent="0.2">
      <c r="B143" s="5" t="s">
        <v>350</v>
      </c>
      <c r="C143" s="195"/>
      <c r="D143" s="196"/>
      <c r="E143" s="197">
        <f>IF(E108&gt;$C$92,"",(-$C$89*(E135+$C$5*E114)+E128+$C$5*E114)/-E133)</f>
        <v>1.5047608254249796</v>
      </c>
      <c r="F143" s="197">
        <f>IF(F108&gt;$C$92,"",(-$C$89*(F135+$C$5*F114)+F128+$C$5*F114)/-F133)</f>
        <v>1.4955709094011016</v>
      </c>
      <c r="G143" s="197">
        <f>IF(G108&gt;$C$92,"",(-$C$89*(G135+$C$5*G114)+G128+$C$5*G114)/-G133)</f>
        <v>1.486020083429733</v>
      </c>
      <c r="H143" s="197">
        <f>IF(H108&gt;$C$92,"",(-$C$89*(H135+$C$5*H114)+H128+$C$5*H114)/-H133)</f>
        <v>1.4760909453933699</v>
      </c>
      <c r="I143" s="197">
        <f t="shared" ref="I143:AR143" si="29">IF(I108&gt;$C$92,"",(-$C$89*(I135+$C$5*I114)+I128+$C$5*I114)/-I133)</f>
        <v>1.4657651595568428</v>
      </c>
      <c r="J143" s="197">
        <f t="shared" si="29"/>
        <v>1.4550234042243808</v>
      </c>
      <c r="K143" s="197">
        <f t="shared" si="29"/>
        <v>1.443845316413761</v>
      </c>
      <c r="L143" s="197">
        <f t="shared" si="29"/>
        <v>1.432209433376558</v>
      </c>
      <c r="M143" s="197">
        <f t="shared" si="29"/>
        <v>1.4200931307836946</v>
      </c>
      <c r="N143" s="197">
        <f t="shared" si="29"/>
        <v>1.4074725573850995</v>
      </c>
      <c r="O143" s="197">
        <f t="shared" si="29"/>
        <v>1.3943225659413103</v>
      </c>
      <c r="P143" s="197">
        <f t="shared" si="29"/>
        <v>1.3806166402132327</v>
      </c>
      <c r="Q143" s="197">
        <f t="shared" si="29"/>
        <v>1.3663268177839947</v>
      </c>
      <c r="R143" s="197">
        <f t="shared" si="29"/>
        <v>1.3514236084738442</v>
      </c>
      <c r="S143" s="197">
        <f t="shared" si="29"/>
        <v>1.3358759080953033</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-1212390.8899129168</v>
      </c>
    </row>
    <row r="147" spans="2:45" x14ac:dyDescent="0.2">
      <c r="B147" s="79" t="s">
        <v>354</v>
      </c>
      <c r="C147" s="216" t="str">
        <f>$C$9</f>
        <v>kWh</v>
      </c>
      <c r="D147" s="126">
        <f>(1-$C$89)*NPV($C$86,E141:AR141)</f>
        <v>12036390.170507401</v>
      </c>
      <c r="E147" s="131"/>
      <c r="F147" s="127"/>
    </row>
    <row r="148" spans="2:45" x14ac:dyDescent="0.2">
      <c r="B148" s="79" t="s">
        <v>355</v>
      </c>
      <c r="C148" s="80" t="s">
        <v>288</v>
      </c>
      <c r="D148" s="126">
        <f>$C$48*1000000</f>
        <v>2148877.5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1.4276944870598138</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-8.9439228982262087E-2</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1396770.375</v>
      </c>
      <c r="F153" s="134"/>
    </row>
    <row r="154" spans="2:45" x14ac:dyDescent="0.2">
      <c r="B154" s="135" t="s">
        <v>361</v>
      </c>
      <c r="C154" s="80" t="s">
        <v>288</v>
      </c>
      <c r="D154" s="126">
        <f>$C$88*D148-C82</f>
        <v>752107.125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1530</v>
      </c>
      <c r="F156" s="134"/>
    </row>
    <row r="157" spans="2:45" x14ac:dyDescent="0.2">
      <c r="B157" s="135" t="s">
        <v>364</v>
      </c>
      <c r="C157" s="138" t="s">
        <v>365</v>
      </c>
      <c r="D157" s="139" t="str">
        <f>CONCATENATE( "tussen ", INDEX(D108:X108, MATCH(0,D142:X142, -1)), " en ",  1 + INDEX(D108:X108, MATCH(0,D142:X142, -1)), " jaren")</f>
        <v>tussen 13 en 14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IFERROR(ROUND(INDEX(Correctiebedragen!$A$1:$K$256,MATCH('12'!C16,Correctiebedragen!$A$1:$A$256,0),8),decimalen),"n.v.t.")</f>
        <v>n.v.t.</v>
      </c>
    </row>
    <row r="162" spans="2:20" customFormat="1" ht="15" x14ac:dyDescent="0.25">
      <c r="B162" s="248" t="s">
        <v>367</v>
      </c>
      <c r="C162" s="250" t="str">
        <f>IFERROR(ROUND(INDEX(Correctiebedragen!$A$1:$K$256,MATCH('12'!C17,Correctiebedragen!$A$1:$A$256,0),8),decimalen),"n.v.t.")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IFERROR(ROUND(INDEX(Correctiebedragen!$A$1:$K$256,MATCH('12'!C16,Correctiebedragen!$A$1:$A$256,0),4),decimalen),"n.v.t.")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IFERROR(ROUND(INDEX(Correctiebedragen!$A$1:$K$256,MATCH('12'!C17,Correctiebedragen!$A$1:$A$256,0),4),decimalen),"n.v.t.")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IFERROR(ROUND(INDEX(Correctiebedragen!$A$1:$K$256,MATCH('12'!C16,Correctiebedragen!$A$1:$A$256,0),6),decimalen),"n.v.t.")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IFERROR(ROUND(INDEX(Correctiebedragen!$A$1:$K$256,MATCH('12'!C17,Correctiebedragen!$A$1:$A$256,0),6),decimalen),"n.v.t.")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22950000</v>
      </c>
      <c r="E174" s="28"/>
    </row>
    <row r="175" spans="2:20" customFormat="1" ht="26.25" x14ac:dyDescent="0.25">
      <c r="B175" s="256" t="s">
        <v>370</v>
      </c>
      <c r="C175" s="271">
        <f>IF(C95=0,SUM(E114:INDEX(E114:AR114,1,C91)),SUM(E114:INDEX(E114:AR114,1,C95)))</f>
        <v>30600000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39" priority="5" operator="containsText" text="Pas op">
      <formula>NOT(ISERROR(SEARCH("Pas op",G1)))</formula>
    </cfRule>
  </conditionalFormatting>
  <conditionalFormatting sqref="G186">
    <cfRule type="containsText" dxfId="38" priority="4" operator="containsText" text="Pas op">
      <formula>NOT(ISERROR(SEARCH("Pas op",G186)))</formula>
    </cfRule>
  </conditionalFormatting>
  <conditionalFormatting sqref="G162 G165 G169:G170">
    <cfRule type="containsText" dxfId="37" priority="3" operator="containsText" text="Pas op">
      <formula>NOT(ISERROR(SEARCH("Pas op",G162)))</formula>
    </cfRule>
  </conditionalFormatting>
  <conditionalFormatting sqref="G100">
    <cfRule type="containsText" dxfId="36" priority="2" operator="containsText" text="Pas op">
      <formula>NOT(ISERROR(SEARCH("Pas op",G100)))</formula>
    </cfRule>
  </conditionalFormatting>
  <conditionalFormatting sqref="G166:G168">
    <cfRule type="containsText" dxfId="35" priority="1" operator="containsText" text="Pas op">
      <formula>NOT(ISERROR(SEARCH("Pas op",G166)))</formula>
    </cfRule>
  </conditionalFormatting>
  <dataValidations count="3">
    <dataValidation type="list" allowBlank="1" showInputMessage="1" showErrorMessage="1" sqref="C10" xr:uid="{627CC046-7DF9-454B-87D3-A325BE612DA6}">
      <formula1>INDIRECT("lst_vermogenseenheid")</formula1>
    </dataValidation>
    <dataValidation type="list" allowBlank="1" showInputMessage="1" showErrorMessage="1" sqref="C9" xr:uid="{EE2E4B4F-1315-47A4-98A7-4A518C59608D}">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CA2089E4-1BC9-4D95-BCDE-EBE780894DC9}">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C978AFB-DAB0-4AA5-AC09-28BCC6155264}">
          <x14:formula1>
            <xm:f>'ETS correctie methodes'!$B$4:$B$14</xm:f>
          </x14:formula1>
          <xm:sqref>C13</xm:sqref>
        </x14:dataValidation>
        <x14:dataValidation type="list" allowBlank="1" showInputMessage="1" showErrorMessage="1" xr:uid="{5FBA06D0-8CED-4C13-B861-5FBC94EBB166}">
          <x14:formula1>
            <xm:f>Colofon!$A$51:$A$56</xm:f>
          </x14:formula1>
          <xm:sqref>C11</xm:sqref>
        </x14:dataValidation>
        <x14:dataValidation type="list" allowBlank="1" showInputMessage="1" showErrorMessage="1" xr:uid="{4C3901F4-B731-479D-9EF5-65A331B3BF8A}">
          <x14:formula1>
            <xm:f>Correctiebedragen!$A$3:$A$7</xm:f>
          </x14:formula1>
          <xm:sqref>C12 C16:C17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E3C8-D7E4-4FB8-A73F-D150FBF6F78D}">
  <sheetPr codeName="Sheet106">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382</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5.1999999999999998E-2</v>
      </c>
      <c r="D5" s="113" t="str">
        <f>CONCATENATE("Euro/",$C$9)</f>
        <v>Euro/kWh</v>
      </c>
      <c r="E5" s="424"/>
      <c r="F5" s="425"/>
      <c r="G5" s="425"/>
      <c r="H5" s="425"/>
      <c r="I5" s="425"/>
      <c r="J5" s="425"/>
      <c r="K5" s="425"/>
      <c r="L5" s="425"/>
      <c r="M5" s="426"/>
      <c r="N5" s="26"/>
    </row>
    <row r="6" spans="1:14" x14ac:dyDescent="0.2">
      <c r="B6" s="4" t="s">
        <v>203</v>
      </c>
      <c r="C6" s="114">
        <f>ROUND((C5-C7)/C8*1000,0)</f>
        <v>-91</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"&amp;IFERROR(INDEX(Correctiebedragen!$A$1:$M$256,MATCH('13'!C12,Correctiebedragen!$A$1:$A$256,0),9),"")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IFERROR(INDEX(Correctiebedragen!$A$1:$M$256,MATCH('13'!C16,Correctiebedragen!$A$1:$A$256,0),9),"")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IFERROR(INDEX(Correctiebedragen!$A$1:$M$256,MATCH('13'!C17,Correctiebedragen!$A$1:$A$256,0),9),"")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3575</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3575</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16087500</v>
      </c>
      <c r="F111" s="78">
        <f t="shared" ref="F111:AR111" si="2">IF(F108&lt;=$C$94,$C$37*$C$39,IF(AND(F108&gt;$C$94,F108&lt;=$C$91),$C$37*$C$77,0))*IF($C$41=0,1,$C$42/$C$41)</f>
        <v>16087500</v>
      </c>
      <c r="G111" s="78">
        <f t="shared" si="2"/>
        <v>16087500</v>
      </c>
      <c r="H111" s="78">
        <f t="shared" si="2"/>
        <v>16087500</v>
      </c>
      <c r="I111" s="78">
        <f t="shared" si="2"/>
        <v>16087500</v>
      </c>
      <c r="J111" s="78">
        <f t="shared" si="2"/>
        <v>16087500</v>
      </c>
      <c r="K111" s="78">
        <f t="shared" si="2"/>
        <v>16087500</v>
      </c>
      <c r="L111" s="78">
        <f t="shared" si="2"/>
        <v>16087500</v>
      </c>
      <c r="M111" s="78">
        <f t="shared" si="2"/>
        <v>16087500</v>
      </c>
      <c r="N111" s="78">
        <f t="shared" si="2"/>
        <v>16087500</v>
      </c>
      <c r="O111" s="78">
        <f t="shared" si="2"/>
        <v>16087500</v>
      </c>
      <c r="P111" s="78">
        <f t="shared" si="2"/>
        <v>16087500</v>
      </c>
      <c r="Q111" s="78">
        <f t="shared" si="2"/>
        <v>16087500</v>
      </c>
      <c r="R111" s="78">
        <f t="shared" si="2"/>
        <v>16087500</v>
      </c>
      <c r="S111" s="78">
        <f t="shared" si="2"/>
        <v>16087500</v>
      </c>
      <c r="T111" s="78">
        <f t="shared" si="2"/>
        <v>16087500</v>
      </c>
      <c r="U111" s="78">
        <f t="shared" si="2"/>
        <v>16087500</v>
      </c>
      <c r="V111" s="78">
        <f t="shared" si="2"/>
        <v>16087500</v>
      </c>
      <c r="W111" s="78">
        <f t="shared" si="2"/>
        <v>16087500</v>
      </c>
      <c r="X111" s="78">
        <f t="shared" si="2"/>
        <v>16087500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16087500</v>
      </c>
      <c r="F114" s="84">
        <f t="shared" ref="F114:AR114" si="5">SUM(F111:F113)</f>
        <v>16087500</v>
      </c>
      <c r="G114" s="84">
        <f t="shared" si="5"/>
        <v>16087500</v>
      </c>
      <c r="H114" s="84">
        <f t="shared" si="5"/>
        <v>16087500</v>
      </c>
      <c r="I114" s="84">
        <f t="shared" si="5"/>
        <v>16087500</v>
      </c>
      <c r="J114" s="84">
        <f t="shared" si="5"/>
        <v>16087500</v>
      </c>
      <c r="K114" s="84">
        <f t="shared" si="5"/>
        <v>16087500</v>
      </c>
      <c r="L114" s="84">
        <f t="shared" si="5"/>
        <v>16087500</v>
      </c>
      <c r="M114" s="84">
        <f t="shared" si="5"/>
        <v>16087500</v>
      </c>
      <c r="N114" s="84">
        <f t="shared" si="5"/>
        <v>16087500</v>
      </c>
      <c r="O114" s="84">
        <f t="shared" si="5"/>
        <v>16087500</v>
      </c>
      <c r="P114" s="84">
        <f t="shared" si="5"/>
        <v>16087500</v>
      </c>
      <c r="Q114" s="84">
        <f t="shared" si="5"/>
        <v>16087500</v>
      </c>
      <c r="R114" s="84">
        <f t="shared" si="5"/>
        <v>16087500</v>
      </c>
      <c r="S114" s="84">
        <f t="shared" si="5"/>
        <v>16087500</v>
      </c>
      <c r="T114" s="84">
        <f t="shared" si="5"/>
        <v>16087500</v>
      </c>
      <c r="U114" s="84">
        <f t="shared" si="5"/>
        <v>16087500</v>
      </c>
      <c r="V114" s="84">
        <f t="shared" si="5"/>
        <v>16087500</v>
      </c>
      <c r="W114" s="84">
        <f t="shared" si="5"/>
        <v>16087500</v>
      </c>
      <c r="X114" s="84">
        <f t="shared" si="5"/>
        <v>16087500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-268908.75</v>
      </c>
      <c r="F116" s="78">
        <f t="shared" si="6"/>
        <v>-274286.92499999999</v>
      </c>
      <c r="G116" s="78">
        <f t="shared" si="6"/>
        <v>-279772.66350000002</v>
      </c>
      <c r="H116" s="78">
        <f t="shared" si="6"/>
        <v>-285368.11676999996</v>
      </c>
      <c r="I116" s="78">
        <f t="shared" si="6"/>
        <v>-291075.47910539998</v>
      </c>
      <c r="J116" s="78">
        <f t="shared" si="6"/>
        <v>-296896.98868750798</v>
      </c>
      <c r="K116" s="78">
        <f t="shared" si="6"/>
        <v>-302834.92846125818</v>
      </c>
      <c r="L116" s="78">
        <f t="shared" si="6"/>
        <v>-308891.62703048327</v>
      </c>
      <c r="M116" s="78">
        <f t="shared" si="6"/>
        <v>-315069.45957109297</v>
      </c>
      <c r="N116" s="78">
        <f t="shared" si="6"/>
        <v>-321370.84876251483</v>
      </c>
      <c r="O116" s="78">
        <f t="shared" si="6"/>
        <v>-327798.26573776512</v>
      </c>
      <c r="P116" s="78">
        <f t="shared" si="6"/>
        <v>-334354.23105252039</v>
      </c>
      <c r="Q116" s="78">
        <f t="shared" si="6"/>
        <v>-341041.31567357085</v>
      </c>
      <c r="R116" s="78">
        <f t="shared" si="6"/>
        <v>-347862.14198704227</v>
      </c>
      <c r="S116" s="78">
        <f t="shared" si="6"/>
        <v>-354819.38482678315</v>
      </c>
      <c r="T116" s="78">
        <f t="shared" si="6"/>
        <v>-361915.77252331871</v>
      </c>
      <c r="U116" s="78">
        <f t="shared" si="6"/>
        <v>-369154.08797378512</v>
      </c>
      <c r="V116" s="78">
        <f t="shared" si="6"/>
        <v>-376537.16973326087</v>
      </c>
      <c r="W116" s="78">
        <f t="shared" si="6"/>
        <v>-384067.913127926</v>
      </c>
      <c r="X116" s="78">
        <f t="shared" si="6"/>
        <v>-391749.27139048453</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1578405.7874843495</v>
      </c>
      <c r="U123" s="81">
        <f t="shared" si="13"/>
        <v>1609973.9032340366</v>
      </c>
      <c r="V123" s="81">
        <f t="shared" si="13"/>
        <v>1642173.3812987176</v>
      </c>
      <c r="W123" s="81">
        <f t="shared" si="13"/>
        <v>1675016.8489246918</v>
      </c>
      <c r="X123" s="81">
        <f t="shared" si="13"/>
        <v>1708517.1859031857</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1578405.7874843495</v>
      </c>
      <c r="U126" s="78">
        <f t="shared" si="15"/>
        <v>1609973.9032340366</v>
      </c>
      <c r="V126" s="78">
        <f t="shared" si="15"/>
        <v>1642173.3812987176</v>
      </c>
      <c r="W126" s="78">
        <f t="shared" si="15"/>
        <v>1675016.8489246918</v>
      </c>
      <c r="X126" s="78">
        <f t="shared" si="15"/>
        <v>1708517.1859031857</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-268908.75</v>
      </c>
      <c r="F127" s="81">
        <f t="shared" si="16"/>
        <v>-274286.92499999999</v>
      </c>
      <c r="G127" s="81">
        <f t="shared" si="16"/>
        <v>-279772.66350000002</v>
      </c>
      <c r="H127" s="81">
        <f t="shared" si="16"/>
        <v>-285368.11676999996</v>
      </c>
      <c r="I127" s="81">
        <f t="shared" si="16"/>
        <v>-291075.47910539998</v>
      </c>
      <c r="J127" s="81">
        <f t="shared" si="16"/>
        <v>-296896.98868750798</v>
      </c>
      <c r="K127" s="81">
        <f t="shared" si="16"/>
        <v>-302834.92846125818</v>
      </c>
      <c r="L127" s="81">
        <f t="shared" si="16"/>
        <v>-308891.62703048327</v>
      </c>
      <c r="M127" s="81">
        <f t="shared" si="16"/>
        <v>-315069.45957109297</v>
      </c>
      <c r="N127" s="81">
        <f t="shared" si="16"/>
        <v>-321370.84876251483</v>
      </c>
      <c r="O127" s="81">
        <f t="shared" si="16"/>
        <v>-327798.26573776512</v>
      </c>
      <c r="P127" s="81">
        <f t="shared" si="16"/>
        <v>-334354.23105252039</v>
      </c>
      <c r="Q127" s="81">
        <f t="shared" si="16"/>
        <v>-341041.31567357085</v>
      </c>
      <c r="R127" s="81">
        <f t="shared" si="16"/>
        <v>-347862.14198704227</v>
      </c>
      <c r="S127" s="81">
        <f t="shared" si="16"/>
        <v>-354819.38482678315</v>
      </c>
      <c r="T127" s="81">
        <f t="shared" si="16"/>
        <v>-361915.77252331871</v>
      </c>
      <c r="U127" s="81">
        <f t="shared" si="16"/>
        <v>-369154.08797378512</v>
      </c>
      <c r="V127" s="81">
        <f t="shared" si="16"/>
        <v>-376537.16973326087</v>
      </c>
      <c r="W127" s="81">
        <f t="shared" si="16"/>
        <v>-384067.913127926</v>
      </c>
      <c r="X127" s="81">
        <f t="shared" si="16"/>
        <v>-391749.27139048453</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-268908.75</v>
      </c>
      <c r="F128" s="90">
        <f t="shared" ref="F128:AR128" si="17">SUM(F126:F127)</f>
        <v>-274286.92499999999</v>
      </c>
      <c r="G128" s="90">
        <f t="shared" si="17"/>
        <v>-279772.66350000002</v>
      </c>
      <c r="H128" s="90">
        <f t="shared" si="17"/>
        <v>-285368.11676999996</v>
      </c>
      <c r="I128" s="90">
        <f t="shared" si="17"/>
        <v>-291075.47910539998</v>
      </c>
      <c r="J128" s="90">
        <f t="shared" si="17"/>
        <v>-296896.98868750798</v>
      </c>
      <c r="K128" s="90">
        <f t="shared" si="17"/>
        <v>-302834.92846125818</v>
      </c>
      <c r="L128" s="90">
        <f t="shared" si="17"/>
        <v>-308891.62703048327</v>
      </c>
      <c r="M128" s="90">
        <f t="shared" si="17"/>
        <v>-315069.45957109297</v>
      </c>
      <c r="N128" s="90">
        <f t="shared" si="17"/>
        <v>-321370.84876251483</v>
      </c>
      <c r="O128" s="90">
        <f t="shared" si="17"/>
        <v>-327798.26573776512</v>
      </c>
      <c r="P128" s="90">
        <f t="shared" si="17"/>
        <v>-334354.23105252039</v>
      </c>
      <c r="Q128" s="90">
        <f t="shared" si="17"/>
        <v>-341041.31567357085</v>
      </c>
      <c r="R128" s="90">
        <f t="shared" si="17"/>
        <v>-347862.14198704227</v>
      </c>
      <c r="S128" s="90">
        <f t="shared" si="17"/>
        <v>-354819.38482678315</v>
      </c>
      <c r="T128" s="90">
        <f t="shared" si="17"/>
        <v>1216490.0149610308</v>
      </c>
      <c r="U128" s="90">
        <f t="shared" si="17"/>
        <v>1240819.8152602515</v>
      </c>
      <c r="V128" s="90">
        <f t="shared" si="17"/>
        <v>1265636.2115654568</v>
      </c>
      <c r="W128" s="90">
        <f t="shared" si="17"/>
        <v>1290948.9357967658</v>
      </c>
      <c r="X128" s="90">
        <f t="shared" si="17"/>
        <v>1316767.9145127013</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-944848.35843749996</v>
      </c>
      <c r="F135" s="95">
        <f t="shared" ref="F135:AR135" si="22">F128+F130+F131</f>
        <v>-940123.28328294633</v>
      </c>
      <c r="G135" s="95">
        <f t="shared" si="22"/>
        <v>-935025.8672460512</v>
      </c>
      <c r="H135" s="95">
        <f t="shared" si="22"/>
        <v>-929535.46613865357</v>
      </c>
      <c r="I135" s="95">
        <f t="shared" si="22"/>
        <v>-923630.39601372962</v>
      </c>
      <c r="J135" s="95">
        <f t="shared" si="22"/>
        <v>-917287.88259364839</v>
      </c>
      <c r="K135" s="95">
        <f t="shared" si="22"/>
        <v>-910484.00827260525</v>
      </c>
      <c r="L135" s="95">
        <f t="shared" si="22"/>
        <v>-903193.65657753428</v>
      </c>
      <c r="M135" s="95">
        <f t="shared" si="22"/>
        <v>-895390.45396629395</v>
      </c>
      <c r="N135" s="95">
        <f t="shared" si="22"/>
        <v>-887046.7088361528</v>
      </c>
      <c r="O135" s="95">
        <f t="shared" si="22"/>
        <v>-878133.34760956594</v>
      </c>
      <c r="P135" s="95">
        <f t="shared" si="22"/>
        <v>-868619.84775789687</v>
      </c>
      <c r="Q135" s="95">
        <f t="shared" si="22"/>
        <v>-858474.16761711764</v>
      </c>
      <c r="R135" s="95">
        <f t="shared" si="22"/>
        <v>-847662.67284257244</v>
      </c>
      <c r="S135" s="95">
        <f t="shared" si="22"/>
        <v>-836150.059342616</v>
      </c>
      <c r="T135" s="95">
        <f t="shared" si="22"/>
        <v>1216490.0149610308</v>
      </c>
      <c r="U135" s="95">
        <f t="shared" si="22"/>
        <v>1240819.8152602515</v>
      </c>
      <c r="V135" s="95">
        <f t="shared" si="22"/>
        <v>1265636.2115654568</v>
      </c>
      <c r="W135" s="95">
        <f t="shared" si="22"/>
        <v>1290948.9357967658</v>
      </c>
      <c r="X135" s="95">
        <f t="shared" si="22"/>
        <v>1316767.9145127013</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179521.18810312499</v>
      </c>
      <c r="F136" s="97">
        <f t="shared" si="23"/>
        <v>178623.4238237598</v>
      </c>
      <c r="G136" s="97">
        <f t="shared" si="23"/>
        <v>177654.91477674973</v>
      </c>
      <c r="H136" s="97">
        <f t="shared" si="23"/>
        <v>176611.73856634417</v>
      </c>
      <c r="I136" s="97">
        <f t="shared" si="23"/>
        <v>175489.77524260862</v>
      </c>
      <c r="J136" s="97">
        <f t="shared" si="23"/>
        <v>174284.69769279318</v>
      </c>
      <c r="K136" s="97">
        <f t="shared" si="23"/>
        <v>172991.96157179499</v>
      </c>
      <c r="L136" s="97">
        <f t="shared" si="23"/>
        <v>171606.79474973152</v>
      </c>
      <c r="M136" s="97">
        <f t="shared" si="23"/>
        <v>170124.18625359586</v>
      </c>
      <c r="N136" s="97">
        <f t="shared" si="23"/>
        <v>168538.87467886903</v>
      </c>
      <c r="O136" s="97">
        <f t="shared" si="23"/>
        <v>166845.33604581753</v>
      </c>
      <c r="P136" s="97">
        <f t="shared" si="23"/>
        <v>165037.7710740004</v>
      </c>
      <c r="Q136" s="97">
        <f t="shared" si="23"/>
        <v>163110.09184725236</v>
      </c>
      <c r="R136" s="97">
        <f t="shared" si="23"/>
        <v>161055.90784008877</v>
      </c>
      <c r="S136" s="97">
        <f t="shared" si="23"/>
        <v>158868.51127509703</v>
      </c>
      <c r="T136" s="97">
        <f t="shared" si="23"/>
        <v>-231133.10284259586</v>
      </c>
      <c r="U136" s="97">
        <f t="shared" si="23"/>
        <v>-235755.76489944779</v>
      </c>
      <c r="V136" s="97">
        <f t="shared" si="23"/>
        <v>-240470.88019743681</v>
      </c>
      <c r="W136" s="97">
        <f t="shared" si="23"/>
        <v>-245280.29780138552</v>
      </c>
      <c r="X136" s="97">
        <f t="shared" si="23"/>
        <v>-250185.90375741327</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-516043.67358813807</v>
      </c>
      <c r="F138" s="101">
        <f t="shared" si="24"/>
        <v>-522319.61286750308</v>
      </c>
      <c r="G138" s="101">
        <f t="shared" si="24"/>
        <v>-528773.86041451315</v>
      </c>
      <c r="H138" s="101">
        <f t="shared" si="24"/>
        <v>-535412.48989491875</v>
      </c>
      <c r="I138" s="101">
        <f t="shared" si="24"/>
        <v>-542241.81555405434</v>
      </c>
      <c r="J138" s="101">
        <f t="shared" si="24"/>
        <v>-549268.40268597775</v>
      </c>
      <c r="K138" s="101">
        <f t="shared" si="24"/>
        <v>-556499.07858072617</v>
      </c>
      <c r="L138" s="101">
        <f t="shared" si="24"/>
        <v>-563940.94397201471</v>
      </c>
      <c r="M138" s="101">
        <f t="shared" si="24"/>
        <v>-571601.38500876003</v>
      </c>
      <c r="N138" s="101">
        <f t="shared" si="24"/>
        <v>-579488.08577490877</v>
      </c>
      <c r="O138" s="101">
        <f t="shared" si="24"/>
        <v>-587609.04138321057</v>
      </c>
      <c r="P138" s="101">
        <f t="shared" si="24"/>
        <v>-595972.57166978298</v>
      </c>
      <c r="Q138" s="101">
        <f t="shared" si="24"/>
        <v>-604587.33551758155</v>
      </c>
      <c r="R138" s="101">
        <f t="shared" si="24"/>
        <v>-613462.3458382166</v>
      </c>
      <c r="S138" s="101">
        <f t="shared" si="24"/>
        <v>-622606.9852429491</v>
      </c>
      <c r="T138" s="101">
        <f t="shared" si="24"/>
        <v>985356.91211843491</v>
      </c>
      <c r="U138" s="101">
        <f t="shared" si="24"/>
        <v>1005064.0503608037</v>
      </c>
      <c r="V138" s="101">
        <f t="shared" si="24"/>
        <v>1025165.33136802</v>
      </c>
      <c r="W138" s="101">
        <f t="shared" si="24"/>
        <v>1045668.6379953803</v>
      </c>
      <c r="X138" s="101">
        <f t="shared" si="24"/>
        <v>1066582.0107552879</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-89387.561896875006</v>
      </c>
      <c r="F139" s="106">
        <f t="shared" ref="F139:AR139" si="25">F128+F136</f>
        <v>-95663.501176240185</v>
      </c>
      <c r="G139" s="106">
        <f t="shared" si="25"/>
        <v>-102117.74872325029</v>
      </c>
      <c r="H139" s="106">
        <f t="shared" si="25"/>
        <v>-108756.3782036558</v>
      </c>
      <c r="I139" s="106">
        <f t="shared" si="25"/>
        <v>-115585.70386279136</v>
      </c>
      <c r="J139" s="106">
        <f t="shared" si="25"/>
        <v>-122612.2909947148</v>
      </c>
      <c r="K139" s="106">
        <f t="shared" si="25"/>
        <v>-129842.96688946319</v>
      </c>
      <c r="L139" s="106">
        <f t="shared" si="25"/>
        <v>-137284.83228075175</v>
      </c>
      <c r="M139" s="106">
        <f t="shared" si="25"/>
        <v>-144945.27331749711</v>
      </c>
      <c r="N139" s="106">
        <f t="shared" si="25"/>
        <v>-152831.97408364579</v>
      </c>
      <c r="O139" s="106">
        <f t="shared" si="25"/>
        <v>-160952.92969194759</v>
      </c>
      <c r="P139" s="106">
        <f t="shared" si="25"/>
        <v>-169316.45997852</v>
      </c>
      <c r="Q139" s="106">
        <f t="shared" si="25"/>
        <v>-177931.22382631848</v>
      </c>
      <c r="R139" s="106">
        <f t="shared" si="25"/>
        <v>-186806.2341469535</v>
      </c>
      <c r="S139" s="106">
        <f t="shared" si="25"/>
        <v>-195950.87355168612</v>
      </c>
      <c r="T139" s="106">
        <f t="shared" si="25"/>
        <v>985356.91211843491</v>
      </c>
      <c r="U139" s="106">
        <f t="shared" si="25"/>
        <v>1005064.0503608037</v>
      </c>
      <c r="V139" s="106">
        <f t="shared" si="25"/>
        <v>1025165.33136802</v>
      </c>
      <c r="W139" s="106">
        <f t="shared" si="25"/>
        <v>1045668.6379953803</v>
      </c>
      <c r="X139" s="106">
        <f t="shared" si="25"/>
        <v>1066582.0107552879</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-516043.67358813807</v>
      </c>
      <c r="F140" s="106">
        <f t="shared" ref="F140:AR140" si="26">F138</f>
        <v>-522319.61286750308</v>
      </c>
      <c r="G140" s="106">
        <f t="shared" si="26"/>
        <v>-528773.86041451315</v>
      </c>
      <c r="H140" s="106">
        <f t="shared" si="26"/>
        <v>-535412.48989491875</v>
      </c>
      <c r="I140" s="106">
        <f t="shared" si="26"/>
        <v>-542241.81555405434</v>
      </c>
      <c r="J140" s="106">
        <f t="shared" si="26"/>
        <v>-549268.40268597775</v>
      </c>
      <c r="K140" s="106">
        <f t="shared" si="26"/>
        <v>-556499.07858072617</v>
      </c>
      <c r="L140" s="106">
        <f t="shared" si="26"/>
        <v>-563940.94397201471</v>
      </c>
      <c r="M140" s="106">
        <f t="shared" si="26"/>
        <v>-571601.38500876003</v>
      </c>
      <c r="N140" s="106">
        <f t="shared" si="26"/>
        <v>-579488.08577490877</v>
      </c>
      <c r="O140" s="106">
        <f t="shared" si="26"/>
        <v>-587609.04138321057</v>
      </c>
      <c r="P140" s="106">
        <f t="shared" si="26"/>
        <v>-595972.57166978298</v>
      </c>
      <c r="Q140" s="106">
        <f t="shared" si="26"/>
        <v>-604587.33551758155</v>
      </c>
      <c r="R140" s="106">
        <f t="shared" si="26"/>
        <v>-613462.3458382166</v>
      </c>
      <c r="S140" s="106">
        <f t="shared" si="26"/>
        <v>-622606.9852429491</v>
      </c>
      <c r="T140" s="106">
        <f t="shared" si="26"/>
        <v>985356.91211843491</v>
      </c>
      <c r="U140" s="106">
        <f t="shared" si="26"/>
        <v>1005064.0503608037</v>
      </c>
      <c r="V140" s="106">
        <f t="shared" si="26"/>
        <v>1025165.33136802</v>
      </c>
      <c r="W140" s="106">
        <f t="shared" si="26"/>
        <v>1045668.6379953803</v>
      </c>
      <c r="X140" s="106">
        <f t="shared" si="26"/>
        <v>1066582.0107552879</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16087500</v>
      </c>
      <c r="F141" s="108">
        <f t="shared" si="27"/>
        <v>16087500</v>
      </c>
      <c r="G141" s="108">
        <f t="shared" si="27"/>
        <v>16087500</v>
      </c>
      <c r="H141" s="108">
        <f t="shared" si="27"/>
        <v>16087500</v>
      </c>
      <c r="I141" s="108">
        <f t="shared" si="27"/>
        <v>16087500</v>
      </c>
      <c r="J141" s="108">
        <f t="shared" si="27"/>
        <v>16087500</v>
      </c>
      <c r="K141" s="108">
        <f t="shared" si="27"/>
        <v>16087500</v>
      </c>
      <c r="L141" s="108">
        <f t="shared" si="27"/>
        <v>16087500</v>
      </c>
      <c r="M141" s="108">
        <f t="shared" si="27"/>
        <v>16087500</v>
      </c>
      <c r="N141" s="108">
        <f t="shared" si="27"/>
        <v>16087500</v>
      </c>
      <c r="O141" s="108">
        <f t="shared" si="27"/>
        <v>16087500</v>
      </c>
      <c r="P141" s="108">
        <f t="shared" si="27"/>
        <v>16087500</v>
      </c>
      <c r="Q141" s="108">
        <f t="shared" si="27"/>
        <v>16087500</v>
      </c>
      <c r="R141" s="108">
        <f t="shared" si="27"/>
        <v>16087500</v>
      </c>
      <c r="S141" s="108">
        <f t="shared" si="27"/>
        <v>16087500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6576067.3584375</v>
      </c>
      <c r="F142" s="124">
        <f t="shared" ref="F142:AR142" si="28">E142-($C$5*F114+F128+F131)</f>
        <v>6217657.1417204458</v>
      </c>
      <c r="G142" s="124">
        <f t="shared" si="28"/>
        <v>5854149.5089664971</v>
      </c>
      <c r="H142" s="124">
        <f t="shared" si="28"/>
        <v>5485151.4751051506</v>
      </c>
      <c r="I142" s="124">
        <f t="shared" si="28"/>
        <v>5110248.3711188799</v>
      </c>
      <c r="J142" s="124">
        <f t="shared" si="28"/>
        <v>4729002.7537125284</v>
      </c>
      <c r="K142" s="124">
        <f t="shared" si="28"/>
        <v>4340953.2619851334</v>
      </c>
      <c r="L142" s="124">
        <f t="shared" si="28"/>
        <v>3945613.4185626674</v>
      </c>
      <c r="M142" s="124">
        <f t="shared" si="28"/>
        <v>3542470.3725289614</v>
      </c>
      <c r="N142" s="124">
        <f t="shared" si="28"/>
        <v>3130983.5813651141</v>
      </c>
      <c r="O142" s="124">
        <f t="shared" si="28"/>
        <v>2710583.4289746801</v>
      </c>
      <c r="P142" s="124">
        <f t="shared" si="28"/>
        <v>2280669.776732577</v>
      </c>
      <c r="Q142" s="124">
        <f t="shared" si="28"/>
        <v>1840610.4443496945</v>
      </c>
      <c r="R142" s="124">
        <f t="shared" si="28"/>
        <v>1389739.617192267</v>
      </c>
      <c r="S142" s="124">
        <f t="shared" si="28"/>
        <v>927356.17653488298</v>
      </c>
      <c r="T142" s="124">
        <f t="shared" si="28"/>
        <v>-1125683.8384261478</v>
      </c>
      <c r="U142" s="124">
        <f t="shared" si="28"/>
        <v>-3203053.6536863996</v>
      </c>
      <c r="V142" s="124">
        <f t="shared" si="28"/>
        <v>-5305239.8652518559</v>
      </c>
      <c r="W142" s="124">
        <f t="shared" si="28"/>
        <v>-7432738.8010486215</v>
      </c>
      <c r="X142" s="124">
        <f t="shared" si="28"/>
        <v>-9586056.7155613229</v>
      </c>
      <c r="Y142" s="124">
        <f t="shared" si="28"/>
        <v>-9586056.7155613229</v>
      </c>
      <c r="Z142" s="124">
        <f t="shared" si="28"/>
        <v>-9586056.7155613229</v>
      </c>
      <c r="AA142" s="124">
        <f t="shared" si="28"/>
        <v>-9586056.7155613229</v>
      </c>
      <c r="AB142" s="124">
        <f t="shared" si="28"/>
        <v>-9586056.7155613229</v>
      </c>
      <c r="AC142" s="124">
        <f t="shared" si="28"/>
        <v>-9586056.7155613229</v>
      </c>
      <c r="AD142" s="124">
        <f t="shared" si="28"/>
        <v>-9586056.7155613229</v>
      </c>
      <c r="AE142" s="124">
        <f t="shared" si="28"/>
        <v>-9586056.7155613229</v>
      </c>
      <c r="AF142" s="124">
        <f t="shared" si="28"/>
        <v>-9586056.7155613229</v>
      </c>
      <c r="AG142" s="124">
        <f t="shared" si="28"/>
        <v>-9586056.7155613229</v>
      </c>
      <c r="AH142" s="124">
        <f t="shared" si="28"/>
        <v>-9586056.7155613229</v>
      </c>
      <c r="AI142" s="124">
        <f t="shared" si="28"/>
        <v>-9586056.7155613229</v>
      </c>
      <c r="AJ142" s="124">
        <f t="shared" si="28"/>
        <v>-9586056.7155613229</v>
      </c>
      <c r="AK142" s="124">
        <f t="shared" si="28"/>
        <v>-9586056.7155613229</v>
      </c>
      <c r="AL142" s="124">
        <f t="shared" si="28"/>
        <v>-9586056.7155613229</v>
      </c>
      <c r="AM142" s="124">
        <f t="shared" si="28"/>
        <v>-9586056.7155613229</v>
      </c>
      <c r="AN142" s="124">
        <f t="shared" si="28"/>
        <v>-9586056.7155613229</v>
      </c>
      <c r="AO142" s="124">
        <f t="shared" si="28"/>
        <v>-9586056.7155613229</v>
      </c>
      <c r="AP142" s="124">
        <f t="shared" si="28"/>
        <v>-9586056.7155613229</v>
      </c>
      <c r="AQ142" s="124">
        <f t="shared" si="28"/>
        <v>-9586056.7155613229</v>
      </c>
      <c r="AR142" s="124">
        <f t="shared" si="28"/>
        <v>-9586056.7155613229</v>
      </c>
    </row>
    <row r="143" spans="1:45" x14ac:dyDescent="0.2">
      <c r="B143" s="5" t="s">
        <v>350</v>
      </c>
      <c r="C143" s="195"/>
      <c r="D143" s="196"/>
      <c r="E143" s="197">
        <f>IF(E108&gt;$C$92,"",(-$C$89*(E135+$C$5*E114)+E128+$C$5*E114)/-E133)</f>
        <v>1.3786698982734162</v>
      </c>
      <c r="F143" s="197">
        <f>IF(F108&gt;$C$92,"",(-$C$89*(F135+$C$5*F114)+F128+$C$5*F114)/-F133)</f>
        <v>1.3639603016981154</v>
      </c>
      <c r="G143" s="197">
        <f>IF(G108&gt;$C$92,"",(-$C$89*(G135+$C$5*G114)+G128+$C$5*G114)/-G133)</f>
        <v>1.3488327847819144</v>
      </c>
      <c r="H143" s="197">
        <f>IF(H108&gt;$C$92,"",(-$C$89*(H135+$C$5*H114)+H128+$C$5*H114)/-H133)</f>
        <v>1.3332731120185499</v>
      </c>
      <c r="I143" s="197">
        <f t="shared" ref="I143:AR143" si="29">IF(I108&gt;$C$92,"",(-$C$89*(I135+$C$5*I114)+I128+$C$5*I114)/-I133)</f>
        <v>1.3172664840294086</v>
      </c>
      <c r="J143" s="197">
        <f t="shared" si="29"/>
        <v>1.300797513025876</v>
      </c>
      <c r="K143" s="197">
        <f t="shared" si="29"/>
        <v>1.2838501971510701</v>
      </c>
      <c r="L143" s="197">
        <f t="shared" si="29"/>
        <v>1.2664078936486332</v>
      </c>
      <c r="M143" s="197">
        <f t="shared" si="29"/>
        <v>1.2484532908037813</v>
      </c>
      <c r="N143" s="197">
        <f t="shared" si="29"/>
        <v>1.229968378599229</v>
      </c>
      <c r="O143" s="197">
        <f t="shared" si="29"/>
        <v>1.2109344180258987</v>
      </c>
      <c r="P143" s="197">
        <f t="shared" si="29"/>
        <v>1.1913319089854928</v>
      </c>
      <c r="Q143" s="197">
        <f t="shared" si="29"/>
        <v>1.1711405567190278</v>
      </c>
      <c r="R143" s="197">
        <f t="shared" si="29"/>
        <v>1.1503392366923337</v>
      </c>
      <c r="S143" s="197">
        <f t="shared" si="29"/>
        <v>1.1289059578662475</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-3509661.5414236379</v>
      </c>
    </row>
    <row r="147" spans="2:45" x14ac:dyDescent="0.2">
      <c r="B147" s="79" t="s">
        <v>354</v>
      </c>
      <c r="C147" s="216" t="str">
        <f>$C$9</f>
        <v>kWh</v>
      </c>
      <c r="D147" s="126">
        <f>(1-$C$89)*NPV($C$86,E141:AR141)</f>
        <v>115025094.00760499</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1.2616087954879331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-3.5518301837744515E-2</v>
      </c>
      <c r="E151" s="131"/>
      <c r="F151" s="128"/>
      <c r="G151" s="112"/>
    </row>
    <row r="152" spans="2:45" x14ac:dyDescent="0.2">
      <c r="B152" s="79" t="s">
        <v>359</v>
      </c>
      <c r="C152" s="80"/>
      <c r="D152" s="132">
        <f>IFERROR(IRR(D140:AR140),"n.v.t.")</f>
        <v>-6.7762260795964036E-2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3575</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IFERROR(ROUND(INDEX(Correctiebedragen!$A$1:$K$256,MATCH('13'!C16,Correctiebedragen!$A$1:$A$256,0),8),decimalen),"n.v.t.")</f>
        <v>n.v.t.</v>
      </c>
    </row>
    <row r="162" spans="2:20" customFormat="1" ht="15" x14ac:dyDescent="0.25">
      <c r="B162" s="248" t="s">
        <v>367</v>
      </c>
      <c r="C162" s="250" t="str">
        <f>IFERROR(ROUND(INDEX(Correctiebedragen!$A$1:$K$256,MATCH('13'!C17,Correctiebedragen!$A$1:$A$256,0),8),decimalen),"n.v.t.")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IFERROR(ROUND(INDEX(Correctiebedragen!$A$1:$K$256,MATCH('13'!C16,Correctiebedragen!$A$1:$A$256,0),4),decimalen),"n.v.t.")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IFERROR(ROUND(INDEX(Correctiebedragen!$A$1:$K$256,MATCH('13'!C17,Correctiebedragen!$A$1:$A$256,0),4),decimalen),"n.v.t.")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IFERROR(ROUND(INDEX(Correctiebedragen!$A$1:$K$256,MATCH('13'!C16,Correctiebedragen!$A$1:$A$256,0),6),decimalen),"n.v.t.")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IFERROR(ROUND(INDEX(Correctiebedragen!$A$1:$K$256,MATCH('13'!C17,Correctiebedragen!$A$1:$A$256,0),6),decimalen),"n.v.t.")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241312500</v>
      </c>
      <c r="E174" s="28"/>
    </row>
    <row r="175" spans="2:20" customFormat="1" ht="26.25" x14ac:dyDescent="0.25">
      <c r="B175" s="256" t="s">
        <v>370</v>
      </c>
      <c r="C175" s="271">
        <f>IF(C95=0,SUM(E114:INDEX(E114:AR114,1,C91)),SUM(E114:INDEX(E114:AR114,1,C95)))</f>
        <v>321750000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34" priority="5" operator="containsText" text="Pas op">
      <formula>NOT(ISERROR(SEARCH("Pas op",G1)))</formula>
    </cfRule>
  </conditionalFormatting>
  <conditionalFormatting sqref="G186">
    <cfRule type="containsText" dxfId="33" priority="4" operator="containsText" text="Pas op">
      <formula>NOT(ISERROR(SEARCH("Pas op",G186)))</formula>
    </cfRule>
  </conditionalFormatting>
  <conditionalFormatting sqref="G162 G165 G169:G170">
    <cfRule type="containsText" dxfId="32" priority="3" operator="containsText" text="Pas op">
      <formula>NOT(ISERROR(SEARCH("Pas op",G162)))</formula>
    </cfRule>
  </conditionalFormatting>
  <conditionalFormatting sqref="G100">
    <cfRule type="containsText" dxfId="31" priority="2" operator="containsText" text="Pas op">
      <formula>NOT(ISERROR(SEARCH("Pas op",G100)))</formula>
    </cfRule>
  </conditionalFormatting>
  <conditionalFormatting sqref="G166:G168">
    <cfRule type="containsText" dxfId="30" priority="1" operator="containsText" text="Pas op">
      <formula>NOT(ISERROR(SEARCH("Pas op",G166)))</formula>
    </cfRule>
  </conditionalFormatting>
  <dataValidations disablePrompts="1"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731237B3-BF83-46DC-868B-ADF5E0E82BC9}">
      <formula1>"ja,nee"</formula1>
    </dataValidation>
    <dataValidation type="list" allowBlank="1" showInputMessage="1" showErrorMessage="1" sqref="C9" xr:uid="{7E5EFA29-4B79-4D20-91FB-3EDB8CFBD2D2}">
      <formula1>INDIRECT("lst_productie_eenheid")</formula1>
    </dataValidation>
    <dataValidation type="list" allowBlank="1" showInputMessage="1" showErrorMessage="1" sqref="C10" xr:uid="{7C0ACD0E-CA77-4365-950E-F5D6B63E3753}">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5263F676-EF3D-4402-BF34-D081275E43F4}">
          <x14:formula1>
            <xm:f>Colofon!$A$51:$A$56</xm:f>
          </x14:formula1>
          <xm:sqref>C11</xm:sqref>
        </x14:dataValidation>
        <x14:dataValidation type="list" allowBlank="1" showInputMessage="1" showErrorMessage="1" xr:uid="{527E645E-9486-4514-993A-968C40913C5D}">
          <x14:formula1>
            <xm:f>'ETS correctie methodes'!$B$4:$B$14</xm:f>
          </x14:formula1>
          <xm:sqref>C13</xm:sqref>
        </x14:dataValidation>
        <x14:dataValidation type="list" allowBlank="1" showInputMessage="1" showErrorMessage="1" xr:uid="{3AC01C24-A274-48A0-9CB8-ADD88C0FEDAC}">
          <x14:formula1>
            <xm:f>Correctiebedragen!$A$3:$A$7</xm:f>
          </x14:formula1>
          <xm:sqref>C16:C17 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13024-E995-4D1C-A063-B89D5B910B8B}">
  <sheetPr codeName="Sheet107">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383</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5.2999999999999999E-2</v>
      </c>
      <c r="D5" s="113" t="str">
        <f>CONCATENATE("Euro/",$C$9)</f>
        <v>Euro/kWh</v>
      </c>
      <c r="E5" s="424"/>
      <c r="F5" s="425"/>
      <c r="G5" s="425"/>
      <c r="H5" s="425"/>
      <c r="I5" s="425"/>
      <c r="J5" s="425"/>
      <c r="K5" s="425"/>
      <c r="L5" s="425"/>
      <c r="M5" s="426"/>
      <c r="N5" s="26"/>
    </row>
    <row r="6" spans="1:14" x14ac:dyDescent="0.2">
      <c r="B6" s="4" t="s">
        <v>203</v>
      </c>
      <c r="C6" s="114">
        <f>ROUND((C5-C7)/C8*1000,0)</f>
        <v>-82</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"&amp;IFERROR(INDEX(Correctiebedragen!$A$1:$M$256,MATCH('14'!C12,Correctiebedragen!$A$1:$A$256,0),9),"")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IFERROR(INDEX(Correctiebedragen!$A$1:$M$256,MATCH('14'!C16,Correctiebedragen!$A$1:$A$256,0),9),"")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IFERROR(INDEX(Correctiebedragen!$A$1:$M$256,MATCH('14'!C17,Correctiebedragen!$A$1:$A$256,0),9),"")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3450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3450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15525000</v>
      </c>
      <c r="F111" s="78">
        <f t="shared" ref="F111:AR111" si="2">IF(F108&lt;=$C$94,$C$37*$C$39,IF(AND(F108&gt;$C$94,F108&lt;=$C$91),$C$37*$C$77,0))*IF($C$41=0,1,$C$42/$C$41)</f>
        <v>15525000</v>
      </c>
      <c r="G111" s="78">
        <f t="shared" si="2"/>
        <v>15525000</v>
      </c>
      <c r="H111" s="78">
        <f t="shared" si="2"/>
        <v>15525000</v>
      </c>
      <c r="I111" s="78">
        <f t="shared" si="2"/>
        <v>15525000</v>
      </c>
      <c r="J111" s="78">
        <f t="shared" si="2"/>
        <v>15525000</v>
      </c>
      <c r="K111" s="78">
        <f t="shared" si="2"/>
        <v>15525000</v>
      </c>
      <c r="L111" s="78">
        <f t="shared" si="2"/>
        <v>15525000</v>
      </c>
      <c r="M111" s="78">
        <f t="shared" si="2"/>
        <v>15525000</v>
      </c>
      <c r="N111" s="78">
        <f t="shared" si="2"/>
        <v>15525000</v>
      </c>
      <c r="O111" s="78">
        <f t="shared" si="2"/>
        <v>15525000</v>
      </c>
      <c r="P111" s="78">
        <f t="shared" si="2"/>
        <v>15525000</v>
      </c>
      <c r="Q111" s="78">
        <f t="shared" si="2"/>
        <v>15525000</v>
      </c>
      <c r="R111" s="78">
        <f t="shared" si="2"/>
        <v>15525000</v>
      </c>
      <c r="S111" s="78">
        <f t="shared" si="2"/>
        <v>15525000</v>
      </c>
      <c r="T111" s="78">
        <f t="shared" si="2"/>
        <v>15525000</v>
      </c>
      <c r="U111" s="78">
        <f t="shared" si="2"/>
        <v>15525000</v>
      </c>
      <c r="V111" s="78">
        <f t="shared" si="2"/>
        <v>15525000</v>
      </c>
      <c r="W111" s="78">
        <f t="shared" si="2"/>
        <v>15525000</v>
      </c>
      <c r="X111" s="78">
        <f t="shared" si="2"/>
        <v>15525000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15525000</v>
      </c>
      <c r="F114" s="84">
        <f t="shared" ref="F114:AR114" si="5">SUM(F111:F113)</f>
        <v>15525000</v>
      </c>
      <c r="G114" s="84">
        <f t="shared" si="5"/>
        <v>15525000</v>
      </c>
      <c r="H114" s="84">
        <f t="shared" si="5"/>
        <v>15525000</v>
      </c>
      <c r="I114" s="84">
        <f t="shared" si="5"/>
        <v>15525000</v>
      </c>
      <c r="J114" s="84">
        <f t="shared" si="5"/>
        <v>15525000</v>
      </c>
      <c r="K114" s="84">
        <f t="shared" si="5"/>
        <v>15525000</v>
      </c>
      <c r="L114" s="84">
        <f t="shared" si="5"/>
        <v>15525000</v>
      </c>
      <c r="M114" s="84">
        <f t="shared" si="5"/>
        <v>15525000</v>
      </c>
      <c r="N114" s="84">
        <f t="shared" si="5"/>
        <v>15525000</v>
      </c>
      <c r="O114" s="84">
        <f t="shared" si="5"/>
        <v>15525000</v>
      </c>
      <c r="P114" s="84">
        <f t="shared" si="5"/>
        <v>15525000</v>
      </c>
      <c r="Q114" s="84">
        <f t="shared" si="5"/>
        <v>15525000</v>
      </c>
      <c r="R114" s="84">
        <f t="shared" si="5"/>
        <v>15525000</v>
      </c>
      <c r="S114" s="84">
        <f t="shared" si="5"/>
        <v>15525000</v>
      </c>
      <c r="T114" s="84">
        <f t="shared" si="5"/>
        <v>15525000</v>
      </c>
      <c r="U114" s="84">
        <f t="shared" si="5"/>
        <v>15525000</v>
      </c>
      <c r="V114" s="84">
        <f t="shared" si="5"/>
        <v>15525000</v>
      </c>
      <c r="W114" s="84">
        <f t="shared" si="5"/>
        <v>15525000</v>
      </c>
      <c r="X114" s="84">
        <f t="shared" si="5"/>
        <v>15525000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-262102.5</v>
      </c>
      <c r="F116" s="78">
        <f t="shared" si="6"/>
        <v>-267344.55</v>
      </c>
      <c r="G116" s="78">
        <f t="shared" si="6"/>
        <v>-272691.44099999999</v>
      </c>
      <c r="H116" s="78">
        <f t="shared" si="6"/>
        <v>-278145.26981999999</v>
      </c>
      <c r="I116" s="78">
        <f t="shared" si="6"/>
        <v>-283708.17521640001</v>
      </c>
      <c r="J116" s="78">
        <f t="shared" si="6"/>
        <v>-289382.338720728</v>
      </c>
      <c r="K116" s="78">
        <f t="shared" si="6"/>
        <v>-295169.98549514258</v>
      </c>
      <c r="L116" s="78">
        <f t="shared" si="6"/>
        <v>-301073.38520504534</v>
      </c>
      <c r="M116" s="78">
        <f t="shared" si="6"/>
        <v>-307094.85290914628</v>
      </c>
      <c r="N116" s="78">
        <f t="shared" si="6"/>
        <v>-313236.7499673292</v>
      </c>
      <c r="O116" s="78">
        <f t="shared" si="6"/>
        <v>-319501.48496667581</v>
      </c>
      <c r="P116" s="78">
        <f t="shared" si="6"/>
        <v>-325891.51466600929</v>
      </c>
      <c r="Q116" s="78">
        <f t="shared" si="6"/>
        <v>-332409.34495932952</v>
      </c>
      <c r="R116" s="78">
        <f t="shared" si="6"/>
        <v>-339057.5318585161</v>
      </c>
      <c r="S116" s="78">
        <f t="shared" si="6"/>
        <v>-345838.68249568646</v>
      </c>
      <c r="T116" s="78">
        <f t="shared" si="6"/>
        <v>-352755.45614560007</v>
      </c>
      <c r="U116" s="78">
        <f t="shared" si="6"/>
        <v>-359810.56526851212</v>
      </c>
      <c r="V116" s="78">
        <f t="shared" si="6"/>
        <v>-367006.77657388244</v>
      </c>
      <c r="W116" s="78">
        <f t="shared" si="6"/>
        <v>-374346.91210536001</v>
      </c>
      <c r="X116" s="78">
        <f t="shared" si="6"/>
        <v>-381833.85034746723</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1523216.7739359455</v>
      </c>
      <c r="U123" s="81">
        <f t="shared" si="13"/>
        <v>1553681.1094146648</v>
      </c>
      <c r="V123" s="81">
        <f t="shared" si="13"/>
        <v>1584754.7316029582</v>
      </c>
      <c r="W123" s="81">
        <f t="shared" si="13"/>
        <v>1616449.8262350173</v>
      </c>
      <c r="X123" s="81">
        <f t="shared" si="13"/>
        <v>1648778.8227597177</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1523216.7739359455</v>
      </c>
      <c r="U126" s="78">
        <f t="shared" si="15"/>
        <v>1553681.1094146648</v>
      </c>
      <c r="V126" s="78">
        <f t="shared" si="15"/>
        <v>1584754.7316029582</v>
      </c>
      <c r="W126" s="78">
        <f t="shared" si="15"/>
        <v>1616449.8262350173</v>
      </c>
      <c r="X126" s="78">
        <f t="shared" si="15"/>
        <v>1648778.8227597177</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-262102.5</v>
      </c>
      <c r="F127" s="81">
        <f t="shared" si="16"/>
        <v>-267344.55</v>
      </c>
      <c r="G127" s="81">
        <f t="shared" si="16"/>
        <v>-272691.44099999999</v>
      </c>
      <c r="H127" s="81">
        <f t="shared" si="16"/>
        <v>-278145.26981999999</v>
      </c>
      <c r="I127" s="81">
        <f t="shared" si="16"/>
        <v>-283708.17521640001</v>
      </c>
      <c r="J127" s="81">
        <f t="shared" si="16"/>
        <v>-289382.338720728</v>
      </c>
      <c r="K127" s="81">
        <f t="shared" si="16"/>
        <v>-295169.98549514258</v>
      </c>
      <c r="L127" s="81">
        <f t="shared" si="16"/>
        <v>-301073.38520504534</v>
      </c>
      <c r="M127" s="81">
        <f t="shared" si="16"/>
        <v>-307094.85290914628</v>
      </c>
      <c r="N127" s="81">
        <f t="shared" si="16"/>
        <v>-313236.7499673292</v>
      </c>
      <c r="O127" s="81">
        <f t="shared" si="16"/>
        <v>-319501.48496667581</v>
      </c>
      <c r="P127" s="81">
        <f t="shared" si="16"/>
        <v>-325891.51466600929</v>
      </c>
      <c r="Q127" s="81">
        <f t="shared" si="16"/>
        <v>-332409.34495932952</v>
      </c>
      <c r="R127" s="81">
        <f t="shared" si="16"/>
        <v>-339057.5318585161</v>
      </c>
      <c r="S127" s="81">
        <f t="shared" si="16"/>
        <v>-345838.68249568646</v>
      </c>
      <c r="T127" s="81">
        <f t="shared" si="16"/>
        <v>-352755.45614560007</v>
      </c>
      <c r="U127" s="81">
        <f t="shared" si="16"/>
        <v>-359810.56526851212</v>
      </c>
      <c r="V127" s="81">
        <f t="shared" si="16"/>
        <v>-367006.77657388244</v>
      </c>
      <c r="W127" s="81">
        <f t="shared" si="16"/>
        <v>-374346.91210536001</v>
      </c>
      <c r="X127" s="81">
        <f t="shared" si="16"/>
        <v>-381833.85034746723</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-262102.5</v>
      </c>
      <c r="F128" s="90">
        <f t="shared" ref="F128:AR128" si="17">SUM(F126:F127)</f>
        <v>-267344.55</v>
      </c>
      <c r="G128" s="90">
        <f t="shared" si="17"/>
        <v>-272691.44099999999</v>
      </c>
      <c r="H128" s="90">
        <f t="shared" si="17"/>
        <v>-278145.26981999999</v>
      </c>
      <c r="I128" s="90">
        <f t="shared" si="17"/>
        <v>-283708.17521640001</v>
      </c>
      <c r="J128" s="90">
        <f t="shared" si="17"/>
        <v>-289382.338720728</v>
      </c>
      <c r="K128" s="90">
        <f t="shared" si="17"/>
        <v>-295169.98549514258</v>
      </c>
      <c r="L128" s="90">
        <f t="shared" si="17"/>
        <v>-301073.38520504534</v>
      </c>
      <c r="M128" s="90">
        <f t="shared" si="17"/>
        <v>-307094.85290914628</v>
      </c>
      <c r="N128" s="90">
        <f t="shared" si="17"/>
        <v>-313236.7499673292</v>
      </c>
      <c r="O128" s="90">
        <f t="shared" si="17"/>
        <v>-319501.48496667581</v>
      </c>
      <c r="P128" s="90">
        <f t="shared" si="17"/>
        <v>-325891.51466600929</v>
      </c>
      <c r="Q128" s="90">
        <f t="shared" si="17"/>
        <v>-332409.34495932952</v>
      </c>
      <c r="R128" s="90">
        <f t="shared" si="17"/>
        <v>-339057.5318585161</v>
      </c>
      <c r="S128" s="90">
        <f t="shared" si="17"/>
        <v>-345838.68249568646</v>
      </c>
      <c r="T128" s="90">
        <f t="shared" si="17"/>
        <v>1170461.3177903453</v>
      </c>
      <c r="U128" s="90">
        <f t="shared" si="17"/>
        <v>1193870.5441461527</v>
      </c>
      <c r="V128" s="90">
        <f t="shared" si="17"/>
        <v>1217747.9550290757</v>
      </c>
      <c r="W128" s="90">
        <f t="shared" si="17"/>
        <v>1242102.9141296572</v>
      </c>
      <c r="X128" s="90">
        <f t="shared" si="17"/>
        <v>1266944.9724122505</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-938042.10843749996</v>
      </c>
      <c r="F135" s="95">
        <f t="shared" ref="F135:AR135" si="22">F128+F130+F131</f>
        <v>-933180.90828294633</v>
      </c>
      <c r="G135" s="95">
        <f t="shared" si="22"/>
        <v>-927944.64474605117</v>
      </c>
      <c r="H135" s="95">
        <f t="shared" si="22"/>
        <v>-922312.61918865365</v>
      </c>
      <c r="I135" s="95">
        <f t="shared" si="22"/>
        <v>-916263.09212472977</v>
      </c>
      <c r="J135" s="95">
        <f t="shared" si="22"/>
        <v>-909773.2326268683</v>
      </c>
      <c r="K135" s="95">
        <f t="shared" si="22"/>
        <v>-902819.06530648959</v>
      </c>
      <c r="L135" s="95">
        <f t="shared" si="22"/>
        <v>-895375.4147520964</v>
      </c>
      <c r="M135" s="95">
        <f t="shared" si="22"/>
        <v>-887415.84730434732</v>
      </c>
      <c r="N135" s="95">
        <f t="shared" si="22"/>
        <v>-878912.61004096724</v>
      </c>
      <c r="O135" s="95">
        <f t="shared" si="22"/>
        <v>-869836.56683847657</v>
      </c>
      <c r="P135" s="95">
        <f t="shared" si="22"/>
        <v>-860157.13137138565</v>
      </c>
      <c r="Q135" s="95">
        <f t="shared" si="22"/>
        <v>-849842.19690287637</v>
      </c>
      <c r="R135" s="95">
        <f t="shared" si="22"/>
        <v>-838858.06271404633</v>
      </c>
      <c r="S135" s="95">
        <f t="shared" si="22"/>
        <v>-827169.35701151937</v>
      </c>
      <c r="T135" s="95">
        <f t="shared" si="22"/>
        <v>1170461.3177903453</v>
      </c>
      <c r="U135" s="95">
        <f t="shared" si="22"/>
        <v>1193870.5441461527</v>
      </c>
      <c r="V135" s="95">
        <f t="shared" si="22"/>
        <v>1217747.9550290757</v>
      </c>
      <c r="W135" s="95">
        <f t="shared" si="22"/>
        <v>1242102.9141296572</v>
      </c>
      <c r="X135" s="95">
        <f t="shared" si="22"/>
        <v>1266944.9724122505</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178228.00060312499</v>
      </c>
      <c r="F136" s="97">
        <f t="shared" si="23"/>
        <v>177304.37257375981</v>
      </c>
      <c r="G136" s="97">
        <f t="shared" si="23"/>
        <v>176309.48250174974</v>
      </c>
      <c r="H136" s="97">
        <f t="shared" si="23"/>
        <v>175239.3976458442</v>
      </c>
      <c r="I136" s="97">
        <f t="shared" si="23"/>
        <v>174089.98750369865</v>
      </c>
      <c r="J136" s="97">
        <f t="shared" si="23"/>
        <v>172856.91419910497</v>
      </c>
      <c r="K136" s="97">
        <f t="shared" si="23"/>
        <v>171535.62240823303</v>
      </c>
      <c r="L136" s="97">
        <f t="shared" si="23"/>
        <v>170121.32880289832</v>
      </c>
      <c r="M136" s="97">
        <f t="shared" si="23"/>
        <v>168609.01098782598</v>
      </c>
      <c r="N136" s="97">
        <f t="shared" si="23"/>
        <v>166993.39590778376</v>
      </c>
      <c r="O136" s="97">
        <f t="shared" si="23"/>
        <v>165268.94769931055</v>
      </c>
      <c r="P136" s="97">
        <f t="shared" si="23"/>
        <v>163429.85496056327</v>
      </c>
      <c r="Q136" s="97">
        <f t="shared" si="23"/>
        <v>161470.01741154652</v>
      </c>
      <c r="R136" s="97">
        <f t="shared" si="23"/>
        <v>159383.03191566881</v>
      </c>
      <c r="S136" s="97">
        <f t="shared" si="23"/>
        <v>157162.1778321887</v>
      </c>
      <c r="T136" s="97">
        <f t="shared" si="23"/>
        <v>-222387.65038016561</v>
      </c>
      <c r="U136" s="97">
        <f t="shared" si="23"/>
        <v>-226835.40338776901</v>
      </c>
      <c r="V136" s="97">
        <f t="shared" si="23"/>
        <v>-231372.1114555244</v>
      </c>
      <c r="W136" s="97">
        <f t="shared" si="23"/>
        <v>-235999.55368463488</v>
      </c>
      <c r="X136" s="97">
        <f t="shared" si="23"/>
        <v>-240719.5447583276</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-510530.61108813807</v>
      </c>
      <c r="F138" s="101">
        <f t="shared" si="24"/>
        <v>-516696.28911750304</v>
      </c>
      <c r="G138" s="101">
        <f t="shared" si="24"/>
        <v>-523038.07018951315</v>
      </c>
      <c r="H138" s="101">
        <f t="shared" si="24"/>
        <v>-529561.9838654187</v>
      </c>
      <c r="I138" s="101">
        <f t="shared" si="24"/>
        <v>-536274.29940396419</v>
      </c>
      <c r="J138" s="101">
        <f t="shared" si="24"/>
        <v>-543181.53621288599</v>
      </c>
      <c r="K138" s="101">
        <f t="shared" si="24"/>
        <v>-550290.47477817244</v>
      </c>
      <c r="L138" s="101">
        <f t="shared" si="24"/>
        <v>-557608.16809340997</v>
      </c>
      <c r="M138" s="101">
        <f t="shared" si="24"/>
        <v>-565141.95361258322</v>
      </c>
      <c r="N138" s="101">
        <f t="shared" si="24"/>
        <v>-572899.46575080848</v>
      </c>
      <c r="O138" s="101">
        <f t="shared" si="24"/>
        <v>-580888.6489586283</v>
      </c>
      <c r="P138" s="101">
        <f t="shared" si="24"/>
        <v>-589117.77139670902</v>
      </c>
      <c r="Q138" s="101">
        <f t="shared" si="24"/>
        <v>-597595.43923904595</v>
      </c>
      <c r="R138" s="101">
        <f t="shared" si="24"/>
        <v>-606330.61163411033</v>
      </c>
      <c r="S138" s="101">
        <f t="shared" si="24"/>
        <v>-615332.61635476071</v>
      </c>
      <c r="T138" s="101">
        <f t="shared" si="24"/>
        <v>948073.66741017974</v>
      </c>
      <c r="U138" s="101">
        <f t="shared" si="24"/>
        <v>967035.14075838367</v>
      </c>
      <c r="V138" s="101">
        <f t="shared" si="24"/>
        <v>986375.84357355139</v>
      </c>
      <c r="W138" s="101">
        <f t="shared" si="24"/>
        <v>1006103.3604450224</v>
      </c>
      <c r="X138" s="101">
        <f t="shared" si="24"/>
        <v>1026225.4276539229</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-83874.499396875006</v>
      </c>
      <c r="F139" s="106">
        <f t="shared" ref="F139:AR139" si="25">F128+F136</f>
        <v>-90040.177426240174</v>
      </c>
      <c r="G139" s="106">
        <f t="shared" si="25"/>
        <v>-96381.958498250257</v>
      </c>
      <c r="H139" s="106">
        <f t="shared" si="25"/>
        <v>-102905.87217415578</v>
      </c>
      <c r="I139" s="106">
        <f t="shared" si="25"/>
        <v>-109618.18771270136</v>
      </c>
      <c r="J139" s="106">
        <f t="shared" si="25"/>
        <v>-116525.42452162303</v>
      </c>
      <c r="K139" s="106">
        <f t="shared" si="25"/>
        <v>-123634.36308690955</v>
      </c>
      <c r="L139" s="106">
        <f t="shared" si="25"/>
        <v>-130952.05640214702</v>
      </c>
      <c r="M139" s="106">
        <f t="shared" si="25"/>
        <v>-138485.8419213203</v>
      </c>
      <c r="N139" s="106">
        <f t="shared" si="25"/>
        <v>-146243.35405954544</v>
      </c>
      <c r="O139" s="106">
        <f t="shared" si="25"/>
        <v>-154232.53726736526</v>
      </c>
      <c r="P139" s="106">
        <f t="shared" si="25"/>
        <v>-162461.65970544601</v>
      </c>
      <c r="Q139" s="106">
        <f t="shared" si="25"/>
        <v>-170939.327547783</v>
      </c>
      <c r="R139" s="106">
        <f t="shared" si="25"/>
        <v>-179674.49994284729</v>
      </c>
      <c r="S139" s="106">
        <f t="shared" si="25"/>
        <v>-188676.50466349776</v>
      </c>
      <c r="T139" s="106">
        <f t="shared" si="25"/>
        <v>948073.66741017974</v>
      </c>
      <c r="U139" s="106">
        <f t="shared" si="25"/>
        <v>967035.14075838367</v>
      </c>
      <c r="V139" s="106">
        <f t="shared" si="25"/>
        <v>986375.84357355139</v>
      </c>
      <c r="W139" s="106">
        <f t="shared" si="25"/>
        <v>1006103.3604450224</v>
      </c>
      <c r="X139" s="106">
        <f t="shared" si="25"/>
        <v>1026225.4276539229</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-510530.61108813807</v>
      </c>
      <c r="F140" s="106">
        <f t="shared" ref="F140:AR140" si="26">F138</f>
        <v>-516696.28911750304</v>
      </c>
      <c r="G140" s="106">
        <f t="shared" si="26"/>
        <v>-523038.07018951315</v>
      </c>
      <c r="H140" s="106">
        <f t="shared" si="26"/>
        <v>-529561.9838654187</v>
      </c>
      <c r="I140" s="106">
        <f t="shared" si="26"/>
        <v>-536274.29940396419</v>
      </c>
      <c r="J140" s="106">
        <f t="shared" si="26"/>
        <v>-543181.53621288599</v>
      </c>
      <c r="K140" s="106">
        <f t="shared" si="26"/>
        <v>-550290.47477817244</v>
      </c>
      <c r="L140" s="106">
        <f t="shared" si="26"/>
        <v>-557608.16809340997</v>
      </c>
      <c r="M140" s="106">
        <f t="shared" si="26"/>
        <v>-565141.95361258322</v>
      </c>
      <c r="N140" s="106">
        <f t="shared" si="26"/>
        <v>-572899.46575080848</v>
      </c>
      <c r="O140" s="106">
        <f t="shared" si="26"/>
        <v>-580888.6489586283</v>
      </c>
      <c r="P140" s="106">
        <f t="shared" si="26"/>
        <v>-589117.77139670902</v>
      </c>
      <c r="Q140" s="106">
        <f t="shared" si="26"/>
        <v>-597595.43923904595</v>
      </c>
      <c r="R140" s="106">
        <f t="shared" si="26"/>
        <v>-606330.61163411033</v>
      </c>
      <c r="S140" s="106">
        <f t="shared" si="26"/>
        <v>-615332.61635476071</v>
      </c>
      <c r="T140" s="106">
        <f t="shared" si="26"/>
        <v>948073.66741017974</v>
      </c>
      <c r="U140" s="106">
        <f t="shared" si="26"/>
        <v>967035.14075838367</v>
      </c>
      <c r="V140" s="106">
        <f t="shared" si="26"/>
        <v>986375.84357355139</v>
      </c>
      <c r="W140" s="106">
        <f t="shared" si="26"/>
        <v>1006103.3604450224</v>
      </c>
      <c r="X140" s="106">
        <f t="shared" si="26"/>
        <v>1026225.4276539229</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15525000</v>
      </c>
      <c r="F141" s="108">
        <f t="shared" si="27"/>
        <v>15525000</v>
      </c>
      <c r="G141" s="108">
        <f t="shared" si="27"/>
        <v>15525000</v>
      </c>
      <c r="H141" s="108">
        <f t="shared" si="27"/>
        <v>15525000</v>
      </c>
      <c r="I141" s="108">
        <f t="shared" si="27"/>
        <v>15525000</v>
      </c>
      <c r="J141" s="108">
        <f t="shared" si="27"/>
        <v>15525000</v>
      </c>
      <c r="K141" s="108">
        <f t="shared" si="27"/>
        <v>15525000</v>
      </c>
      <c r="L141" s="108">
        <f t="shared" si="27"/>
        <v>15525000</v>
      </c>
      <c r="M141" s="108">
        <f t="shared" si="27"/>
        <v>15525000</v>
      </c>
      <c r="N141" s="108">
        <f t="shared" si="27"/>
        <v>15525000</v>
      </c>
      <c r="O141" s="108">
        <f t="shared" si="27"/>
        <v>15525000</v>
      </c>
      <c r="P141" s="108">
        <f t="shared" si="27"/>
        <v>15525000</v>
      </c>
      <c r="Q141" s="108">
        <f t="shared" si="27"/>
        <v>15525000</v>
      </c>
      <c r="R141" s="108">
        <f t="shared" si="27"/>
        <v>15525000</v>
      </c>
      <c r="S141" s="108">
        <f t="shared" si="27"/>
        <v>15525000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6582986.1084375</v>
      </c>
      <c r="F142" s="124">
        <f t="shared" ref="F142:AR142" si="28">E142-($C$5*F114+F128+F131)</f>
        <v>6231358.5167204458</v>
      </c>
      <c r="G142" s="124">
        <f t="shared" si="28"/>
        <v>5874494.661466497</v>
      </c>
      <c r="H142" s="124">
        <f t="shared" si="28"/>
        <v>5511998.7806551503</v>
      </c>
      <c r="I142" s="124">
        <f t="shared" si="28"/>
        <v>5143453.3727798797</v>
      </c>
      <c r="J142" s="124">
        <f t="shared" si="28"/>
        <v>4768418.1054067481</v>
      </c>
      <c r="K142" s="124">
        <f t="shared" si="28"/>
        <v>4386428.6707132375</v>
      </c>
      <c r="L142" s="124">
        <f t="shared" si="28"/>
        <v>3996995.5854653339</v>
      </c>
      <c r="M142" s="124">
        <f t="shared" si="28"/>
        <v>3599602.9327696813</v>
      </c>
      <c r="N142" s="124">
        <f t="shared" si="28"/>
        <v>3193707.0428106487</v>
      </c>
      <c r="O142" s="124">
        <f t="shared" si="28"/>
        <v>2778735.1096491255</v>
      </c>
      <c r="P142" s="124">
        <f t="shared" si="28"/>
        <v>2354083.7410205109</v>
      </c>
      <c r="Q142" s="124">
        <f t="shared" si="28"/>
        <v>1919117.4379233872</v>
      </c>
      <c r="R142" s="124">
        <f t="shared" si="28"/>
        <v>1473167.0006374335</v>
      </c>
      <c r="S142" s="124">
        <f t="shared" si="28"/>
        <v>1015527.8576489529</v>
      </c>
      <c r="T142" s="124">
        <f t="shared" si="28"/>
        <v>-977758.46014139242</v>
      </c>
      <c r="U142" s="124">
        <f t="shared" si="28"/>
        <v>-2994454.0042875451</v>
      </c>
      <c r="V142" s="124">
        <f t="shared" si="28"/>
        <v>-5035026.9593166206</v>
      </c>
      <c r="W142" s="124">
        <f t="shared" si="28"/>
        <v>-7099954.8734462783</v>
      </c>
      <c r="X142" s="124">
        <f t="shared" si="28"/>
        <v>-9189724.8458585292</v>
      </c>
      <c r="Y142" s="124">
        <f t="shared" si="28"/>
        <v>-9189724.8458585292</v>
      </c>
      <c r="Z142" s="124">
        <f t="shared" si="28"/>
        <v>-9189724.8458585292</v>
      </c>
      <c r="AA142" s="124">
        <f t="shared" si="28"/>
        <v>-9189724.8458585292</v>
      </c>
      <c r="AB142" s="124">
        <f t="shared" si="28"/>
        <v>-9189724.8458585292</v>
      </c>
      <c r="AC142" s="124">
        <f t="shared" si="28"/>
        <v>-9189724.8458585292</v>
      </c>
      <c r="AD142" s="124">
        <f t="shared" si="28"/>
        <v>-9189724.8458585292</v>
      </c>
      <c r="AE142" s="124">
        <f t="shared" si="28"/>
        <v>-9189724.8458585292</v>
      </c>
      <c r="AF142" s="124">
        <f t="shared" si="28"/>
        <v>-9189724.8458585292</v>
      </c>
      <c r="AG142" s="124">
        <f t="shared" si="28"/>
        <v>-9189724.8458585292</v>
      </c>
      <c r="AH142" s="124">
        <f t="shared" si="28"/>
        <v>-9189724.8458585292</v>
      </c>
      <c r="AI142" s="124">
        <f t="shared" si="28"/>
        <v>-9189724.8458585292</v>
      </c>
      <c r="AJ142" s="124">
        <f t="shared" si="28"/>
        <v>-9189724.8458585292</v>
      </c>
      <c r="AK142" s="124">
        <f t="shared" si="28"/>
        <v>-9189724.8458585292</v>
      </c>
      <c r="AL142" s="124">
        <f t="shared" si="28"/>
        <v>-9189724.8458585292</v>
      </c>
      <c r="AM142" s="124">
        <f t="shared" si="28"/>
        <v>-9189724.8458585292</v>
      </c>
      <c r="AN142" s="124">
        <f t="shared" si="28"/>
        <v>-9189724.8458585292</v>
      </c>
      <c r="AO142" s="124">
        <f t="shared" si="28"/>
        <v>-9189724.8458585292</v>
      </c>
      <c r="AP142" s="124">
        <f t="shared" si="28"/>
        <v>-9189724.8458585292</v>
      </c>
      <c r="AQ142" s="124">
        <f t="shared" si="28"/>
        <v>-9189724.8458585292</v>
      </c>
      <c r="AR142" s="124">
        <f t="shared" si="28"/>
        <v>-9189724.8458585292</v>
      </c>
    </row>
    <row r="143" spans="1:45" x14ac:dyDescent="0.2">
      <c r="B143" s="5" t="s">
        <v>350</v>
      </c>
      <c r="C143" s="195"/>
      <c r="D143" s="196"/>
      <c r="E143" s="197">
        <f>IF(E108&gt;$C$92,"",(-$C$89*(E135+$C$5*E114)+E128+$C$5*E114)/-E133)</f>
        <v>1.365534758880276</v>
      </c>
      <c r="F143" s="197">
        <f>IF(F108&gt;$C$92,"",(-$C$89*(F135+$C$5*F114)+F128+$C$5*F114)/-F133)</f>
        <v>1.3510835935027914</v>
      </c>
      <c r="G143" s="197">
        <f>IF(G108&gt;$C$92,"",(-$C$89*(G135+$C$5*G114)+G128+$C$5*G114)/-G133)</f>
        <v>1.3362196764083631</v>
      </c>
      <c r="H143" s="197">
        <f>IF(H108&gt;$C$92,"",(-$C$89*(H135+$C$5*H114)+H128+$C$5*H114)/-H133)</f>
        <v>1.3209288754632067</v>
      </c>
      <c r="I143" s="197">
        <f t="shared" ref="I143:AR143" si="29">IF(I108&gt;$C$92,"",(-$C$89*(I135+$C$5*I114)+I128+$C$5*I114)/-I133)</f>
        <v>1.3051964967286378</v>
      </c>
      <c r="J143" s="197">
        <f t="shared" si="29"/>
        <v>1.2890072599647684</v>
      </c>
      <c r="K143" s="197">
        <f t="shared" si="29"/>
        <v>1.2723452730144194</v>
      </c>
      <c r="L143" s="197">
        <f t="shared" si="29"/>
        <v>1.2551940050149284</v>
      </c>
      <c r="M143" s="197">
        <f t="shared" si="29"/>
        <v>1.2375362583830816</v>
      </c>
      <c r="N143" s="197">
        <f t="shared" si="29"/>
        <v>1.2193541395157943</v>
      </c>
      <c r="O143" s="197">
        <f t="shared" si="29"/>
        <v>1.2006290281464744</v>
      </c>
      <c r="P143" s="197">
        <f t="shared" si="29"/>
        <v>1.1813415452941594</v>
      </c>
      <c r="Q143" s="197">
        <f t="shared" si="29"/>
        <v>1.1614715197395467</v>
      </c>
      <c r="R143" s="197">
        <f t="shared" si="29"/>
        <v>1.1409979529589418</v>
      </c>
      <c r="S143" s="197">
        <f t="shared" si="29"/>
        <v>1.119898982443867</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-3507926.757793705</v>
      </c>
    </row>
    <row r="147" spans="2:45" x14ac:dyDescent="0.2">
      <c r="B147" s="79" t="s">
        <v>354</v>
      </c>
      <c r="C147" s="216" t="str">
        <f>$C$9</f>
        <v>kWh</v>
      </c>
      <c r="D147" s="126">
        <f>(1-$C$89)*NPV($C$86,E141:AR141)</f>
        <v>111003237.57377267</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1.2504492910306171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-3.7106736567070642E-2</v>
      </c>
      <c r="E151" s="131"/>
      <c r="F151" s="128"/>
      <c r="G151" s="112"/>
    </row>
    <row r="152" spans="2:45" x14ac:dyDescent="0.2">
      <c r="B152" s="79" t="s">
        <v>359</v>
      </c>
      <c r="C152" s="80"/>
      <c r="D152" s="132">
        <f>IFERROR(IRR(D140:AR140),"n.v.t.")</f>
        <v>-7.0461362022034457E-2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3450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IFERROR(ROUND(INDEX(Correctiebedragen!$A$1:$K$256,MATCH('14'!C16,Correctiebedragen!$A$1:$A$256,0),8),decimalen),"n.v.t.")</f>
        <v>n.v.t.</v>
      </c>
    </row>
    <row r="162" spans="2:20" customFormat="1" ht="15" x14ac:dyDescent="0.25">
      <c r="B162" s="248" t="s">
        <v>367</v>
      </c>
      <c r="C162" s="250" t="str">
        <f>IFERROR(ROUND(INDEX(Correctiebedragen!$A$1:$K$256,MATCH('14'!C17,Correctiebedragen!$A$1:$A$256,0),8),decimalen),"n.v.t.")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IFERROR(ROUND(INDEX(Correctiebedragen!$A$1:$K$256,MATCH('14'!C16,Correctiebedragen!$A$1:$A$256,0),4),decimalen),"n.v.t.")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IFERROR(ROUND(INDEX(Correctiebedragen!$A$1:$K$256,MATCH('14'!C17,Correctiebedragen!$A$1:$A$256,0),4),decimalen),"n.v.t.")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IFERROR(ROUND(INDEX(Correctiebedragen!$A$1:$K$256,MATCH('14'!C16,Correctiebedragen!$A$1:$A$256,0),6),decimalen),"n.v.t.")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IFERROR(ROUND(INDEX(Correctiebedragen!$A$1:$K$256,MATCH('14'!C17,Correctiebedragen!$A$1:$A$256,0),6),decimalen),"n.v.t.")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232875000</v>
      </c>
      <c r="E174" s="28"/>
    </row>
    <row r="175" spans="2:20" customFormat="1" ht="26.25" x14ac:dyDescent="0.25">
      <c r="B175" s="256" t="s">
        <v>370</v>
      </c>
      <c r="C175" s="271">
        <f>IF(C95=0,SUM(E114:INDEX(E114:AR114,1,C91)),SUM(E114:INDEX(E114:AR114,1,C95)))</f>
        <v>310500000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29" priority="5" operator="containsText" text="Pas op">
      <formula>NOT(ISERROR(SEARCH("Pas op",G1)))</formula>
    </cfRule>
  </conditionalFormatting>
  <conditionalFormatting sqref="G186">
    <cfRule type="containsText" dxfId="28" priority="4" operator="containsText" text="Pas op">
      <formula>NOT(ISERROR(SEARCH("Pas op",G186)))</formula>
    </cfRule>
  </conditionalFormatting>
  <conditionalFormatting sqref="G162 G165 G169:G170">
    <cfRule type="containsText" dxfId="27" priority="3" operator="containsText" text="Pas op">
      <formula>NOT(ISERROR(SEARCH("Pas op",G162)))</formula>
    </cfRule>
  </conditionalFormatting>
  <conditionalFormatting sqref="G100">
    <cfRule type="containsText" dxfId="26" priority="2" operator="containsText" text="Pas op">
      <formula>NOT(ISERROR(SEARCH("Pas op",G100)))</formula>
    </cfRule>
  </conditionalFormatting>
  <conditionalFormatting sqref="G166:G168">
    <cfRule type="containsText" dxfId="25" priority="1" operator="containsText" text="Pas op">
      <formula>NOT(ISERROR(SEARCH("Pas op",G166)))</formula>
    </cfRule>
  </conditionalFormatting>
  <dataValidations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0811B5B0-F477-4054-BE0C-E2D442DAAB2F}">
      <formula1>"ja,nee"</formula1>
    </dataValidation>
    <dataValidation type="list" allowBlank="1" showInputMessage="1" showErrorMessage="1" sqref="C9" xr:uid="{EC30E611-B41B-483E-8DB9-8A237F554590}">
      <formula1>INDIRECT("lst_productie_eenheid")</formula1>
    </dataValidation>
    <dataValidation type="list" allowBlank="1" showInputMessage="1" showErrorMessage="1" sqref="C10" xr:uid="{DF80152D-6FDE-4330-BF20-6E3199FB04C7}">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427E453-F964-4959-A973-3C1059A7072D}">
          <x14:formula1>
            <xm:f>Colofon!$A$51:$A$56</xm:f>
          </x14:formula1>
          <xm:sqref>C11</xm:sqref>
        </x14:dataValidation>
        <x14:dataValidation type="list" allowBlank="1" showInputMessage="1" showErrorMessage="1" xr:uid="{CFFB31B3-CFC7-4370-94C2-D86D4B58BE38}">
          <x14:formula1>
            <xm:f>'ETS correctie methodes'!$B$4:$B$14</xm:f>
          </x14:formula1>
          <xm:sqref>C13</xm:sqref>
        </x14:dataValidation>
        <x14:dataValidation type="list" allowBlank="1" showInputMessage="1" showErrorMessage="1" xr:uid="{16BE9EB9-BC14-4595-8AC6-7CFBB51071E8}">
          <x14:formula1>
            <xm:f>Correctiebedragen!$A$3:$A$7</xm:f>
          </x14:formula1>
          <xm:sqref>C16:C17 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2F4B6-8383-44F1-8D76-B89943CD8FC5}">
  <sheetPr codeName="Sheet108">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384</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5.8999999999999997E-2</v>
      </c>
      <c r="D5" s="113" t="str">
        <f>CONCATENATE("Euro/",$C$9)</f>
        <v>Euro/kWh</v>
      </c>
      <c r="E5" s="424"/>
      <c r="F5" s="425"/>
      <c r="G5" s="425"/>
      <c r="H5" s="425"/>
      <c r="I5" s="425"/>
      <c r="J5" s="425"/>
      <c r="K5" s="425"/>
      <c r="L5" s="425"/>
      <c r="M5" s="426"/>
      <c r="N5" s="26"/>
    </row>
    <row r="6" spans="1:14" x14ac:dyDescent="0.2">
      <c r="B6" s="4" t="s">
        <v>203</v>
      </c>
      <c r="C6" s="114">
        <f>ROUND((C5-C7)/C8*1000,0)</f>
        <v>-27</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"&amp;IFERROR(INDEX(Correctiebedragen!$A$1:$M$256,MATCH('15'!C12,Correctiebedragen!$A$1:$A$256,0),9),"")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IFERROR(INDEX(Correctiebedragen!$A$1:$M$256,MATCH('15'!C16,Correctiebedragen!$A$1:$A$256,0),9),"")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IFERROR(INDEX(Correctiebedragen!$A$1:$M$256,MATCH('15'!C17,Correctiebedragen!$A$1:$A$256,0),9),"")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4500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3100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3100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13950000</v>
      </c>
      <c r="F111" s="78">
        <f t="shared" ref="F111:AR111" si="2">IF(F108&lt;=$C$94,$C$37*$C$39,IF(AND(F108&gt;$C$94,F108&lt;=$C$91),$C$37*$C$77,0))*IF($C$41=0,1,$C$42/$C$41)</f>
        <v>13950000</v>
      </c>
      <c r="G111" s="78">
        <f t="shared" si="2"/>
        <v>13950000</v>
      </c>
      <c r="H111" s="78">
        <f t="shared" si="2"/>
        <v>13950000</v>
      </c>
      <c r="I111" s="78">
        <f t="shared" si="2"/>
        <v>13950000</v>
      </c>
      <c r="J111" s="78">
        <f t="shared" si="2"/>
        <v>13950000</v>
      </c>
      <c r="K111" s="78">
        <f t="shared" si="2"/>
        <v>13950000</v>
      </c>
      <c r="L111" s="78">
        <f t="shared" si="2"/>
        <v>13950000</v>
      </c>
      <c r="M111" s="78">
        <f t="shared" si="2"/>
        <v>13950000</v>
      </c>
      <c r="N111" s="78">
        <f t="shared" si="2"/>
        <v>13950000</v>
      </c>
      <c r="O111" s="78">
        <f t="shared" si="2"/>
        <v>13950000</v>
      </c>
      <c r="P111" s="78">
        <f t="shared" si="2"/>
        <v>13950000</v>
      </c>
      <c r="Q111" s="78">
        <f t="shared" si="2"/>
        <v>13950000</v>
      </c>
      <c r="R111" s="78">
        <f t="shared" si="2"/>
        <v>13950000</v>
      </c>
      <c r="S111" s="78">
        <f t="shared" si="2"/>
        <v>13950000</v>
      </c>
      <c r="T111" s="78">
        <f t="shared" si="2"/>
        <v>13950000</v>
      </c>
      <c r="U111" s="78">
        <f t="shared" si="2"/>
        <v>13950000</v>
      </c>
      <c r="V111" s="78">
        <f t="shared" si="2"/>
        <v>13950000</v>
      </c>
      <c r="W111" s="78">
        <f t="shared" si="2"/>
        <v>13950000</v>
      </c>
      <c r="X111" s="78">
        <f t="shared" si="2"/>
        <v>13950000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13950000</v>
      </c>
      <c r="F114" s="84">
        <f t="shared" ref="F114:AR114" si="5">SUM(F111:F113)</f>
        <v>13950000</v>
      </c>
      <c r="G114" s="84">
        <f t="shared" si="5"/>
        <v>13950000</v>
      </c>
      <c r="H114" s="84">
        <f t="shared" si="5"/>
        <v>13950000</v>
      </c>
      <c r="I114" s="84">
        <f t="shared" si="5"/>
        <v>13950000</v>
      </c>
      <c r="J114" s="84">
        <f t="shared" si="5"/>
        <v>13950000</v>
      </c>
      <c r="K114" s="84">
        <f t="shared" si="5"/>
        <v>13950000</v>
      </c>
      <c r="L114" s="84">
        <f t="shared" si="5"/>
        <v>13950000</v>
      </c>
      <c r="M114" s="84">
        <f t="shared" si="5"/>
        <v>13950000</v>
      </c>
      <c r="N114" s="84">
        <f t="shared" si="5"/>
        <v>13950000</v>
      </c>
      <c r="O114" s="84">
        <f t="shared" si="5"/>
        <v>13950000</v>
      </c>
      <c r="P114" s="84">
        <f t="shared" si="5"/>
        <v>13950000</v>
      </c>
      <c r="Q114" s="84">
        <f t="shared" si="5"/>
        <v>13950000</v>
      </c>
      <c r="R114" s="84">
        <f t="shared" si="5"/>
        <v>13950000</v>
      </c>
      <c r="S114" s="84">
        <f t="shared" si="5"/>
        <v>13950000</v>
      </c>
      <c r="T114" s="84">
        <f t="shared" si="5"/>
        <v>13950000</v>
      </c>
      <c r="U114" s="84">
        <f t="shared" si="5"/>
        <v>13950000</v>
      </c>
      <c r="V114" s="84">
        <f t="shared" si="5"/>
        <v>13950000</v>
      </c>
      <c r="W114" s="84">
        <f t="shared" si="5"/>
        <v>13950000</v>
      </c>
      <c r="X114" s="84">
        <f t="shared" si="5"/>
        <v>13950000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-243045</v>
      </c>
      <c r="F116" s="78">
        <f t="shared" si="6"/>
        <v>-247905.9</v>
      </c>
      <c r="G116" s="78">
        <f t="shared" si="6"/>
        <v>-252864.01800000001</v>
      </c>
      <c r="H116" s="78">
        <f t="shared" si="6"/>
        <v>-257921.29835999999</v>
      </c>
      <c r="I116" s="78">
        <f t="shared" si="6"/>
        <v>-263079.72432719998</v>
      </c>
      <c r="J116" s="78">
        <f t="shared" si="6"/>
        <v>-268341.318813744</v>
      </c>
      <c r="K116" s="78">
        <f t="shared" si="6"/>
        <v>-273708.14519001887</v>
      </c>
      <c r="L116" s="78">
        <f t="shared" si="6"/>
        <v>-279182.30809381919</v>
      </c>
      <c r="M116" s="78">
        <f t="shared" si="6"/>
        <v>-284765.95425569563</v>
      </c>
      <c r="N116" s="78">
        <f t="shared" si="6"/>
        <v>-290461.27334080951</v>
      </c>
      <c r="O116" s="78">
        <f t="shared" si="6"/>
        <v>-296270.49880762573</v>
      </c>
      <c r="P116" s="78">
        <f t="shared" si="6"/>
        <v>-302195.9087837782</v>
      </c>
      <c r="Q116" s="78">
        <f t="shared" si="6"/>
        <v>-308239.82695945381</v>
      </c>
      <c r="R116" s="78">
        <f t="shared" si="6"/>
        <v>-314404.62349864288</v>
      </c>
      <c r="S116" s="78">
        <f t="shared" si="6"/>
        <v>-320692.71596861578</v>
      </c>
      <c r="T116" s="78">
        <f t="shared" si="6"/>
        <v>-327106.570287988</v>
      </c>
      <c r="U116" s="78">
        <f t="shared" si="6"/>
        <v>-333648.70169374777</v>
      </c>
      <c r="V116" s="78">
        <f t="shared" si="6"/>
        <v>-340321.67572762282</v>
      </c>
      <c r="W116" s="78">
        <f t="shared" si="6"/>
        <v>-347128.10924217518</v>
      </c>
      <c r="X116" s="78">
        <f t="shared" si="6"/>
        <v>-354070.67142701871</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1368687.5360004148</v>
      </c>
      <c r="U123" s="81">
        <f t="shared" si="13"/>
        <v>1396061.2867204235</v>
      </c>
      <c r="V123" s="81">
        <f t="shared" si="13"/>
        <v>1423982.512454832</v>
      </c>
      <c r="W123" s="81">
        <f t="shared" si="13"/>
        <v>1452462.1627039285</v>
      </c>
      <c r="X123" s="81">
        <f t="shared" si="13"/>
        <v>1481511.4059580071</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1368687.5360004148</v>
      </c>
      <c r="U126" s="78">
        <f t="shared" si="15"/>
        <v>1396061.2867204235</v>
      </c>
      <c r="V126" s="78">
        <f t="shared" si="15"/>
        <v>1423982.512454832</v>
      </c>
      <c r="W126" s="78">
        <f t="shared" si="15"/>
        <v>1452462.1627039285</v>
      </c>
      <c r="X126" s="78">
        <f t="shared" si="15"/>
        <v>1481511.4059580071</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-243045</v>
      </c>
      <c r="F127" s="81">
        <f t="shared" si="16"/>
        <v>-247905.9</v>
      </c>
      <c r="G127" s="81">
        <f t="shared" si="16"/>
        <v>-252864.01800000001</v>
      </c>
      <c r="H127" s="81">
        <f t="shared" si="16"/>
        <v>-257921.29835999999</v>
      </c>
      <c r="I127" s="81">
        <f t="shared" si="16"/>
        <v>-263079.72432719998</v>
      </c>
      <c r="J127" s="81">
        <f t="shared" si="16"/>
        <v>-268341.318813744</v>
      </c>
      <c r="K127" s="81">
        <f t="shared" si="16"/>
        <v>-273708.14519001887</v>
      </c>
      <c r="L127" s="81">
        <f t="shared" si="16"/>
        <v>-279182.30809381919</v>
      </c>
      <c r="M127" s="81">
        <f t="shared" si="16"/>
        <v>-284765.95425569563</v>
      </c>
      <c r="N127" s="81">
        <f t="shared" si="16"/>
        <v>-290461.27334080951</v>
      </c>
      <c r="O127" s="81">
        <f t="shared" si="16"/>
        <v>-296270.49880762573</v>
      </c>
      <c r="P127" s="81">
        <f t="shared" si="16"/>
        <v>-302195.9087837782</v>
      </c>
      <c r="Q127" s="81">
        <f t="shared" si="16"/>
        <v>-308239.82695945381</v>
      </c>
      <c r="R127" s="81">
        <f t="shared" si="16"/>
        <v>-314404.62349864288</v>
      </c>
      <c r="S127" s="81">
        <f t="shared" si="16"/>
        <v>-320692.71596861578</v>
      </c>
      <c r="T127" s="81">
        <f t="shared" si="16"/>
        <v>-327106.570287988</v>
      </c>
      <c r="U127" s="81">
        <f t="shared" si="16"/>
        <v>-333648.70169374777</v>
      </c>
      <c r="V127" s="81">
        <f t="shared" si="16"/>
        <v>-340321.67572762282</v>
      </c>
      <c r="W127" s="81">
        <f t="shared" si="16"/>
        <v>-347128.10924217518</v>
      </c>
      <c r="X127" s="81">
        <f t="shared" si="16"/>
        <v>-354070.67142701871</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-243045</v>
      </c>
      <c r="F128" s="90">
        <f t="shared" ref="F128:AR128" si="17">SUM(F126:F127)</f>
        <v>-247905.9</v>
      </c>
      <c r="G128" s="90">
        <f t="shared" si="17"/>
        <v>-252864.01800000001</v>
      </c>
      <c r="H128" s="90">
        <f t="shared" si="17"/>
        <v>-257921.29835999999</v>
      </c>
      <c r="I128" s="90">
        <f t="shared" si="17"/>
        <v>-263079.72432719998</v>
      </c>
      <c r="J128" s="90">
        <f t="shared" si="17"/>
        <v>-268341.318813744</v>
      </c>
      <c r="K128" s="90">
        <f t="shared" si="17"/>
        <v>-273708.14519001887</v>
      </c>
      <c r="L128" s="90">
        <f t="shared" si="17"/>
        <v>-279182.30809381919</v>
      </c>
      <c r="M128" s="90">
        <f t="shared" si="17"/>
        <v>-284765.95425569563</v>
      </c>
      <c r="N128" s="90">
        <f t="shared" si="17"/>
        <v>-290461.27334080951</v>
      </c>
      <c r="O128" s="90">
        <f t="shared" si="17"/>
        <v>-296270.49880762573</v>
      </c>
      <c r="P128" s="90">
        <f t="shared" si="17"/>
        <v>-302195.9087837782</v>
      </c>
      <c r="Q128" s="90">
        <f t="shared" si="17"/>
        <v>-308239.82695945381</v>
      </c>
      <c r="R128" s="90">
        <f t="shared" si="17"/>
        <v>-314404.62349864288</v>
      </c>
      <c r="S128" s="90">
        <f t="shared" si="17"/>
        <v>-320692.71596861578</v>
      </c>
      <c r="T128" s="90">
        <f t="shared" si="17"/>
        <v>1041580.9657124267</v>
      </c>
      <c r="U128" s="90">
        <f t="shared" si="17"/>
        <v>1062412.5850266758</v>
      </c>
      <c r="V128" s="90">
        <f t="shared" si="17"/>
        <v>1083660.8367272092</v>
      </c>
      <c r="W128" s="90">
        <f t="shared" si="17"/>
        <v>1105334.0534617533</v>
      </c>
      <c r="X128" s="90">
        <f t="shared" si="17"/>
        <v>1127440.7345309884</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-918984.60843749996</v>
      </c>
      <c r="F135" s="95">
        <f t="shared" ref="F135:AR135" si="22">F128+F130+F131</f>
        <v>-913742.25828294619</v>
      </c>
      <c r="G135" s="95">
        <f t="shared" si="22"/>
        <v>-908117.22174605122</v>
      </c>
      <c r="H135" s="95">
        <f t="shared" si="22"/>
        <v>-902088.64772865362</v>
      </c>
      <c r="I135" s="95">
        <f t="shared" si="22"/>
        <v>-895634.64123552968</v>
      </c>
      <c r="J135" s="95">
        <f t="shared" si="22"/>
        <v>-888732.21271988435</v>
      </c>
      <c r="K135" s="95">
        <f t="shared" si="22"/>
        <v>-881357.22500136588</v>
      </c>
      <c r="L135" s="95">
        <f t="shared" si="22"/>
        <v>-873484.33764087013</v>
      </c>
      <c r="M135" s="95">
        <f t="shared" si="22"/>
        <v>-865086.94865089667</v>
      </c>
      <c r="N135" s="95">
        <f t="shared" si="22"/>
        <v>-856137.13341444754</v>
      </c>
      <c r="O135" s="95">
        <f t="shared" si="22"/>
        <v>-846605.58067942655</v>
      </c>
      <c r="P135" s="95">
        <f t="shared" si="22"/>
        <v>-836461.52548915462</v>
      </c>
      <c r="Q135" s="95">
        <f t="shared" si="22"/>
        <v>-825672.67890300055</v>
      </c>
      <c r="R135" s="95">
        <f t="shared" si="22"/>
        <v>-814205.15435417299</v>
      </c>
      <c r="S135" s="95">
        <f t="shared" si="22"/>
        <v>-802023.39048444876</v>
      </c>
      <c r="T135" s="95">
        <f t="shared" si="22"/>
        <v>1041580.9657124267</v>
      </c>
      <c r="U135" s="95">
        <f t="shared" si="22"/>
        <v>1062412.5850266758</v>
      </c>
      <c r="V135" s="95">
        <f t="shared" si="22"/>
        <v>1083660.8367272092</v>
      </c>
      <c r="W135" s="95">
        <f t="shared" si="22"/>
        <v>1105334.0534617533</v>
      </c>
      <c r="X135" s="95">
        <f t="shared" si="22"/>
        <v>1127440.7345309884</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174607.07560312501</v>
      </c>
      <c r="F136" s="97">
        <f t="shared" si="23"/>
        <v>173611.02907375977</v>
      </c>
      <c r="G136" s="97">
        <f t="shared" si="23"/>
        <v>172542.27213174972</v>
      </c>
      <c r="H136" s="97">
        <f t="shared" si="23"/>
        <v>171396.8430684442</v>
      </c>
      <c r="I136" s="97">
        <f t="shared" si="23"/>
        <v>170170.58183475063</v>
      </c>
      <c r="J136" s="97">
        <f t="shared" si="23"/>
        <v>168859.12041677802</v>
      </c>
      <c r="K136" s="97">
        <f t="shared" si="23"/>
        <v>167457.87275025953</v>
      </c>
      <c r="L136" s="97">
        <f t="shared" si="23"/>
        <v>165962.02415176533</v>
      </c>
      <c r="M136" s="97">
        <f t="shared" si="23"/>
        <v>164366.52024367035</v>
      </c>
      <c r="N136" s="97">
        <f t="shared" si="23"/>
        <v>162666.05534874502</v>
      </c>
      <c r="O136" s="97">
        <f t="shared" si="23"/>
        <v>160855.06032909104</v>
      </c>
      <c r="P136" s="97">
        <f t="shared" si="23"/>
        <v>158927.68984293938</v>
      </c>
      <c r="Q136" s="97">
        <f t="shared" si="23"/>
        <v>156877.80899157011</v>
      </c>
      <c r="R136" s="97">
        <f t="shared" si="23"/>
        <v>154698.97932729288</v>
      </c>
      <c r="S136" s="97">
        <f t="shared" si="23"/>
        <v>152384.44419204525</v>
      </c>
      <c r="T136" s="97">
        <f t="shared" si="23"/>
        <v>-197900.38348536106</v>
      </c>
      <c r="U136" s="97">
        <f t="shared" si="23"/>
        <v>-201858.39115506841</v>
      </c>
      <c r="V136" s="97">
        <f t="shared" si="23"/>
        <v>-205895.55897816975</v>
      </c>
      <c r="W136" s="97">
        <f t="shared" si="23"/>
        <v>-210013.47015773313</v>
      </c>
      <c r="X136" s="97">
        <f t="shared" si="23"/>
        <v>-214213.7395608878</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-495094.036088138</v>
      </c>
      <c r="F138" s="101">
        <f t="shared" si="24"/>
        <v>-500950.98261750315</v>
      </c>
      <c r="G138" s="101">
        <f t="shared" si="24"/>
        <v>-506977.85755951324</v>
      </c>
      <c r="H138" s="101">
        <f t="shared" si="24"/>
        <v>-513180.56698281877</v>
      </c>
      <c r="I138" s="101">
        <f t="shared" si="24"/>
        <v>-519565.2541837123</v>
      </c>
      <c r="J138" s="101">
        <f t="shared" si="24"/>
        <v>-526138.31008822902</v>
      </c>
      <c r="K138" s="101">
        <f t="shared" si="24"/>
        <v>-532906.38413102226</v>
      </c>
      <c r="L138" s="101">
        <f t="shared" si="24"/>
        <v>-539876.39563331683</v>
      </c>
      <c r="M138" s="101">
        <f t="shared" si="24"/>
        <v>-547055.54570328817</v>
      </c>
      <c r="N138" s="101">
        <f t="shared" si="24"/>
        <v>-554451.32968332735</v>
      </c>
      <c r="O138" s="101">
        <f t="shared" si="24"/>
        <v>-562071.55016979761</v>
      </c>
      <c r="P138" s="101">
        <f t="shared" si="24"/>
        <v>-569924.33063210174</v>
      </c>
      <c r="Q138" s="101">
        <f t="shared" si="24"/>
        <v>-578018.12965914665</v>
      </c>
      <c r="R138" s="101">
        <f t="shared" si="24"/>
        <v>-586361.75586261298</v>
      </c>
      <c r="S138" s="101">
        <f t="shared" si="24"/>
        <v>-594964.3834678334</v>
      </c>
      <c r="T138" s="101">
        <f t="shared" si="24"/>
        <v>843680.58222706569</v>
      </c>
      <c r="U138" s="101">
        <f t="shared" si="24"/>
        <v>860554.19387160742</v>
      </c>
      <c r="V138" s="101">
        <f t="shared" si="24"/>
        <v>877765.27774903947</v>
      </c>
      <c r="W138" s="101">
        <f t="shared" si="24"/>
        <v>895320.58330402011</v>
      </c>
      <c r="X138" s="101">
        <f t="shared" si="24"/>
        <v>913226.99497010058</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-68437.924396874994</v>
      </c>
      <c r="F139" s="106">
        <f t="shared" ref="F139:AR139" si="25">F128+F136</f>
        <v>-74294.870926240226</v>
      </c>
      <c r="G139" s="106">
        <f t="shared" si="25"/>
        <v>-80321.745868250291</v>
      </c>
      <c r="H139" s="106">
        <f t="shared" si="25"/>
        <v>-86524.455291555787</v>
      </c>
      <c r="I139" s="106">
        <f t="shared" si="25"/>
        <v>-92909.142492449348</v>
      </c>
      <c r="J139" s="106">
        <f t="shared" si="25"/>
        <v>-99482.198396965978</v>
      </c>
      <c r="K139" s="106">
        <f t="shared" si="25"/>
        <v>-106250.27243975934</v>
      </c>
      <c r="L139" s="106">
        <f t="shared" si="25"/>
        <v>-113220.28394205385</v>
      </c>
      <c r="M139" s="106">
        <f t="shared" si="25"/>
        <v>-120399.43401202527</v>
      </c>
      <c r="N139" s="106">
        <f t="shared" si="25"/>
        <v>-127795.21799206448</v>
      </c>
      <c r="O139" s="106">
        <f t="shared" si="25"/>
        <v>-135415.43847853469</v>
      </c>
      <c r="P139" s="106">
        <f t="shared" si="25"/>
        <v>-143268.21894083882</v>
      </c>
      <c r="Q139" s="106">
        <f t="shared" si="25"/>
        <v>-151362.0179678837</v>
      </c>
      <c r="R139" s="106">
        <f t="shared" si="25"/>
        <v>-159705.64417135</v>
      </c>
      <c r="S139" s="106">
        <f t="shared" si="25"/>
        <v>-168308.27177657053</v>
      </c>
      <c r="T139" s="106">
        <f t="shared" si="25"/>
        <v>843680.58222706569</v>
      </c>
      <c r="U139" s="106">
        <f t="shared" si="25"/>
        <v>860554.19387160742</v>
      </c>
      <c r="V139" s="106">
        <f t="shared" si="25"/>
        <v>877765.27774903947</v>
      </c>
      <c r="W139" s="106">
        <f t="shared" si="25"/>
        <v>895320.58330402011</v>
      </c>
      <c r="X139" s="106">
        <f t="shared" si="25"/>
        <v>913226.99497010058</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-495094.036088138</v>
      </c>
      <c r="F140" s="106">
        <f t="shared" ref="F140:AR140" si="26">F138</f>
        <v>-500950.98261750315</v>
      </c>
      <c r="G140" s="106">
        <f t="shared" si="26"/>
        <v>-506977.85755951324</v>
      </c>
      <c r="H140" s="106">
        <f t="shared" si="26"/>
        <v>-513180.56698281877</v>
      </c>
      <c r="I140" s="106">
        <f t="shared" si="26"/>
        <v>-519565.2541837123</v>
      </c>
      <c r="J140" s="106">
        <f t="shared" si="26"/>
        <v>-526138.31008822902</v>
      </c>
      <c r="K140" s="106">
        <f t="shared" si="26"/>
        <v>-532906.38413102226</v>
      </c>
      <c r="L140" s="106">
        <f t="shared" si="26"/>
        <v>-539876.39563331683</v>
      </c>
      <c r="M140" s="106">
        <f t="shared" si="26"/>
        <v>-547055.54570328817</v>
      </c>
      <c r="N140" s="106">
        <f t="shared" si="26"/>
        <v>-554451.32968332735</v>
      </c>
      <c r="O140" s="106">
        <f t="shared" si="26"/>
        <v>-562071.55016979761</v>
      </c>
      <c r="P140" s="106">
        <f t="shared" si="26"/>
        <v>-569924.33063210174</v>
      </c>
      <c r="Q140" s="106">
        <f t="shared" si="26"/>
        <v>-578018.12965914665</v>
      </c>
      <c r="R140" s="106">
        <f t="shared" si="26"/>
        <v>-586361.75586261298</v>
      </c>
      <c r="S140" s="106">
        <f t="shared" si="26"/>
        <v>-594964.3834678334</v>
      </c>
      <c r="T140" s="106">
        <f t="shared" si="26"/>
        <v>843680.58222706569</v>
      </c>
      <c r="U140" s="106">
        <f t="shared" si="26"/>
        <v>860554.19387160742</v>
      </c>
      <c r="V140" s="106">
        <f t="shared" si="26"/>
        <v>877765.27774903947</v>
      </c>
      <c r="W140" s="106">
        <f t="shared" si="26"/>
        <v>895320.58330402011</v>
      </c>
      <c r="X140" s="106">
        <f t="shared" si="26"/>
        <v>913226.99497010058</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13950000</v>
      </c>
      <c r="F141" s="108">
        <f t="shared" si="27"/>
        <v>13950000</v>
      </c>
      <c r="G141" s="108">
        <f t="shared" si="27"/>
        <v>13950000</v>
      </c>
      <c r="H141" s="108">
        <f t="shared" si="27"/>
        <v>13950000</v>
      </c>
      <c r="I141" s="108">
        <f t="shared" si="27"/>
        <v>13950000</v>
      </c>
      <c r="J141" s="108">
        <f t="shared" si="27"/>
        <v>13950000</v>
      </c>
      <c r="K141" s="108">
        <f t="shared" si="27"/>
        <v>13950000</v>
      </c>
      <c r="L141" s="108">
        <f t="shared" si="27"/>
        <v>13950000</v>
      </c>
      <c r="M141" s="108">
        <f t="shared" si="27"/>
        <v>13950000</v>
      </c>
      <c r="N141" s="108">
        <f t="shared" si="27"/>
        <v>13950000</v>
      </c>
      <c r="O141" s="108">
        <f t="shared" si="27"/>
        <v>13950000</v>
      </c>
      <c r="P141" s="108">
        <f t="shared" si="27"/>
        <v>13950000</v>
      </c>
      <c r="Q141" s="108">
        <f t="shared" si="27"/>
        <v>13950000</v>
      </c>
      <c r="R141" s="108">
        <f t="shared" si="27"/>
        <v>13950000</v>
      </c>
      <c r="S141" s="108">
        <f t="shared" si="27"/>
        <v>13950000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6563703.6084375</v>
      </c>
      <c r="F142" s="124">
        <f t="shared" ref="F142:AR142" si="28">E142-($C$5*F114+F128+F131)</f>
        <v>6192412.3667204464</v>
      </c>
      <c r="G142" s="124">
        <f t="shared" si="28"/>
        <v>5815496.0884664971</v>
      </c>
      <c r="H142" s="124">
        <f t="shared" si="28"/>
        <v>5432551.2361951508</v>
      </c>
      <c r="I142" s="124">
        <f t="shared" si="28"/>
        <v>5043152.3774306802</v>
      </c>
      <c r="J142" s="124">
        <f t="shared" si="28"/>
        <v>4646851.0901505649</v>
      </c>
      <c r="K142" s="124">
        <f t="shared" si="28"/>
        <v>4243174.8151519308</v>
      </c>
      <c r="L142" s="124">
        <f t="shared" si="28"/>
        <v>3831625.6527928011</v>
      </c>
      <c r="M142" s="124">
        <f t="shared" si="28"/>
        <v>3411679.1014436977</v>
      </c>
      <c r="N142" s="124">
        <f t="shared" si="28"/>
        <v>2982782.734858145</v>
      </c>
      <c r="O142" s="124">
        <f t="shared" si="28"/>
        <v>2544354.8155375714</v>
      </c>
      <c r="P142" s="124">
        <f t="shared" si="28"/>
        <v>2095782.8410267259</v>
      </c>
      <c r="Q142" s="124">
        <f t="shared" si="28"/>
        <v>1636422.0199297266</v>
      </c>
      <c r="R142" s="124">
        <f t="shared" si="28"/>
        <v>1165593.6742838998</v>
      </c>
      <c r="S142" s="124">
        <f t="shared" si="28"/>
        <v>682583.56476834859</v>
      </c>
      <c r="T142" s="124">
        <f t="shared" si="28"/>
        <v>-1182047.4009440781</v>
      </c>
      <c r="U142" s="124">
        <f t="shared" si="28"/>
        <v>-3067509.9859707542</v>
      </c>
      <c r="V142" s="124">
        <f t="shared" si="28"/>
        <v>-4974220.8226979636</v>
      </c>
      <c r="W142" s="124">
        <f t="shared" si="28"/>
        <v>-6902604.8761597164</v>
      </c>
      <c r="X142" s="124">
        <f t="shared" si="28"/>
        <v>-8853095.6106907055</v>
      </c>
      <c r="Y142" s="124">
        <f t="shared" si="28"/>
        <v>-8853095.6106907055</v>
      </c>
      <c r="Z142" s="124">
        <f t="shared" si="28"/>
        <v>-8853095.6106907055</v>
      </c>
      <c r="AA142" s="124">
        <f t="shared" si="28"/>
        <v>-8853095.6106907055</v>
      </c>
      <c r="AB142" s="124">
        <f t="shared" si="28"/>
        <v>-8853095.6106907055</v>
      </c>
      <c r="AC142" s="124">
        <f t="shared" si="28"/>
        <v>-8853095.6106907055</v>
      </c>
      <c r="AD142" s="124">
        <f t="shared" si="28"/>
        <v>-8853095.6106907055</v>
      </c>
      <c r="AE142" s="124">
        <f t="shared" si="28"/>
        <v>-8853095.6106907055</v>
      </c>
      <c r="AF142" s="124">
        <f t="shared" si="28"/>
        <v>-8853095.6106907055</v>
      </c>
      <c r="AG142" s="124">
        <f t="shared" si="28"/>
        <v>-8853095.6106907055</v>
      </c>
      <c r="AH142" s="124">
        <f t="shared" si="28"/>
        <v>-8853095.6106907055</v>
      </c>
      <c r="AI142" s="124">
        <f t="shared" si="28"/>
        <v>-8853095.6106907055</v>
      </c>
      <c r="AJ142" s="124">
        <f t="shared" si="28"/>
        <v>-8853095.6106907055</v>
      </c>
      <c r="AK142" s="124">
        <f t="shared" si="28"/>
        <v>-8853095.6106907055</v>
      </c>
      <c r="AL142" s="124">
        <f t="shared" si="28"/>
        <v>-8853095.6106907055</v>
      </c>
      <c r="AM142" s="124">
        <f t="shared" si="28"/>
        <v>-8853095.6106907055</v>
      </c>
      <c r="AN142" s="124">
        <f t="shared" si="28"/>
        <v>-8853095.6106907055</v>
      </c>
      <c r="AO142" s="124">
        <f t="shared" si="28"/>
        <v>-8853095.6106907055</v>
      </c>
      <c r="AP142" s="124">
        <f t="shared" si="28"/>
        <v>-8853095.6106907055</v>
      </c>
      <c r="AQ142" s="124">
        <f t="shared" si="28"/>
        <v>-8853095.6106907055</v>
      </c>
      <c r="AR142" s="124">
        <f t="shared" si="28"/>
        <v>-8853095.6106907055</v>
      </c>
    </row>
    <row r="143" spans="1:45" x14ac:dyDescent="0.2">
      <c r="B143" s="5" t="s">
        <v>350</v>
      </c>
      <c r="C143" s="195"/>
      <c r="D143" s="196"/>
      <c r="E143" s="197">
        <f>IF(E108&gt;$C$92,"",(-$C$89*(E135+$C$5*E114)+E128+$C$5*E114)/-E133)</f>
        <v>1.4021422855792072</v>
      </c>
      <c r="F143" s="197">
        <f>IF(F108&gt;$C$92,"",(-$C$89*(F135+$C$5*F114)+F128+$C$5*F114)/-F133)</f>
        <v>1.3884147275556078</v>
      </c>
      <c r="G143" s="197">
        <f>IF(G108&gt;$C$92,"",(-$C$89*(G135+$C$5*G114)+G128+$C$5*G114)/-G133)</f>
        <v>1.3742888899621428</v>
      </c>
      <c r="H143" s="197">
        <f>IF(H108&gt;$C$92,"",(-$C$89*(H135+$C$5*H114)+H128+$C$5*H114)/-H133)</f>
        <v>1.3597509301079691</v>
      </c>
      <c r="I143" s="197">
        <f t="shared" ref="I143:AR143" si="29">IF(I108&gt;$C$92,"",(-$C$89*(I135+$C$5*I114)+I128+$C$5*I114)/-I133)</f>
        <v>1.3447864492862018</v>
      </c>
      <c r="J143" s="197">
        <f t="shared" si="29"/>
        <v>1.3293804683933907</v>
      </c>
      <c r="K143" s="197">
        <f t="shared" si="29"/>
        <v>1.3135174024315213</v>
      </c>
      <c r="L143" s="197">
        <f t="shared" si="29"/>
        <v>1.2971810338402796</v>
      </c>
      <c r="M143" s="197">
        <f t="shared" si="29"/>
        <v>1.2803544846048465</v>
      </c>
      <c r="N143" s="197">
        <f t="shared" si="29"/>
        <v>1.2630201870819011</v>
      </c>
      <c r="O143" s="197">
        <f t="shared" si="29"/>
        <v>1.2451598534838104</v>
      </c>
      <c r="P143" s="197">
        <f t="shared" si="29"/>
        <v>1.2267544439581488</v>
      </c>
      <c r="Q143" s="197">
        <f t="shared" si="29"/>
        <v>1.207784133196723</v>
      </c>
      <c r="R143" s="197">
        <f t="shared" si="29"/>
        <v>1.1882282755051685</v>
      </c>
      <c r="S143" s="197">
        <f t="shared" si="29"/>
        <v>1.1680653682609252</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-3503069.3636298901</v>
      </c>
    </row>
    <row r="147" spans="2:45" x14ac:dyDescent="0.2">
      <c r="B147" s="79" t="s">
        <v>354</v>
      </c>
      <c r="C147" s="216" t="str">
        <f>$C$9</f>
        <v>kWh</v>
      </c>
      <c r="D147" s="126">
        <f>(1-$C$89)*NPV($C$86,E141:AR141)</f>
        <v>99742039.559042096</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1.2925885955498562</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-4.1941005440335744E-2</v>
      </c>
      <c r="E151" s="131"/>
      <c r="F151" s="128"/>
      <c r="G151" s="112"/>
    </row>
    <row r="152" spans="2:45" x14ac:dyDescent="0.2">
      <c r="B152" s="79" t="s">
        <v>359</v>
      </c>
      <c r="C152" s="80"/>
      <c r="D152" s="132">
        <f>IFERROR(IRR(D140:AR140),"n.v.t.")</f>
        <v>-7.8807962088497274E-2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3100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IFERROR(ROUND(INDEX(Correctiebedragen!$A$1:$K$256,MATCH('15'!C16,Correctiebedragen!$A$1:$A$256,0),8),decimalen),"n.v.t.")</f>
        <v>n.v.t.</v>
      </c>
    </row>
    <row r="162" spans="2:20" customFormat="1" ht="15" x14ac:dyDescent="0.25">
      <c r="B162" s="248" t="s">
        <v>367</v>
      </c>
      <c r="C162" s="250" t="str">
        <f>IFERROR(ROUND(INDEX(Correctiebedragen!$A$1:$K$256,MATCH('15'!C17,Correctiebedragen!$A$1:$A$256,0),8),decimalen),"n.v.t.")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IFERROR(ROUND(INDEX(Correctiebedragen!$A$1:$K$256,MATCH('15'!C16,Correctiebedragen!$A$1:$A$256,0),4),decimalen),"n.v.t.")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IFERROR(ROUND(INDEX(Correctiebedragen!$A$1:$K$256,MATCH('15'!C17,Correctiebedragen!$A$1:$A$256,0),4),decimalen),"n.v.t.")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IFERROR(ROUND(INDEX(Correctiebedragen!$A$1:$K$256,MATCH('15'!C16,Correctiebedragen!$A$1:$A$256,0),6),decimalen),"n.v.t.")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IFERROR(ROUND(INDEX(Correctiebedragen!$A$1:$K$256,MATCH('15'!C17,Correctiebedragen!$A$1:$A$256,0),6),decimalen),"n.v.t.")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209250000</v>
      </c>
      <c r="E174" s="28"/>
    </row>
    <row r="175" spans="2:20" customFormat="1" ht="26.25" x14ac:dyDescent="0.25">
      <c r="B175" s="256" t="s">
        <v>370</v>
      </c>
      <c r="C175" s="271">
        <f>IF(C95=0,SUM(E114:INDEX(E114:AR114,1,C91)),SUM(E114:INDEX(E114:AR114,1,C95)))</f>
        <v>279000000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24" priority="5" operator="containsText" text="Pas op">
      <formula>NOT(ISERROR(SEARCH("Pas op",G1)))</formula>
    </cfRule>
  </conditionalFormatting>
  <conditionalFormatting sqref="G186">
    <cfRule type="containsText" dxfId="23" priority="4" operator="containsText" text="Pas op">
      <formula>NOT(ISERROR(SEARCH("Pas op",G186)))</formula>
    </cfRule>
  </conditionalFormatting>
  <conditionalFormatting sqref="G162 G165 G169:G170">
    <cfRule type="containsText" dxfId="22" priority="3" operator="containsText" text="Pas op">
      <formula>NOT(ISERROR(SEARCH("Pas op",G162)))</formula>
    </cfRule>
  </conditionalFormatting>
  <conditionalFormatting sqref="G100">
    <cfRule type="containsText" dxfId="21" priority="2" operator="containsText" text="Pas op">
      <formula>NOT(ISERROR(SEARCH("Pas op",G100)))</formula>
    </cfRule>
  </conditionalFormatting>
  <conditionalFormatting sqref="G166:G168">
    <cfRule type="containsText" dxfId="20" priority="1" operator="containsText" text="Pas op">
      <formula>NOT(ISERROR(SEARCH("Pas op",G166)))</formula>
    </cfRule>
  </conditionalFormatting>
  <dataValidations disablePrompts="1"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86CA9467-9D88-45E6-9E23-9065B23EE58C}">
      <formula1>"ja,nee"</formula1>
    </dataValidation>
    <dataValidation type="list" allowBlank="1" showInputMessage="1" showErrorMessage="1" sqref="C9" xr:uid="{D7995C3E-9AE0-45F4-BE4E-92B89F296472}">
      <formula1>INDIRECT("lst_productie_eenheid")</formula1>
    </dataValidation>
    <dataValidation type="list" allowBlank="1" showInputMessage="1" showErrorMessage="1" sqref="C10" xr:uid="{30FCEBCE-25AE-426B-B6B2-C04717AB4B55}">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A547C13F-ADFB-44A5-8D4B-772E1414C73D}">
          <x14:formula1>
            <xm:f>Colofon!$A$51:$A$56</xm:f>
          </x14:formula1>
          <xm:sqref>C11</xm:sqref>
        </x14:dataValidation>
        <x14:dataValidation type="list" allowBlank="1" showInputMessage="1" showErrorMessage="1" xr:uid="{DC358A25-35B6-4407-A1A9-D3910D522B85}">
          <x14:formula1>
            <xm:f>'ETS correctie methodes'!$B$4:$B$14</xm:f>
          </x14:formula1>
          <xm:sqref>C13</xm:sqref>
        </x14:dataValidation>
        <x14:dataValidation type="list" allowBlank="1" showInputMessage="1" showErrorMessage="1" xr:uid="{843FC36E-FA16-460F-A7F0-9818CBD4104C}">
          <x14:formula1>
            <xm:f>Correctiebedragen!$A$3:$A$7</xm:f>
          </x14:formula1>
          <xm:sqref>C16:C17 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904A-F54B-4782-BC94-369F9058C68B}">
  <sheetPr codeName="Sheet2">
    <pageSetUpPr fitToPage="1"/>
  </sheetPr>
  <dimension ref="A2:Z27"/>
  <sheetViews>
    <sheetView showGridLines="0" zoomScaleNormal="100" workbookViewId="0">
      <pane xSplit="3" ySplit="4" topLeftCell="G5" activePane="bottomRight" state="frozen"/>
      <selection pane="topRight"/>
      <selection pane="bottomLeft"/>
      <selection pane="bottomRight" activeCell="B40" sqref="B40"/>
    </sheetView>
  </sheetViews>
  <sheetFormatPr defaultColWidth="9.28515625" defaultRowHeight="12.75" x14ac:dyDescent="0.2"/>
  <cols>
    <col min="1" max="1" width="3.28515625" style="212" bestFit="1" customWidth="1"/>
    <col min="2" max="2" width="81.140625" style="213" bestFit="1" customWidth="1"/>
    <col min="3" max="3" width="14.85546875" style="174" customWidth="1"/>
    <col min="4" max="4" width="12.42578125" style="174" hidden="1" customWidth="1"/>
    <col min="5" max="5" width="16.85546875" style="200" hidden="1" customWidth="1"/>
    <col min="6" max="6" width="10.28515625" style="200" hidden="1" customWidth="1"/>
    <col min="7" max="7" width="12.85546875" style="203" customWidth="1"/>
    <col min="8" max="8" width="15.140625" style="203" hidden="1" customWidth="1"/>
    <col min="9" max="9" width="33.28515625" style="175" bestFit="1" customWidth="1"/>
    <col min="10" max="10" width="17.28515625" style="203" customWidth="1"/>
    <col min="11" max="11" width="35.7109375" style="203" bestFit="1" customWidth="1"/>
    <col min="12" max="12" width="41.85546875" style="203" bestFit="1" customWidth="1"/>
    <col min="13" max="13" width="40.7109375" style="203" bestFit="1" customWidth="1"/>
    <col min="14" max="14" width="37.7109375" style="177" bestFit="1" customWidth="1"/>
    <col min="15" max="15" width="27.85546875" style="177" hidden="1" customWidth="1"/>
    <col min="16" max="16" width="17.28515625" style="204" hidden="1" customWidth="1"/>
    <col min="17" max="17" width="11.42578125" style="189" bestFit="1" customWidth="1"/>
    <col min="18" max="18" width="15.7109375" style="175" hidden="1" customWidth="1"/>
    <col min="19" max="19" width="26.140625" style="175" hidden="1" customWidth="1"/>
    <col min="20" max="20" width="17.28515625" style="175" bestFit="1" customWidth="1"/>
    <col min="21" max="21" width="20.42578125" style="175" bestFit="1" customWidth="1"/>
    <col min="22" max="23" width="17.28515625" style="204" bestFit="1" customWidth="1"/>
    <col min="24" max="24" width="13.85546875" style="174" hidden="1" customWidth="1"/>
    <col min="25" max="25" width="43.5703125" style="174" bestFit="1" customWidth="1"/>
    <col min="26" max="26" width="42.7109375" style="174" customWidth="1"/>
    <col min="27" max="16384" width="9.28515625" style="174"/>
  </cols>
  <sheetData>
    <row r="2" spans="1:26" s="311" customFormat="1" ht="53.25" customHeight="1" x14ac:dyDescent="0.2">
      <c r="A2" s="209" t="s">
        <v>28</v>
      </c>
      <c r="B2" s="178" t="s">
        <v>29</v>
      </c>
      <c r="C2" s="164" t="s">
        <v>30</v>
      </c>
      <c r="D2" s="164" t="s">
        <v>31</v>
      </c>
      <c r="E2" s="167" t="s">
        <v>32</v>
      </c>
      <c r="F2" s="167" t="s">
        <v>33</v>
      </c>
      <c r="G2" s="201" t="s">
        <v>34</v>
      </c>
      <c r="H2" s="201" t="s">
        <v>35</v>
      </c>
      <c r="I2" s="167" t="s">
        <v>36</v>
      </c>
      <c r="J2" s="201" t="s">
        <v>37</v>
      </c>
      <c r="K2" s="201" t="s">
        <v>38</v>
      </c>
      <c r="L2" s="201" t="s">
        <v>39</v>
      </c>
      <c r="M2" s="201" t="s">
        <v>40</v>
      </c>
      <c r="N2" s="165" t="s">
        <v>41</v>
      </c>
      <c r="O2" s="165" t="s">
        <v>42</v>
      </c>
      <c r="P2" s="201" t="s">
        <v>43</v>
      </c>
      <c r="Q2" s="166" t="s">
        <v>44</v>
      </c>
      <c r="R2" s="168" t="s">
        <v>45</v>
      </c>
      <c r="S2" s="410" t="s">
        <v>46</v>
      </c>
      <c r="T2" s="167" t="s">
        <v>47</v>
      </c>
      <c r="U2" s="167" t="s">
        <v>48</v>
      </c>
      <c r="V2" s="201" t="s">
        <v>49</v>
      </c>
      <c r="W2" s="201" t="s">
        <v>50</v>
      </c>
      <c r="X2" s="201" t="s">
        <v>51</v>
      </c>
      <c r="Y2" s="201" t="s">
        <v>414</v>
      </c>
      <c r="Z2" s="201" t="s">
        <v>415</v>
      </c>
    </row>
    <row r="3" spans="1:26" s="311" customFormat="1" ht="15" customHeight="1" x14ac:dyDescent="0.2">
      <c r="A3" s="210"/>
      <c r="B3" s="178"/>
      <c r="C3" s="164" t="s">
        <v>52</v>
      </c>
      <c r="D3" s="164"/>
      <c r="E3" s="167" t="s">
        <v>53</v>
      </c>
      <c r="F3" s="167" t="s">
        <v>53</v>
      </c>
      <c r="G3" s="201" t="s">
        <v>54</v>
      </c>
      <c r="H3" s="201" t="s">
        <v>54</v>
      </c>
      <c r="I3" s="169" t="s">
        <v>55</v>
      </c>
      <c r="J3" s="201" t="s">
        <v>54</v>
      </c>
      <c r="K3" s="201" t="s">
        <v>54</v>
      </c>
      <c r="L3" s="201" t="s">
        <v>54</v>
      </c>
      <c r="M3" s="201" t="s">
        <v>54</v>
      </c>
      <c r="N3" s="165" t="s">
        <v>54</v>
      </c>
      <c r="O3" s="165" t="s">
        <v>54</v>
      </c>
      <c r="P3" s="201" t="s">
        <v>56</v>
      </c>
      <c r="Q3" s="198" t="s">
        <v>57</v>
      </c>
      <c r="R3" s="170" t="s">
        <v>58</v>
      </c>
      <c r="S3" s="410"/>
      <c r="T3" s="169" t="s">
        <v>55</v>
      </c>
      <c r="U3" s="169" t="s">
        <v>55</v>
      </c>
      <c r="V3" s="201" t="s">
        <v>54</v>
      </c>
      <c r="W3" s="201" t="s">
        <v>54</v>
      </c>
      <c r="X3" s="201"/>
      <c r="Y3" s="201" t="s">
        <v>54</v>
      </c>
      <c r="Z3" s="201" t="s">
        <v>54</v>
      </c>
    </row>
    <row r="4" spans="1:26" s="311" customFormat="1" ht="28.5" customHeight="1" x14ac:dyDescent="0.2">
      <c r="A4" s="210"/>
      <c r="B4" s="178"/>
      <c r="C4" s="164"/>
      <c r="D4" s="164"/>
      <c r="E4" s="167" t="s">
        <v>59</v>
      </c>
      <c r="F4" s="167"/>
      <c r="G4" s="201" t="s">
        <v>60</v>
      </c>
      <c r="H4" s="201"/>
      <c r="I4" s="169"/>
      <c r="J4" s="201" t="s">
        <v>61</v>
      </c>
      <c r="K4" s="201"/>
      <c r="L4" s="201"/>
      <c r="M4" s="201"/>
      <c r="N4" s="165"/>
      <c r="O4" s="165"/>
      <c r="P4" s="201" t="s">
        <v>62</v>
      </c>
      <c r="Q4" s="198"/>
      <c r="R4" s="170"/>
      <c r="S4" s="410"/>
      <c r="T4" s="170"/>
      <c r="U4" s="170"/>
      <c r="V4" s="220"/>
      <c r="W4" s="220"/>
      <c r="X4" s="220"/>
      <c r="Y4" s="201"/>
      <c r="Z4" s="201"/>
    </row>
    <row r="5" spans="1:26" x14ac:dyDescent="0.2">
      <c r="A5" s="211"/>
      <c r="B5" s="176" t="s">
        <v>63</v>
      </c>
      <c r="C5" s="172"/>
      <c r="D5" s="172"/>
      <c r="E5" s="172"/>
      <c r="F5" s="172"/>
      <c r="G5" s="202"/>
      <c r="H5" s="202"/>
      <c r="I5" s="173"/>
      <c r="J5" s="202"/>
      <c r="K5" s="202"/>
      <c r="L5" s="202"/>
      <c r="M5" s="202"/>
      <c r="N5" s="172"/>
      <c r="O5" s="172"/>
      <c r="P5" s="202"/>
      <c r="Q5" s="199"/>
      <c r="R5" s="171"/>
      <c r="S5" s="170"/>
      <c r="T5" s="171"/>
      <c r="U5" s="171"/>
      <c r="V5" s="221"/>
      <c r="W5" s="221"/>
      <c r="X5" s="221"/>
      <c r="Y5" s="202"/>
      <c r="Z5" s="202"/>
    </row>
    <row r="6" spans="1:26" s="304" customFormat="1" ht="15" x14ac:dyDescent="0.25">
      <c r="A6" s="305"/>
      <c r="B6" s="306" t="s">
        <v>64</v>
      </c>
      <c r="C6" s="312"/>
      <c r="D6" s="312"/>
      <c r="E6" s="313"/>
      <c r="F6" s="313"/>
      <c r="G6" s="312"/>
      <c r="H6" s="312"/>
      <c r="I6" s="313"/>
      <c r="J6" s="314"/>
      <c r="K6" s="314"/>
      <c r="L6" s="312"/>
      <c r="M6" s="312"/>
      <c r="N6" s="312"/>
      <c r="O6" s="312"/>
      <c r="P6" s="312"/>
      <c r="Q6" s="315"/>
      <c r="R6" s="316"/>
      <c r="S6" s="307"/>
      <c r="T6" s="313"/>
      <c r="U6" s="313"/>
      <c r="V6" s="312"/>
      <c r="W6" s="312"/>
      <c r="X6" s="308"/>
      <c r="Y6" s="312"/>
      <c r="Z6" s="312"/>
    </row>
    <row r="7" spans="1:26" s="304" customFormat="1" ht="15" x14ac:dyDescent="0.25">
      <c r="A7" s="337">
        <v>1</v>
      </c>
      <c r="B7" s="337" t="str">
        <f ca="1">INDIRECT(CONCATENATE("'",A7,"'!A2"))</f>
        <v>Fotovoltaïsche zonnepanelen, 15 – 100 kWp (kva, referentie 60 kWp)</v>
      </c>
      <c r="C7" s="338" t="str">
        <f ca="1">INDIRECT(CONCATENATE("'",$A7,"'!$C$9"))</f>
        <v>kWh</v>
      </c>
      <c r="D7" s="338" t="str">
        <f ca="1">INDIRECT(CONCATENATE("'",$A7,"'!$C$11"))</f>
        <v>Elektriciteit</v>
      </c>
      <c r="E7" s="339">
        <f ca="1">ROUND((G7-J7)/P7*1000,0)</f>
        <v>1072</v>
      </c>
      <c r="F7" s="339">
        <f ca="1">IF(OR(D7="Elektriciteit",D7="CCS/CCU"),IF(E7&gt;300,300,E7),IF(D7="Hogetemperatuurwarmte",IF(E7&gt;400,400,E7),IF(D7="Lagetemperatuurwarmte",IF(E7&gt;400,400,E7),IF(D7="Moleculen",IF(E7&gt;400,400,E7),E7))))</f>
        <v>300</v>
      </c>
      <c r="G7" s="340">
        <f ca="1">INDIRECT(CONCATENATE("'",$A7,"'!$C$5"))</f>
        <v>0.124</v>
      </c>
      <c r="H7" s="340">
        <f ca="1">IF(OR(F7=300,F7=400),ROUND(F7*P7/1000 + J7,decimalen),G7)</f>
        <v>6.9000000000000006E-2</v>
      </c>
      <c r="I7" s="339" t="str">
        <f ca="1">IF(T7&gt;0,"netlevering: "&amp;T7&amp;", niet-netlevering: "&amp;U7,INDIRECT(CONCATENATE("'",$A7,"'!$C$12")))</f>
        <v>netlevering: 6, niet-netlevering: 8</v>
      </c>
      <c r="J7" s="341">
        <f ca="1">INDIRECT(CONCATENATE("'",$A7,"'!$C$7"))</f>
        <v>4.8000000000000001E-2</v>
      </c>
      <c r="K7" s="341" t="str">
        <f ca="1">IF(T7&gt;0,CONCATENATE("netlevering: ",V7,", niet-netlevering: ",W7),J7)</f>
        <v>netlevering: 0.048, niet-netlevering: 0.082</v>
      </c>
      <c r="L7" s="338" t="str">
        <f ca="1">INDIRECT(CONCATENATE("'",$A7,"'!$C$160"))</f>
        <v>netlevering: 0.048, niet-netlevering: 0.082</v>
      </c>
      <c r="M7" s="338" t="str">
        <f ca="1">INDIRECT(CONCATENATE("'",$A7,"'!$C$163"))</f>
        <v>netlevering: 0.122, niet-netlevering: 0.153</v>
      </c>
      <c r="N7" s="405" t="s">
        <v>416</v>
      </c>
      <c r="O7" s="338" t="str">
        <f ca="1">INDIRECT(CONCATENATE("'",$A7,"'!$C$169"))</f>
        <v>netlevering: 0.004, niet-netlevering: 0</v>
      </c>
      <c r="P7" s="338">
        <f ca="1">ROUND(INDIRECT(CONCATENATE("'",$A7,"'!$C$8")),4)</f>
        <v>7.0900000000000005E-2</v>
      </c>
      <c r="Q7" s="342">
        <f ca="1">INDIRECT(CONCATENATE("'",$A7,"'!$D$156"))</f>
        <v>900</v>
      </c>
      <c r="R7" s="343">
        <f ca="1">ROUND(INDIRECT(CONCATENATE("'",$A7,"'!$D$155")),2)</f>
        <v>0</v>
      </c>
      <c r="S7" s="344"/>
      <c r="T7" s="339">
        <f ca="1">INDIRECT(CONCATENATE("'",$A7,"'!$C$16"))</f>
        <v>6</v>
      </c>
      <c r="U7" s="339">
        <f ca="1">INDIRECT(CONCATENATE("'",$A7,"'!$C$17"))</f>
        <v>8</v>
      </c>
      <c r="V7" s="338">
        <f ca="1">INDIRECT(CONCATENATE("'",$A7,"'!$C$20"))</f>
        <v>4.8000000000000001E-2</v>
      </c>
      <c r="W7" s="338">
        <f ca="1">INDIRECT(CONCATENATE("'",$A7,"'!$C$21"))</f>
        <v>8.2000000000000003E-2</v>
      </c>
      <c r="X7" s="348">
        <f ca="1">INDIRECT(CONCATENATE("'",$A7,"'!$C$21"))</f>
        <v>8.2000000000000003E-2</v>
      </c>
      <c r="Y7" s="338" t="str">
        <f ca="1">INDIRECT(CONCATENATE("'",$A7,"'!$C$163"))</f>
        <v>netlevering: 0.122, niet-netlevering: 0.153</v>
      </c>
      <c r="Z7" s="402" t="str">
        <f ca="1">INDIRECT(CONCATENATE("'",$A7,"'!$C$166"))</f>
        <v>netlevering: 0.128, niet-netlevering: 0.159</v>
      </c>
    </row>
    <row r="8" spans="1:26" s="304" customFormat="1" ht="15" x14ac:dyDescent="0.25">
      <c r="A8" s="337">
        <v>2</v>
      </c>
      <c r="B8" s="337" t="str">
        <f ca="1">INDIRECT(CONCATENATE("'",A8,"'!A2"))</f>
        <v>Fotovoltaïsche zonnepanelen, 15 – 500 kWp (gva, referentie 150 kWp)</v>
      </c>
      <c r="C8" s="338" t="str">
        <f ca="1">INDIRECT(CONCATENATE("'",$A8,"'!$C$9"))</f>
        <v>kWh</v>
      </c>
      <c r="D8" s="338" t="str">
        <f t="shared" ref="D8:D27" ca="1" si="0">INDIRECT(CONCATENATE("'",$A8,"'!$C$11"))</f>
        <v>Elektriciteit</v>
      </c>
      <c r="E8" s="339">
        <f ca="1">ROUND((G8-J8)/P8*1000,0)</f>
        <v>551</v>
      </c>
      <c r="F8" s="339">
        <f ca="1">IF(OR(D8="Elektriciteit",D8="CCS/CCU"),IF(E8&gt;300,300,E8),IF(D8="Hogetemperatuurwarmte",IF(E8&gt;400,400,E8),IF(D8="Lagetemperatuurwarmte",IF(E8&gt;400,400,E8),IF(D8="Moleculen",IF(E8&gt;400,400,E8),E8))))</f>
        <v>300</v>
      </c>
      <c r="G8" s="340">
        <f t="shared" ref="G8:G27" ca="1" si="1">INDIRECT(CONCATENATE("'",$A8,"'!$C$5"))</f>
        <v>0.109</v>
      </c>
      <c r="H8" s="340">
        <f ca="1">IF(OR(F8=300,F8=400),ROUND(F8*P8/1000 + J8,decimalen),G8)</f>
        <v>9.0999999999999998E-2</v>
      </c>
      <c r="I8" s="339" t="str">
        <f ca="1">IF(T8&gt;0,"netlevering: "&amp;T8&amp;", niet-netlevering: "&amp;U8,INDIRECT(CONCATENATE("'",$A8,"'!$C$12")))</f>
        <v>netlevering: 6, niet-netlevering: 8</v>
      </c>
      <c r="J8" s="341">
        <f t="shared" ref="J8:J27" ca="1" si="2">INDIRECT(CONCATENATE("'",$A8,"'!$C$7"))</f>
        <v>7.0000000000000007E-2</v>
      </c>
      <c r="K8" s="341" t="str">
        <f ca="1">IF(T8&gt;0,CONCATENATE("netlevering: ",V8,", niet-netlevering: ",W8),J8)</f>
        <v>netlevering: 0.048, niet-netlevering: 0.082</v>
      </c>
      <c r="L8" s="338" t="str">
        <f t="shared" ref="L8:L27" ca="1" si="3">INDIRECT(CONCATENATE("'",$A8,"'!$C$160"))</f>
        <v>netlevering: 0.048, niet-netlevering: 0.082</v>
      </c>
      <c r="M8" s="338" t="str">
        <f t="shared" ref="M8:M27" ca="1" si="4">INDIRECT(CONCATENATE("'",$A8,"'!$C$163"))</f>
        <v>netlevering: 0.122, niet-netlevering: 0.153</v>
      </c>
      <c r="N8" s="405" t="s">
        <v>416</v>
      </c>
      <c r="O8" s="338" t="str">
        <f t="shared" ref="O8:O27" ca="1" si="5">INDIRECT(CONCATENATE("'",$A8,"'!$C$169"))</f>
        <v>netlevering: 0.004, niet-netlevering: 0</v>
      </c>
      <c r="P8" s="338">
        <f ca="1">ROUND(INDIRECT(CONCATENATE("'",$A8,"'!$C$8")),4)</f>
        <v>7.0800000000000002E-2</v>
      </c>
      <c r="Q8" s="342">
        <f t="shared" ref="Q8:Q27" ca="1" si="6">INDIRECT(CONCATENATE("'",$A8,"'!$D$156"))</f>
        <v>840</v>
      </c>
      <c r="R8" s="343">
        <f t="shared" ref="R8:R27" ca="1" si="7">ROUND(INDIRECT(CONCATENATE("'",$A8,"'!$D$155")),2)</f>
        <v>0</v>
      </c>
      <c r="S8" s="344"/>
      <c r="T8" s="339">
        <f t="shared" ref="T8:T27" ca="1" si="8">INDIRECT(CONCATENATE("'",$A8,"'!$C$16"))</f>
        <v>6</v>
      </c>
      <c r="U8" s="339">
        <f t="shared" ref="U8:U27" ca="1" si="9">INDIRECT(CONCATENATE("'",$A8,"'!$C$17"))</f>
        <v>8</v>
      </c>
      <c r="V8" s="338">
        <f t="shared" ref="V8:V27" ca="1" si="10">INDIRECT(CONCATENATE("'",$A8,"'!$C$20"))</f>
        <v>4.8000000000000001E-2</v>
      </c>
      <c r="W8" s="338">
        <f t="shared" ref="W8:W27" ca="1" si="11">INDIRECT(CONCATENATE("'",$A8,"'!$C$21"))</f>
        <v>8.2000000000000003E-2</v>
      </c>
      <c r="X8" s="402">
        <f t="shared" ref="X8:X27" ca="1" si="12">INDIRECT(CONCATENATE("'",$A8,"'!$C$173"))</f>
        <v>0</v>
      </c>
      <c r="Y8" s="338" t="str">
        <f t="shared" ref="Y8:Y27" ca="1" si="13">INDIRECT(CONCATENATE("'",$A8,"'!$C$163"))</f>
        <v>netlevering: 0.122, niet-netlevering: 0.153</v>
      </c>
      <c r="Z8" s="402" t="str">
        <f t="shared" ref="Z8:Z27" ca="1" si="14">INDIRECT(CONCATENATE("'",$A8,"'!$C$166"))</f>
        <v>netlevering: 0.128, niet-netlevering: 0.159</v>
      </c>
    </row>
    <row r="9" spans="1:26" s="304" customFormat="1" ht="15" x14ac:dyDescent="0.25">
      <c r="A9" s="337">
        <v>3</v>
      </c>
      <c r="B9" s="337" t="str">
        <f ca="1">INDIRECT(CONCATENATE("'",A9,"'!A2"))</f>
        <v>Fotovoltaïsche zonnepanelen, gebouwgebonden 500 kWp - 6 MWp (gva, referentie 2500 kWp)</v>
      </c>
      <c r="C9" s="338" t="str">
        <f ca="1">INDIRECT(CONCATENATE("'",$A9,"'!$C$9"))</f>
        <v>kWh</v>
      </c>
      <c r="D9" s="338" t="str">
        <f t="shared" ca="1" si="0"/>
        <v>Elektriciteit</v>
      </c>
      <c r="E9" s="339">
        <f ca="1">ROUND((G9-J9)/P9*1000,0)</f>
        <v>184</v>
      </c>
      <c r="F9" s="339">
        <f ca="1">IF(OR(D9="Elektriciteit",D9="CCS/CCU"),IF(E9&gt;300,300,E9),IF(D9="Hogetemperatuurwarmte",IF(E9&gt;400,400,E9),IF(D9="Lagetemperatuurwarmte",IF(E9&gt;400,400,E9),IF(D9="Moleculen",IF(E9&gt;400,400,E9),E9))))</f>
        <v>184</v>
      </c>
      <c r="G9" s="340">
        <f t="shared" ca="1" si="1"/>
        <v>8.1000000000000003E-2</v>
      </c>
      <c r="H9" s="340">
        <f ca="1">IF(OR(F9=300,F9=400),ROUND(F9*P9/1000 + J9,decimalen),G9)</f>
        <v>8.1000000000000003E-2</v>
      </c>
      <c r="I9" s="339" t="str">
        <f ca="1">IF(T9&gt;0,"netlevering: "&amp;T9&amp;", niet-netlevering: "&amp;U9,INDIRECT(CONCATENATE("'",$A9,"'!$C$12")))</f>
        <v>netlevering: 6, niet-netlevering: 8</v>
      </c>
      <c r="J9" s="341">
        <f t="shared" ca="1" si="2"/>
        <v>6.8000000000000005E-2</v>
      </c>
      <c r="K9" s="341" t="str">
        <f ca="1">IF(T9&gt;0,CONCATENATE("netlevering: ",V9,", niet-netlevering: ",W9),J9)</f>
        <v>netlevering: 0.048, niet-netlevering: 0.082</v>
      </c>
      <c r="L9" s="338" t="str">
        <f t="shared" ca="1" si="3"/>
        <v>netlevering: 0.048, niet-netlevering: 0.082</v>
      </c>
      <c r="M9" s="338" t="str">
        <f t="shared" ca="1" si="4"/>
        <v>netlevering: 0.122, niet-netlevering: 0.153</v>
      </c>
      <c r="N9" s="405" t="s">
        <v>416</v>
      </c>
      <c r="O9" s="338" t="str">
        <f t="shared" ca="1" si="5"/>
        <v>netlevering: 0.004, niet-netlevering: 0</v>
      </c>
      <c r="P9" s="338">
        <f ca="1">ROUND(INDIRECT(CONCATENATE("'",$A9,"'!$C$8")),4)</f>
        <v>7.0800000000000002E-2</v>
      </c>
      <c r="Q9" s="342">
        <f t="shared" ca="1" si="6"/>
        <v>840</v>
      </c>
      <c r="R9" s="343">
        <f t="shared" ca="1" si="7"/>
        <v>0</v>
      </c>
      <c r="S9" s="344"/>
      <c r="T9" s="339">
        <f t="shared" ca="1" si="8"/>
        <v>6</v>
      </c>
      <c r="U9" s="339">
        <f t="shared" ca="1" si="9"/>
        <v>8</v>
      </c>
      <c r="V9" s="338">
        <f t="shared" ca="1" si="10"/>
        <v>4.8000000000000001E-2</v>
      </c>
      <c r="W9" s="338">
        <f t="shared" ca="1" si="11"/>
        <v>8.2000000000000003E-2</v>
      </c>
      <c r="X9" s="402">
        <f t="shared" ca="1" si="12"/>
        <v>0</v>
      </c>
      <c r="Y9" s="338" t="str">
        <f t="shared" ca="1" si="13"/>
        <v>netlevering: 0.122, niet-netlevering: 0.153</v>
      </c>
      <c r="Z9" s="402" t="str">
        <f t="shared" ca="1" si="14"/>
        <v>netlevering: 0.128, niet-netlevering: 0.159</v>
      </c>
    </row>
    <row r="10" spans="1:26" s="304" customFormat="1" ht="15" x14ac:dyDescent="0.25">
      <c r="A10" s="337">
        <v>4</v>
      </c>
      <c r="B10" s="337" t="str">
        <f ca="1">INDIRECT(CONCATENATE("'",A10,"'!A2"))</f>
        <v>Fotovoltaïsche zonnepanelen, grondgebonden 500 kWp - 6 MWp (gva, referentie 10000 kWp)</v>
      </c>
      <c r="C10" s="338" t="str">
        <f ca="1">INDIRECT(CONCATENATE("'",$A10,"'!$C$9"))</f>
        <v>kWh</v>
      </c>
      <c r="D10" s="338" t="str">
        <f t="shared" ca="1" si="0"/>
        <v>Elektriciteit</v>
      </c>
      <c r="E10" s="339">
        <f ca="1">ROUND((G10-J10)/P10*1000,0)</f>
        <v>268</v>
      </c>
      <c r="F10" s="339">
        <f ca="1">IF(OR(D10="Elektriciteit",D10="CCS/CCU"),IF(E10&gt;300,300,E10),IF(D10="Hogetemperatuurwarmte",IF(E10&gt;400,400,E10),IF(D10="Lagetemperatuurwarmte",IF(E10&gt;400,400,E10),IF(D10="Moleculen",IF(E10&gt;400,400,E10),E10))))</f>
        <v>268</v>
      </c>
      <c r="G10" s="340">
        <f t="shared" ca="1" si="1"/>
        <v>7.0000000000000007E-2</v>
      </c>
      <c r="H10" s="340">
        <f ca="1">IF(OR(F10=300,F10=400),ROUND(F10*P10/1000 + J10,decimalen),G10)</f>
        <v>7.0000000000000007E-2</v>
      </c>
      <c r="I10" s="339" t="str">
        <f ca="1">IF(T10&gt;0,"netlevering: "&amp;T10&amp;", niet-netlevering: "&amp;U10,INDIRECT(CONCATENATE("'",$A10,"'!$C$12")))</f>
        <v>netlevering: 6, niet-netlevering: 8</v>
      </c>
      <c r="J10" s="341">
        <f t="shared" ca="1" si="2"/>
        <v>5.0999999999999997E-2</v>
      </c>
      <c r="K10" s="341" t="str">
        <f ca="1">IF(T10&gt;0,CONCATENATE("netlevering: ",V10,", niet-netlevering: ",W10),J10)</f>
        <v>netlevering: 0.048, niet-netlevering: 0.082</v>
      </c>
      <c r="L10" s="338" t="str">
        <f t="shared" ca="1" si="3"/>
        <v>netlevering: 0.048, niet-netlevering: 0.082</v>
      </c>
      <c r="M10" s="338" t="str">
        <f t="shared" ca="1" si="4"/>
        <v>netlevering: 0.122, niet-netlevering: 0.153</v>
      </c>
      <c r="N10" s="405" t="s">
        <v>416</v>
      </c>
      <c r="O10" s="338" t="str">
        <f t="shared" ca="1" si="5"/>
        <v>netlevering: 0.004, niet-netlevering: 0</v>
      </c>
      <c r="P10" s="338">
        <f ca="1">ROUND(INDIRECT(CONCATENATE("'",$A10,"'!$C$8")),4)</f>
        <v>7.0800000000000002E-2</v>
      </c>
      <c r="Q10" s="342">
        <f t="shared" ca="1" si="6"/>
        <v>855</v>
      </c>
      <c r="R10" s="343">
        <f t="shared" ca="1" si="7"/>
        <v>0</v>
      </c>
      <c r="S10" s="344"/>
      <c r="T10" s="339">
        <f t="shared" ca="1" si="8"/>
        <v>6</v>
      </c>
      <c r="U10" s="339">
        <f t="shared" ca="1" si="9"/>
        <v>8</v>
      </c>
      <c r="V10" s="338">
        <f t="shared" ca="1" si="10"/>
        <v>4.8000000000000001E-2</v>
      </c>
      <c r="W10" s="338">
        <f t="shared" ca="1" si="11"/>
        <v>8.2000000000000003E-2</v>
      </c>
      <c r="X10" s="402">
        <f t="shared" ca="1" si="12"/>
        <v>0</v>
      </c>
      <c r="Y10" s="338" t="str">
        <f t="shared" ca="1" si="13"/>
        <v>netlevering: 0.122, niet-netlevering: 0.153</v>
      </c>
      <c r="Z10" s="402" t="str">
        <f t="shared" ca="1" si="14"/>
        <v>netlevering: 0.128, niet-netlevering: 0.159</v>
      </c>
    </row>
    <row r="11" spans="1:26" s="304" customFormat="1" ht="15" x14ac:dyDescent="0.25">
      <c r="A11" s="337">
        <v>5</v>
      </c>
      <c r="B11" s="337" t="str">
        <f ca="1">INDIRECT(CONCATENATE("'",A11,"'!A2"))</f>
        <v>Fotovoltaïsche zonnepanelen, drijvend op water 500 kWp - 6 MWp (gva, referentie 10000 kWp)</v>
      </c>
      <c r="C11" s="338" t="str">
        <f ca="1">INDIRECT(CONCATENATE("'",$A11,"'!$C$9"))</f>
        <v>kWh</v>
      </c>
      <c r="D11" s="338" t="str">
        <f t="shared" ca="1" si="0"/>
        <v>Elektriciteit</v>
      </c>
      <c r="E11" s="339">
        <f ca="1">ROUND((G11-J11)/P11*1000,0)</f>
        <v>452</v>
      </c>
      <c r="F11" s="339">
        <f ca="1">IF(OR(D11="Elektriciteit",D11="CCS/CCU"),IF(E11&gt;300,300,E11),IF(D11="Hogetemperatuurwarmte",IF(E11&gt;400,400,E11),IF(D11="Lagetemperatuurwarmte",IF(E11&gt;400,400,E11),IF(D11="Moleculen",IF(E11&gt;400,400,E11),E11))))</f>
        <v>300</v>
      </c>
      <c r="G11" s="340">
        <f t="shared" ca="1" si="1"/>
        <v>8.3000000000000004E-2</v>
      </c>
      <c r="H11" s="340">
        <f ca="1">IF(OR(F11=300,F11=400),ROUND(F11*P11/1000 + J11,decimalen),G11)</f>
        <v>7.1999999999999995E-2</v>
      </c>
      <c r="I11" s="339" t="str">
        <f ca="1">IF(T11&gt;0,"netlevering: "&amp;T11&amp;", niet-netlevering: "&amp;U11,INDIRECT(CONCATENATE("'",$A11,"'!$C$12")))</f>
        <v>netlevering: 6, niet-netlevering: 8</v>
      </c>
      <c r="J11" s="341">
        <f t="shared" ca="1" si="2"/>
        <v>5.0999999999999997E-2</v>
      </c>
      <c r="K11" s="341" t="str">
        <f ca="1">IF(T11&gt;0,CONCATENATE("netlevering: ",V11,", niet-netlevering: ",W11),J11)</f>
        <v>netlevering: 0.048, niet-netlevering: 0.082</v>
      </c>
      <c r="L11" s="338" t="str">
        <f t="shared" ca="1" si="3"/>
        <v>netlevering: 0.048, niet-netlevering: 0.082</v>
      </c>
      <c r="M11" s="338" t="str">
        <f t="shared" ca="1" si="4"/>
        <v>netlevering: 0.122, niet-netlevering: 0.153</v>
      </c>
      <c r="N11" s="405" t="s">
        <v>416</v>
      </c>
      <c r="O11" s="338" t="str">
        <f t="shared" ca="1" si="5"/>
        <v>netlevering: 0.004, niet-netlevering: 0</v>
      </c>
      <c r="P11" s="338">
        <f ca="1">ROUND(INDIRECT(CONCATENATE("'",$A11,"'!$C$8")),4)</f>
        <v>7.0800000000000002E-2</v>
      </c>
      <c r="Q11" s="342">
        <f t="shared" ca="1" si="6"/>
        <v>855</v>
      </c>
      <c r="R11" s="343">
        <f t="shared" ca="1" si="7"/>
        <v>0</v>
      </c>
      <c r="S11" s="344"/>
      <c r="T11" s="339">
        <f t="shared" ca="1" si="8"/>
        <v>6</v>
      </c>
      <c r="U11" s="339">
        <f t="shared" ca="1" si="9"/>
        <v>8</v>
      </c>
      <c r="V11" s="338">
        <f t="shared" ca="1" si="10"/>
        <v>4.8000000000000001E-2</v>
      </c>
      <c r="W11" s="338">
        <f t="shared" ca="1" si="11"/>
        <v>8.2000000000000003E-2</v>
      </c>
      <c r="X11" s="402">
        <f t="shared" ca="1" si="12"/>
        <v>0</v>
      </c>
      <c r="Y11" s="338" t="str">
        <f t="shared" ca="1" si="13"/>
        <v>netlevering: 0.122, niet-netlevering: 0.153</v>
      </c>
      <c r="Z11" s="402" t="str">
        <f t="shared" ca="1" si="14"/>
        <v>netlevering: 0.128, niet-netlevering: 0.159</v>
      </c>
    </row>
    <row r="12" spans="1:26" x14ac:dyDescent="0.2">
      <c r="A12" s="317"/>
      <c r="B12" s="318" t="s">
        <v>65</v>
      </c>
      <c r="C12" s="319"/>
      <c r="D12" s="319"/>
      <c r="E12" s="319"/>
      <c r="F12" s="320"/>
      <c r="G12" s="321"/>
      <c r="H12" s="321"/>
      <c r="I12" s="322"/>
      <c r="J12" s="323"/>
      <c r="K12" s="323"/>
      <c r="L12" s="321"/>
      <c r="M12" s="321"/>
      <c r="N12" s="321"/>
      <c r="O12" s="319"/>
      <c r="P12" s="321"/>
      <c r="Q12" s="324"/>
      <c r="R12" s="325"/>
      <c r="S12" s="309"/>
      <c r="T12" s="325"/>
      <c r="U12" s="325"/>
      <c r="V12" s="326"/>
      <c r="W12" s="326"/>
      <c r="X12" s="326"/>
      <c r="Y12" s="321"/>
      <c r="Z12" s="404"/>
    </row>
    <row r="13" spans="1:26" s="304" customFormat="1" ht="15" x14ac:dyDescent="0.25">
      <c r="A13" s="337">
        <v>6</v>
      </c>
      <c r="B13" s="337" t="str">
        <f t="shared" ref="B13:B25" ca="1" si="15">INDIRECT(CONCATENATE("'",A13,"'!A2"))</f>
        <v>Windenergie, 15 kW op kva</v>
      </c>
      <c r="C13" s="338" t="str">
        <f ca="1">INDIRECT(CONCATENATE("'",$A13,"'!$C$9"))</f>
        <v>kWh</v>
      </c>
      <c r="D13" s="338" t="str">
        <f ca="1">INDIRECT(CONCATENATE("'",$A13,"'!$C$11"))</f>
        <v>Elektriciteit</v>
      </c>
      <c r="E13" s="339">
        <f t="shared" ref="E13:E25" ca="1" si="16">ROUND((G13-J13)/P13*1000,0)</f>
        <v>952</v>
      </c>
      <c r="F13" s="339">
        <f t="shared" ref="F13:F25" ca="1" si="17">IF(OR(D13="Elektriciteit",D13="CCS/CCU"),IF(E13&gt;300,300,E13),IF(D13="Hogetemperatuurwarmte",IF(E13&gt;400,400,E13),IF(D13="Lagetemperatuurwarmte",IF(E13&gt;400,400,E13),IF(D13="Moleculen",IF(E13&gt;400,400,E13),E13))))</f>
        <v>300</v>
      </c>
      <c r="G13" s="340">
        <f ca="1">INDIRECT(CONCATENATE("'",$A13,"'!$C$5"))</f>
        <v>0.16600000000000001</v>
      </c>
      <c r="H13" s="340">
        <f t="shared" ref="H13:H25" ca="1" si="18">IF(OR(F13=300,F13=400),ROUND(F13*P13/1000 + J13,decimalen),G13)</f>
        <v>9.5000000000000001E-2</v>
      </c>
      <c r="I13" s="339">
        <f t="shared" ref="I13:I25" ca="1" si="19">IF(T13&gt;0,"netlevering: "&amp;T13&amp;", niet-netlevering: "&amp;U13,INDIRECT(CONCATENATE("'",$A13,"'!$C$12")))</f>
        <v>4</v>
      </c>
      <c r="J13" s="341">
        <f ca="1">INDIRECT(CONCATENATE("'",$A13,"'!$C$7"))</f>
        <v>6.2E-2</v>
      </c>
      <c r="K13" s="341">
        <f t="shared" ref="K13:K25" ca="1" si="20">IF(T13&gt;0,CONCATENATE("netlevering: ",V13,", niet-netlevering: ",W13),J13)</f>
        <v>6.2E-2</v>
      </c>
      <c r="L13" s="340">
        <f ca="1">INDIRECT(CONCATENATE("'",$A13,"'!$C$160"))</f>
        <v>4.1000000000000002E-2</v>
      </c>
      <c r="M13" s="340">
        <f ca="1">INDIRECT(CONCATENATE("'",$A13,"'!$C$163"))</f>
        <v>0.111</v>
      </c>
      <c r="N13" s="405" t="s">
        <v>417</v>
      </c>
      <c r="O13" s="338">
        <f ca="1">INDIRECT(CONCATENATE("'",$A13,"'!$C$169"))</f>
        <v>4.0000000000000001E-3</v>
      </c>
      <c r="P13" s="338">
        <f ca="1">ROUND(INDIRECT(CONCATENATE("'",$A13,"'!$C$8")),4)</f>
        <v>0.10929999999999999</v>
      </c>
      <c r="Q13" s="342">
        <f ca="1">INDIRECT(CONCATENATE("'",$A13,"'!$D$156"))</f>
        <v>2140</v>
      </c>
      <c r="R13" s="343">
        <f ca="1">ROUND(INDIRECT(CONCATENATE("'",$A13,"'!$D$155")),2)</f>
        <v>0</v>
      </c>
      <c r="S13" s="344"/>
      <c r="T13" s="339">
        <f ca="1">INDIRECT(CONCATENATE("'",$A13,"'!$C$16"))</f>
        <v>0</v>
      </c>
      <c r="U13" s="339">
        <f ca="1">INDIRECT(CONCATENATE("'",$A13,"'!$C$17"))</f>
        <v>0</v>
      </c>
      <c r="V13" s="338" t="str">
        <f ca="1">INDIRECT(CONCATENATE("'",$A13,"'!$C$20"))</f>
        <v>n.v.t.</v>
      </c>
      <c r="W13" s="338" t="str">
        <f ca="1">INDIRECT(CONCATENATE("'",$A13,"'!$C$21"))</f>
        <v>n.v.t.</v>
      </c>
      <c r="X13" s="346">
        <f ca="1">INDIRECT(CONCATENATE("'",$A13,"'!$C$173"))</f>
        <v>0</v>
      </c>
      <c r="Y13" s="340">
        <f ca="1">INDIRECT(CONCATENATE("'",$A13,"'!$C$163"))</f>
        <v>0.111</v>
      </c>
      <c r="Z13" s="402">
        <f t="shared" ca="1" si="14"/>
        <v>0.115</v>
      </c>
    </row>
    <row r="14" spans="1:26" s="304" customFormat="1" ht="15" x14ac:dyDescent="0.25">
      <c r="A14" s="337">
        <v>7</v>
      </c>
      <c r="B14" s="337" t="str">
        <f t="shared" ca="1" si="15"/>
        <v>Windenergie, 1 MW – windsnelheid &gt; 8,50 m/s, op gva</v>
      </c>
      <c r="C14" s="338" t="str">
        <f ca="1">INDIRECT(CONCATENATE("'",$A14,"'!$C$9"))</f>
        <v>kWh</v>
      </c>
      <c r="D14" s="338" t="str">
        <f ca="1">INDIRECT(CONCATENATE("'",$A14,"'!$C$11"))</f>
        <v>Elektriciteit</v>
      </c>
      <c r="E14" s="339">
        <f t="shared" ca="1" si="16"/>
        <v>403</v>
      </c>
      <c r="F14" s="339">
        <f t="shared" ca="1" si="17"/>
        <v>300</v>
      </c>
      <c r="G14" s="340">
        <f ca="1">INDIRECT(CONCATENATE("'",$A14,"'!$C$5"))</f>
        <v>0.106</v>
      </c>
      <c r="H14" s="340">
        <f t="shared" ca="1" si="18"/>
        <v>9.5000000000000001E-2</v>
      </c>
      <c r="I14" s="339">
        <f t="shared" ca="1" si="19"/>
        <v>4</v>
      </c>
      <c r="J14" s="341">
        <f ca="1">INDIRECT(CONCATENATE("'",$A14,"'!$C$7"))</f>
        <v>6.2E-2</v>
      </c>
      <c r="K14" s="341">
        <f t="shared" ca="1" si="20"/>
        <v>6.2E-2</v>
      </c>
      <c r="L14" s="340">
        <f ca="1">INDIRECT(CONCATENATE("'",$A14,"'!$C$160"))</f>
        <v>4.1000000000000002E-2</v>
      </c>
      <c r="M14" s="340">
        <f ca="1">INDIRECT(CONCATENATE("'",$A14,"'!$C$163"))</f>
        <v>0.111</v>
      </c>
      <c r="N14" s="405" t="s">
        <v>417</v>
      </c>
      <c r="O14" s="338">
        <f ca="1">INDIRECT(CONCATENATE("'",$A14,"'!$C$169"))</f>
        <v>4.0000000000000001E-3</v>
      </c>
      <c r="P14" s="338">
        <f ca="1">ROUND(INDIRECT(CONCATENATE("'",$A14,"'!$C$8")),4)</f>
        <v>0.10929999999999999</v>
      </c>
      <c r="Q14" s="342">
        <f ca="1">INDIRECT(CONCATENATE("'",$A14,"'!$D$156"))</f>
        <v>2400</v>
      </c>
      <c r="R14" s="343">
        <f ca="1">ROUND(INDIRECT(CONCATENATE("'",$A14,"'!$D$155")),2)</f>
        <v>0</v>
      </c>
      <c r="S14" s="344"/>
      <c r="T14" s="339">
        <f ca="1">INDIRECT(CONCATENATE("'",$A14,"'!$C$16"))</f>
        <v>0</v>
      </c>
      <c r="U14" s="339">
        <f ca="1">INDIRECT(CONCATENATE("'",$A14,"'!$C$17"))</f>
        <v>0</v>
      </c>
      <c r="V14" s="338" t="str">
        <f ca="1">INDIRECT(CONCATENATE("'",$A14,"'!$C$20"))</f>
        <v>n.v.t.</v>
      </c>
      <c r="W14" s="338" t="str">
        <f ca="1">INDIRECT(CONCATENATE("'",$A14,"'!$C$21"))</f>
        <v>n.v.t.</v>
      </c>
      <c r="X14" s="346">
        <f ca="1">INDIRECT(CONCATENATE("'",$A14,"'!$C$173"))</f>
        <v>0</v>
      </c>
      <c r="Y14" s="340">
        <f ca="1">INDIRECT(CONCATENATE("'",$A14,"'!$C$163"))</f>
        <v>0.111</v>
      </c>
      <c r="Z14" s="402">
        <f t="shared" ca="1" si="14"/>
        <v>0.115</v>
      </c>
    </row>
    <row r="15" spans="1:26" s="304" customFormat="1" ht="15" x14ac:dyDescent="0.25">
      <c r="A15" s="337">
        <v>8</v>
      </c>
      <c r="B15" s="337" t="str">
        <f t="shared" ca="1" si="15"/>
        <v>Windenergie, 1 MW – windsnelheid 8,00 - 8,50 m/s op gva</v>
      </c>
      <c r="C15" s="338" t="str">
        <f ca="1">INDIRECT(CONCATENATE("'",$A15,"'!$C$9"))</f>
        <v>kWh</v>
      </c>
      <c r="D15" s="338" t="str">
        <f ca="1">INDIRECT(CONCATENATE("'",$A15,"'!$C$11"))</f>
        <v>Elektriciteit</v>
      </c>
      <c r="E15" s="339">
        <f t="shared" ca="1" si="16"/>
        <v>476</v>
      </c>
      <c r="F15" s="339">
        <f t="shared" ca="1" si="17"/>
        <v>300</v>
      </c>
      <c r="G15" s="340">
        <f ca="1">INDIRECT(CONCATENATE("'",$A15,"'!$C$5"))</f>
        <v>0.114</v>
      </c>
      <c r="H15" s="340">
        <f t="shared" ca="1" si="18"/>
        <v>9.5000000000000001E-2</v>
      </c>
      <c r="I15" s="339">
        <f t="shared" ca="1" si="19"/>
        <v>4</v>
      </c>
      <c r="J15" s="341">
        <f ca="1">INDIRECT(CONCATENATE("'",$A15,"'!$C$7"))</f>
        <v>6.2E-2</v>
      </c>
      <c r="K15" s="341">
        <f t="shared" ca="1" si="20"/>
        <v>6.2E-2</v>
      </c>
      <c r="L15" s="340">
        <f ca="1">INDIRECT(CONCATENATE("'",$A15,"'!$C$160"))</f>
        <v>4.1000000000000002E-2</v>
      </c>
      <c r="M15" s="340">
        <f ca="1">INDIRECT(CONCATENATE("'",$A15,"'!$C$163"))</f>
        <v>0.111</v>
      </c>
      <c r="N15" s="405" t="s">
        <v>417</v>
      </c>
      <c r="O15" s="338">
        <f ca="1">INDIRECT(CONCATENATE("'",$A15,"'!$C$169"))</f>
        <v>4.0000000000000001E-3</v>
      </c>
      <c r="P15" s="338">
        <f ca="1">ROUND(INDIRECT(CONCATENATE("'",$A15,"'!$C$8")),4)</f>
        <v>0.10929999999999999</v>
      </c>
      <c r="Q15" s="342">
        <f ca="1">INDIRECT(CONCATENATE("'",$A15,"'!$D$156"))</f>
        <v>2220</v>
      </c>
      <c r="R15" s="343">
        <f ca="1">ROUND(INDIRECT(CONCATENATE("'",$A15,"'!$D$155")),2)</f>
        <v>0</v>
      </c>
      <c r="S15" s="344"/>
      <c r="T15" s="339">
        <f ca="1">INDIRECT(CONCATENATE("'",$A15,"'!$C$16"))</f>
        <v>0</v>
      </c>
      <c r="U15" s="339">
        <f ca="1">INDIRECT(CONCATENATE("'",$A15,"'!$C$17"))</f>
        <v>0</v>
      </c>
      <c r="V15" s="338" t="str">
        <f ca="1">INDIRECT(CONCATENATE("'",$A15,"'!$C$20"))</f>
        <v>n.v.t.</v>
      </c>
      <c r="W15" s="338" t="str">
        <f ca="1">INDIRECT(CONCATENATE("'",$A15,"'!$C$21"))</f>
        <v>n.v.t.</v>
      </c>
      <c r="X15" s="346">
        <f ca="1">INDIRECT(CONCATENATE("'",$A15,"'!$C$173"))</f>
        <v>0</v>
      </c>
      <c r="Y15" s="340">
        <f ca="1">INDIRECT(CONCATENATE("'",$A15,"'!$C$163"))</f>
        <v>0.111</v>
      </c>
      <c r="Z15" s="402">
        <f t="shared" ca="1" si="14"/>
        <v>0.115</v>
      </c>
    </row>
    <row r="16" spans="1:26" s="304" customFormat="1" ht="15" x14ac:dyDescent="0.25">
      <c r="A16" s="337">
        <v>9</v>
      </c>
      <c r="B16" s="337" t="str">
        <f t="shared" ca="1" si="15"/>
        <v>Windenergie, 1 MW – windsnelheid 7,50 - 8,00 m/s op gva</v>
      </c>
      <c r="C16" s="338" t="str">
        <f ca="1">INDIRECT(CONCATENATE("'",$A16,"'!$C$9"))</f>
        <v>kWh</v>
      </c>
      <c r="D16" s="338" t="str">
        <f ca="1">INDIRECT(CONCATENATE("'",$A16,"'!$C$11"))</f>
        <v>Elektriciteit</v>
      </c>
      <c r="E16" s="339">
        <f t="shared" ca="1" si="16"/>
        <v>640</v>
      </c>
      <c r="F16" s="339">
        <f t="shared" ca="1" si="17"/>
        <v>300</v>
      </c>
      <c r="G16" s="340">
        <f ca="1">INDIRECT(CONCATENATE("'",$A16,"'!$C$5"))</f>
        <v>0.13200000000000001</v>
      </c>
      <c r="H16" s="340">
        <f t="shared" ca="1" si="18"/>
        <v>9.5000000000000001E-2</v>
      </c>
      <c r="I16" s="339">
        <f t="shared" ca="1" si="19"/>
        <v>4</v>
      </c>
      <c r="J16" s="341">
        <f ca="1">INDIRECT(CONCATENATE("'",$A16,"'!$C$7"))</f>
        <v>6.2E-2</v>
      </c>
      <c r="K16" s="341">
        <f t="shared" ca="1" si="20"/>
        <v>6.2E-2</v>
      </c>
      <c r="L16" s="340">
        <f ca="1">INDIRECT(CONCATENATE("'",$A16,"'!$C$160"))</f>
        <v>4.1000000000000002E-2</v>
      </c>
      <c r="M16" s="340">
        <f ca="1">INDIRECT(CONCATENATE("'",$A16,"'!$C$163"))</f>
        <v>0.111</v>
      </c>
      <c r="N16" s="405" t="s">
        <v>417</v>
      </c>
      <c r="O16" s="338">
        <f ca="1">INDIRECT(CONCATENATE("'",$A16,"'!$C$169"))</f>
        <v>4.0000000000000001E-3</v>
      </c>
      <c r="P16" s="338">
        <f ca="1">ROUND(INDIRECT(CONCATENATE("'",$A16,"'!$C$8")),4)</f>
        <v>0.10929999999999999</v>
      </c>
      <c r="Q16" s="342">
        <f ca="1">INDIRECT(CONCATENATE("'",$A16,"'!$D$156"))</f>
        <v>1910</v>
      </c>
      <c r="R16" s="343">
        <f ca="1">ROUND(INDIRECT(CONCATENATE("'",$A16,"'!$D$155")),2)</f>
        <v>0</v>
      </c>
      <c r="S16" s="344"/>
      <c r="T16" s="339">
        <f ca="1">INDIRECT(CONCATENATE("'",$A16,"'!$C$16"))</f>
        <v>0</v>
      </c>
      <c r="U16" s="339">
        <f ca="1">INDIRECT(CONCATENATE("'",$A16,"'!$C$17"))</f>
        <v>0</v>
      </c>
      <c r="V16" s="338" t="str">
        <f ca="1">INDIRECT(CONCATENATE("'",$A16,"'!$C$20"))</f>
        <v>n.v.t.</v>
      </c>
      <c r="W16" s="338" t="str">
        <f ca="1">INDIRECT(CONCATENATE("'",$A16,"'!$C$21"))</f>
        <v>n.v.t.</v>
      </c>
      <c r="X16" s="346">
        <f ca="1">INDIRECT(CONCATENATE("'",$A16,"'!$C$173"))</f>
        <v>0</v>
      </c>
      <c r="Y16" s="340">
        <f ca="1">INDIRECT(CONCATENATE("'",$A16,"'!$C$163"))</f>
        <v>0.111</v>
      </c>
      <c r="Z16" s="402">
        <f t="shared" ca="1" si="14"/>
        <v>0.115</v>
      </c>
    </row>
    <row r="17" spans="1:26" s="304" customFormat="1" ht="15" x14ac:dyDescent="0.25">
      <c r="A17" s="345">
        <v>10</v>
      </c>
      <c r="B17" s="337" t="str">
        <f t="shared" ca="1" si="15"/>
        <v>Windenergie, 1 MW – windsnelheid 7,00 - 7,50 m/s op gva</v>
      </c>
      <c r="C17" s="338" t="str">
        <f ca="1">INDIRECT(CONCATENATE("'",$A17,"'!$C$9"))</f>
        <v>kWh</v>
      </c>
      <c r="D17" s="338" t="str">
        <f ca="1">INDIRECT(CONCATENATE("'",$A17,"'!$C$11"))</f>
        <v>Elektriciteit</v>
      </c>
      <c r="E17" s="339">
        <f t="shared" ca="1" si="16"/>
        <v>723</v>
      </c>
      <c r="F17" s="339">
        <f t="shared" ca="1" si="17"/>
        <v>300</v>
      </c>
      <c r="G17" s="340">
        <f ca="1">INDIRECT(CONCATENATE("'",$A17,"'!$C$5"))</f>
        <v>0.14099999999999999</v>
      </c>
      <c r="H17" s="340">
        <f t="shared" ca="1" si="18"/>
        <v>9.5000000000000001E-2</v>
      </c>
      <c r="I17" s="339">
        <f t="shared" ca="1" si="19"/>
        <v>4</v>
      </c>
      <c r="J17" s="341">
        <f ca="1">INDIRECT(CONCATENATE("'",$A17,"'!$C$7"))</f>
        <v>6.2E-2</v>
      </c>
      <c r="K17" s="341">
        <f t="shared" ca="1" si="20"/>
        <v>6.2E-2</v>
      </c>
      <c r="L17" s="340">
        <f ca="1">INDIRECT(CONCATENATE("'",$A17,"'!$C$160"))</f>
        <v>4.1000000000000002E-2</v>
      </c>
      <c r="M17" s="340">
        <f ca="1">INDIRECT(CONCATENATE("'",$A17,"'!$C$163"))</f>
        <v>0.111</v>
      </c>
      <c r="N17" s="405" t="s">
        <v>417</v>
      </c>
      <c r="O17" s="338">
        <f ca="1">INDIRECT(CONCATENATE("'",$A17,"'!$C$169"))</f>
        <v>4.0000000000000001E-3</v>
      </c>
      <c r="P17" s="338">
        <f ca="1">ROUND(INDIRECT(CONCATENATE("'",$A17,"'!$C$8")),4)</f>
        <v>0.10929999999999999</v>
      </c>
      <c r="Q17" s="342">
        <f ca="1">INDIRECT(CONCATENATE("'",$A17,"'!$D$156"))</f>
        <v>1780</v>
      </c>
      <c r="R17" s="343">
        <f ca="1">ROUND(INDIRECT(CONCATENATE("'",$A17,"'!$D$155")),2)</f>
        <v>0</v>
      </c>
      <c r="S17" s="344"/>
      <c r="T17" s="339">
        <f ca="1">INDIRECT(CONCATENATE("'",$A17,"'!$C$16"))</f>
        <v>0</v>
      </c>
      <c r="U17" s="339">
        <f ca="1">INDIRECT(CONCATENATE("'",$A17,"'!$C$17"))</f>
        <v>0</v>
      </c>
      <c r="V17" s="338" t="str">
        <f ca="1">INDIRECT(CONCATENATE("'",$A17,"'!$C$20"))</f>
        <v>n.v.t.</v>
      </c>
      <c r="W17" s="338" t="str">
        <f ca="1">INDIRECT(CONCATENATE("'",$A17,"'!$C$21"))</f>
        <v>n.v.t.</v>
      </c>
      <c r="X17" s="346">
        <f ca="1">INDIRECT(CONCATENATE("'",$A17,"'!$C$173"))</f>
        <v>0</v>
      </c>
      <c r="Y17" s="340">
        <f ca="1">INDIRECT(CONCATENATE("'",$A17,"'!$C$163"))</f>
        <v>0.111</v>
      </c>
      <c r="Z17" s="402">
        <f t="shared" ca="1" si="14"/>
        <v>0.115</v>
      </c>
    </row>
    <row r="18" spans="1:26" s="304" customFormat="1" ht="15" x14ac:dyDescent="0.25">
      <c r="A18" s="345">
        <v>11</v>
      </c>
      <c r="B18" s="337" t="str">
        <f t="shared" ca="1" si="15"/>
        <v>Windenergie, 1 MW – windsnelheid 6,75 - 7,00 m/s op gva</v>
      </c>
      <c r="C18" s="338" t="str">
        <f t="shared" ref="C18:C27" ca="1" si="21">INDIRECT(CONCATENATE("'",$A18,"'!$C$9"))</f>
        <v>kWh</v>
      </c>
      <c r="D18" s="338" t="str">
        <f t="shared" ca="1" si="0"/>
        <v>Elektriciteit</v>
      </c>
      <c r="E18" s="339">
        <f t="shared" ca="1" si="16"/>
        <v>823</v>
      </c>
      <c r="F18" s="339">
        <f t="shared" ca="1" si="17"/>
        <v>300</v>
      </c>
      <c r="G18" s="340">
        <f t="shared" ca="1" si="1"/>
        <v>0.152</v>
      </c>
      <c r="H18" s="340">
        <f t="shared" ca="1" si="18"/>
        <v>9.5000000000000001E-2</v>
      </c>
      <c r="I18" s="339">
        <f t="shared" ca="1" si="19"/>
        <v>4</v>
      </c>
      <c r="J18" s="341">
        <f t="shared" ca="1" si="2"/>
        <v>6.2E-2</v>
      </c>
      <c r="K18" s="341">
        <f t="shared" ca="1" si="20"/>
        <v>6.2E-2</v>
      </c>
      <c r="L18" s="340">
        <f t="shared" ca="1" si="3"/>
        <v>4.1000000000000002E-2</v>
      </c>
      <c r="M18" s="340">
        <f t="shared" ca="1" si="4"/>
        <v>0.111</v>
      </c>
      <c r="N18" s="405" t="s">
        <v>417</v>
      </c>
      <c r="O18" s="338">
        <f t="shared" ca="1" si="5"/>
        <v>4.0000000000000001E-3</v>
      </c>
      <c r="P18" s="338">
        <f t="shared" ref="P18:P27" ca="1" si="22">INDIRECT(CONCATENATE("'",$A18,"'!$C$8"))</f>
        <v>0.10929999999999999</v>
      </c>
      <c r="Q18" s="342">
        <f t="shared" ca="1" si="6"/>
        <v>1650</v>
      </c>
      <c r="R18" s="343">
        <f t="shared" ca="1" si="7"/>
        <v>0</v>
      </c>
      <c r="S18" s="344"/>
      <c r="T18" s="339">
        <f t="shared" ca="1" si="8"/>
        <v>0</v>
      </c>
      <c r="U18" s="339">
        <f t="shared" ca="1" si="9"/>
        <v>0</v>
      </c>
      <c r="V18" s="338" t="str">
        <f t="shared" ca="1" si="10"/>
        <v>n.v.t.</v>
      </c>
      <c r="W18" s="338" t="str">
        <f t="shared" ca="1" si="11"/>
        <v>n.v.t.</v>
      </c>
      <c r="X18" s="346">
        <f t="shared" ca="1" si="12"/>
        <v>0</v>
      </c>
      <c r="Y18" s="340">
        <f t="shared" ca="1" si="13"/>
        <v>0.111</v>
      </c>
      <c r="Z18" s="402">
        <f t="shared" ca="1" si="14"/>
        <v>0.115</v>
      </c>
    </row>
    <row r="19" spans="1:26" s="304" customFormat="1" ht="15" x14ac:dyDescent="0.25">
      <c r="A19" s="345">
        <v>12</v>
      </c>
      <c r="B19" s="337" t="str">
        <f t="shared" ca="1" si="15"/>
        <v>Windenergie, 1 MW – windsnelheid &lt; 6,75 m/s op gva</v>
      </c>
      <c r="C19" s="338" t="str">
        <f t="shared" ca="1" si="21"/>
        <v>kWh</v>
      </c>
      <c r="D19" s="338" t="str">
        <f t="shared" ca="1" si="0"/>
        <v>Elektriciteit</v>
      </c>
      <c r="E19" s="339">
        <f t="shared" ca="1" si="16"/>
        <v>924</v>
      </c>
      <c r="F19" s="339">
        <f t="shared" ca="1" si="17"/>
        <v>300</v>
      </c>
      <c r="G19" s="340">
        <f t="shared" ca="1" si="1"/>
        <v>0.16300000000000001</v>
      </c>
      <c r="H19" s="340">
        <f t="shared" ca="1" si="18"/>
        <v>9.5000000000000001E-2</v>
      </c>
      <c r="I19" s="339">
        <f t="shared" ca="1" si="19"/>
        <v>4</v>
      </c>
      <c r="J19" s="341">
        <f t="shared" ca="1" si="2"/>
        <v>6.2E-2</v>
      </c>
      <c r="K19" s="341">
        <f t="shared" ca="1" si="20"/>
        <v>6.2E-2</v>
      </c>
      <c r="L19" s="340">
        <f t="shared" ca="1" si="3"/>
        <v>4.1000000000000002E-2</v>
      </c>
      <c r="M19" s="340">
        <f t="shared" ca="1" si="4"/>
        <v>0.111</v>
      </c>
      <c r="N19" s="405" t="s">
        <v>417</v>
      </c>
      <c r="O19" s="338">
        <f t="shared" ca="1" si="5"/>
        <v>4.0000000000000001E-3</v>
      </c>
      <c r="P19" s="338">
        <f t="shared" ca="1" si="22"/>
        <v>0.10929999999999999</v>
      </c>
      <c r="Q19" s="342">
        <f t="shared" ca="1" si="6"/>
        <v>1530</v>
      </c>
      <c r="R19" s="343">
        <f t="shared" ca="1" si="7"/>
        <v>0</v>
      </c>
      <c r="S19" s="344"/>
      <c r="T19" s="339">
        <f t="shared" ca="1" si="8"/>
        <v>0</v>
      </c>
      <c r="U19" s="339">
        <f t="shared" ca="1" si="9"/>
        <v>0</v>
      </c>
      <c r="V19" s="338" t="str">
        <f t="shared" ca="1" si="10"/>
        <v>n.v.t.</v>
      </c>
      <c r="W19" s="338" t="str">
        <f t="shared" ca="1" si="11"/>
        <v>n.v.t.</v>
      </c>
      <c r="X19" s="346">
        <f t="shared" ca="1" si="12"/>
        <v>0</v>
      </c>
      <c r="Y19" s="340">
        <f t="shared" ca="1" si="13"/>
        <v>0.111</v>
      </c>
      <c r="Z19" s="402">
        <f t="shared" ca="1" si="14"/>
        <v>0.115</v>
      </c>
    </row>
    <row r="20" spans="1:26" s="304" customFormat="1" ht="15" x14ac:dyDescent="0.25">
      <c r="A20" s="345">
        <v>13</v>
      </c>
      <c r="B20" s="337" t="str">
        <f t="shared" ca="1" si="15"/>
        <v>Windenergie, tot 6MW – windsnelheid &gt; 8,50 m/s, (referentie 20 MW, gva)</v>
      </c>
      <c r="C20" s="338" t="str">
        <f t="shared" ca="1" si="21"/>
        <v>kWh</v>
      </c>
      <c r="D20" s="338" t="str">
        <f t="shared" ca="1" si="0"/>
        <v>Elektriciteit</v>
      </c>
      <c r="E20" s="339">
        <f t="shared" ca="1" si="16"/>
        <v>-91</v>
      </c>
      <c r="F20" s="339">
        <f t="shared" ca="1" si="17"/>
        <v>-91</v>
      </c>
      <c r="G20" s="340">
        <f t="shared" ca="1" si="1"/>
        <v>5.1999999999999998E-2</v>
      </c>
      <c r="H20" s="340">
        <f t="shared" ca="1" si="18"/>
        <v>5.1999999999999998E-2</v>
      </c>
      <c r="I20" s="339">
        <f t="shared" ca="1" si="19"/>
        <v>4</v>
      </c>
      <c r="J20" s="341">
        <f t="shared" ca="1" si="2"/>
        <v>6.2E-2</v>
      </c>
      <c r="K20" s="341">
        <f t="shared" ca="1" si="20"/>
        <v>6.2E-2</v>
      </c>
      <c r="L20" s="340">
        <f t="shared" ca="1" si="3"/>
        <v>4.1000000000000002E-2</v>
      </c>
      <c r="M20" s="340">
        <f t="shared" ca="1" si="4"/>
        <v>0.111</v>
      </c>
      <c r="N20" s="405" t="s">
        <v>417</v>
      </c>
      <c r="O20" s="338">
        <f t="shared" ca="1" si="5"/>
        <v>4.0000000000000001E-3</v>
      </c>
      <c r="P20" s="338">
        <f t="shared" ca="1" si="22"/>
        <v>0.10929999999999999</v>
      </c>
      <c r="Q20" s="342">
        <f t="shared" ca="1" si="6"/>
        <v>3575</v>
      </c>
      <c r="R20" s="343">
        <f t="shared" ca="1" si="7"/>
        <v>0</v>
      </c>
      <c r="S20" s="344"/>
      <c r="T20" s="339">
        <f t="shared" ca="1" si="8"/>
        <v>0</v>
      </c>
      <c r="U20" s="339">
        <f t="shared" ca="1" si="9"/>
        <v>0</v>
      </c>
      <c r="V20" s="338" t="str">
        <f t="shared" ca="1" si="10"/>
        <v>n.v.t.</v>
      </c>
      <c r="W20" s="338" t="str">
        <f t="shared" ca="1" si="11"/>
        <v>n.v.t.</v>
      </c>
      <c r="X20" s="346">
        <f t="shared" ca="1" si="12"/>
        <v>0</v>
      </c>
      <c r="Y20" s="340">
        <f t="shared" ca="1" si="13"/>
        <v>0.111</v>
      </c>
      <c r="Z20" s="402">
        <f t="shared" ca="1" si="14"/>
        <v>0.115</v>
      </c>
    </row>
    <row r="21" spans="1:26" s="304" customFormat="1" ht="15" x14ac:dyDescent="0.25">
      <c r="A21" s="345">
        <v>14</v>
      </c>
      <c r="B21" s="337" t="str">
        <f t="shared" ca="1" si="15"/>
        <v>Windenergie, tot 6MW – windsnelheid 8,00 - 8,50 m/s, (referentie 20 MW, gva)</v>
      </c>
      <c r="C21" s="338" t="str">
        <f t="shared" ca="1" si="21"/>
        <v>kWh</v>
      </c>
      <c r="D21" s="338" t="str">
        <f t="shared" ca="1" si="0"/>
        <v>Elektriciteit</v>
      </c>
      <c r="E21" s="339">
        <f t="shared" ca="1" si="16"/>
        <v>-82</v>
      </c>
      <c r="F21" s="339">
        <f t="shared" ca="1" si="17"/>
        <v>-82</v>
      </c>
      <c r="G21" s="340">
        <f t="shared" ca="1" si="1"/>
        <v>5.2999999999999999E-2</v>
      </c>
      <c r="H21" s="340">
        <f t="shared" ca="1" si="18"/>
        <v>5.2999999999999999E-2</v>
      </c>
      <c r="I21" s="339">
        <f t="shared" ca="1" si="19"/>
        <v>4</v>
      </c>
      <c r="J21" s="341">
        <f t="shared" ca="1" si="2"/>
        <v>6.2E-2</v>
      </c>
      <c r="K21" s="341">
        <f t="shared" ca="1" si="20"/>
        <v>6.2E-2</v>
      </c>
      <c r="L21" s="340">
        <f t="shared" ca="1" si="3"/>
        <v>4.1000000000000002E-2</v>
      </c>
      <c r="M21" s="340">
        <f t="shared" ca="1" si="4"/>
        <v>0.111</v>
      </c>
      <c r="N21" s="405" t="s">
        <v>417</v>
      </c>
      <c r="O21" s="338">
        <f t="shared" ca="1" si="5"/>
        <v>4.0000000000000001E-3</v>
      </c>
      <c r="P21" s="338">
        <f t="shared" ca="1" si="22"/>
        <v>0.10929999999999999</v>
      </c>
      <c r="Q21" s="342">
        <f t="shared" ca="1" si="6"/>
        <v>3450</v>
      </c>
      <c r="R21" s="343">
        <f t="shared" ca="1" si="7"/>
        <v>0</v>
      </c>
      <c r="S21" s="344"/>
      <c r="T21" s="339">
        <f t="shared" ca="1" si="8"/>
        <v>0</v>
      </c>
      <c r="U21" s="339">
        <f t="shared" ca="1" si="9"/>
        <v>0</v>
      </c>
      <c r="V21" s="338" t="str">
        <f t="shared" ca="1" si="10"/>
        <v>n.v.t.</v>
      </c>
      <c r="W21" s="338" t="str">
        <f t="shared" ca="1" si="11"/>
        <v>n.v.t.</v>
      </c>
      <c r="X21" s="346">
        <f t="shared" ca="1" si="12"/>
        <v>0</v>
      </c>
      <c r="Y21" s="340">
        <f t="shared" ca="1" si="13"/>
        <v>0.111</v>
      </c>
      <c r="Z21" s="402">
        <f t="shared" ca="1" si="14"/>
        <v>0.115</v>
      </c>
    </row>
    <row r="22" spans="1:26" s="304" customFormat="1" ht="15" x14ac:dyDescent="0.25">
      <c r="A22" s="345">
        <v>15</v>
      </c>
      <c r="B22" s="337" t="str">
        <f t="shared" ca="1" si="15"/>
        <v>Windenergie, tot 6MW – windsnelheid 7,50 - 8,00 m/s, (referentie 20 MW, gva)</v>
      </c>
      <c r="C22" s="338" t="str">
        <f t="shared" ca="1" si="21"/>
        <v>kWh</v>
      </c>
      <c r="D22" s="338" t="str">
        <f t="shared" ca="1" si="0"/>
        <v>Elektriciteit</v>
      </c>
      <c r="E22" s="339">
        <f t="shared" ca="1" si="16"/>
        <v>-27</v>
      </c>
      <c r="F22" s="339">
        <f t="shared" ca="1" si="17"/>
        <v>-27</v>
      </c>
      <c r="G22" s="340">
        <f t="shared" ca="1" si="1"/>
        <v>5.8999999999999997E-2</v>
      </c>
      <c r="H22" s="340">
        <f t="shared" ca="1" si="18"/>
        <v>5.8999999999999997E-2</v>
      </c>
      <c r="I22" s="339">
        <f t="shared" ca="1" si="19"/>
        <v>4</v>
      </c>
      <c r="J22" s="341">
        <f t="shared" ca="1" si="2"/>
        <v>6.2E-2</v>
      </c>
      <c r="K22" s="341">
        <f t="shared" ca="1" si="20"/>
        <v>6.2E-2</v>
      </c>
      <c r="L22" s="340">
        <f t="shared" ca="1" si="3"/>
        <v>4.1000000000000002E-2</v>
      </c>
      <c r="M22" s="340">
        <f t="shared" ca="1" si="4"/>
        <v>0.111</v>
      </c>
      <c r="N22" s="405" t="s">
        <v>417</v>
      </c>
      <c r="O22" s="338">
        <f t="shared" ca="1" si="5"/>
        <v>4.0000000000000001E-3</v>
      </c>
      <c r="P22" s="338">
        <f t="shared" ca="1" si="22"/>
        <v>0.10929999999999999</v>
      </c>
      <c r="Q22" s="342">
        <f t="shared" ca="1" si="6"/>
        <v>3100</v>
      </c>
      <c r="R22" s="343">
        <f t="shared" ca="1" si="7"/>
        <v>0</v>
      </c>
      <c r="S22" s="344"/>
      <c r="T22" s="339">
        <f t="shared" ca="1" si="8"/>
        <v>0</v>
      </c>
      <c r="U22" s="339">
        <f t="shared" ca="1" si="9"/>
        <v>0</v>
      </c>
      <c r="V22" s="338" t="str">
        <f t="shared" ca="1" si="10"/>
        <v>n.v.t.</v>
      </c>
      <c r="W22" s="338" t="str">
        <f t="shared" ca="1" si="11"/>
        <v>n.v.t.</v>
      </c>
      <c r="X22" s="346">
        <f t="shared" ca="1" si="12"/>
        <v>0</v>
      </c>
      <c r="Y22" s="340">
        <f t="shared" ca="1" si="13"/>
        <v>0.111</v>
      </c>
      <c r="Z22" s="402">
        <f t="shared" ca="1" si="14"/>
        <v>0.115</v>
      </c>
    </row>
    <row r="23" spans="1:26" s="304" customFormat="1" ht="15" x14ac:dyDescent="0.25">
      <c r="A23" s="345">
        <v>16</v>
      </c>
      <c r="B23" s="337" t="str">
        <f t="shared" ca="1" si="15"/>
        <v>Windenergie, tot 6MW – windsnelheid 7,00 - 7,50 m/s, (referentie 20 MW, gva)</v>
      </c>
      <c r="C23" s="338" t="str">
        <f t="shared" ca="1" si="21"/>
        <v>kWh</v>
      </c>
      <c r="D23" s="338" t="str">
        <f t="shared" ca="1" si="0"/>
        <v>Elektriciteit</v>
      </c>
      <c r="E23" s="339">
        <f t="shared" ca="1" si="16"/>
        <v>37</v>
      </c>
      <c r="F23" s="339">
        <f t="shared" ca="1" si="17"/>
        <v>37</v>
      </c>
      <c r="G23" s="340">
        <f t="shared" ca="1" si="1"/>
        <v>6.6000000000000003E-2</v>
      </c>
      <c r="H23" s="340">
        <f t="shared" ca="1" si="18"/>
        <v>6.6000000000000003E-2</v>
      </c>
      <c r="I23" s="339">
        <f t="shared" ca="1" si="19"/>
        <v>4</v>
      </c>
      <c r="J23" s="341">
        <f t="shared" ca="1" si="2"/>
        <v>6.2E-2</v>
      </c>
      <c r="K23" s="341">
        <f t="shared" ca="1" si="20"/>
        <v>6.2E-2</v>
      </c>
      <c r="L23" s="340">
        <f t="shared" ca="1" si="3"/>
        <v>4.1000000000000002E-2</v>
      </c>
      <c r="M23" s="340">
        <f t="shared" ca="1" si="4"/>
        <v>0.111</v>
      </c>
      <c r="N23" s="405" t="s">
        <v>417</v>
      </c>
      <c r="O23" s="338">
        <f t="shared" ca="1" si="5"/>
        <v>4.0000000000000001E-3</v>
      </c>
      <c r="P23" s="338">
        <f t="shared" ca="1" si="22"/>
        <v>0.10929999999999999</v>
      </c>
      <c r="Q23" s="342">
        <f t="shared" ca="1" si="6"/>
        <v>2810</v>
      </c>
      <c r="R23" s="343">
        <f t="shared" ca="1" si="7"/>
        <v>0</v>
      </c>
      <c r="S23" s="344"/>
      <c r="T23" s="339">
        <f t="shared" ca="1" si="8"/>
        <v>0</v>
      </c>
      <c r="U23" s="339">
        <f t="shared" ca="1" si="9"/>
        <v>0</v>
      </c>
      <c r="V23" s="338" t="str">
        <f t="shared" ca="1" si="10"/>
        <v>n.v.t.</v>
      </c>
      <c r="W23" s="338" t="str">
        <f t="shared" ca="1" si="11"/>
        <v>n.v.t.</v>
      </c>
      <c r="X23" s="346">
        <f t="shared" ca="1" si="12"/>
        <v>0</v>
      </c>
      <c r="Y23" s="340">
        <f t="shared" ca="1" si="13"/>
        <v>0.111</v>
      </c>
      <c r="Z23" s="402">
        <f t="shared" ca="1" si="14"/>
        <v>0.115</v>
      </c>
    </row>
    <row r="24" spans="1:26" s="304" customFormat="1" ht="15" x14ac:dyDescent="0.25">
      <c r="A24" s="345">
        <v>17</v>
      </c>
      <c r="B24" s="337" t="str">
        <f t="shared" ca="1" si="15"/>
        <v>Windenergie, tot 6MW – windsnelheid 6,75 - 7,00 m/s, (referentie 20 MW, gva)</v>
      </c>
      <c r="C24" s="338" t="str">
        <f t="shared" ca="1" si="21"/>
        <v>kWh</v>
      </c>
      <c r="D24" s="338" t="str">
        <f t="shared" ca="1" si="0"/>
        <v>Elektriciteit</v>
      </c>
      <c r="E24" s="339">
        <f t="shared" ca="1" si="16"/>
        <v>82</v>
      </c>
      <c r="F24" s="339">
        <f t="shared" ca="1" si="17"/>
        <v>82</v>
      </c>
      <c r="G24" s="340">
        <f t="shared" ca="1" si="1"/>
        <v>7.0999999999999994E-2</v>
      </c>
      <c r="H24" s="340">
        <f t="shared" ca="1" si="18"/>
        <v>7.0999999999999994E-2</v>
      </c>
      <c r="I24" s="339">
        <f t="shared" ca="1" si="19"/>
        <v>4</v>
      </c>
      <c r="J24" s="341">
        <f t="shared" ca="1" si="2"/>
        <v>6.2E-2</v>
      </c>
      <c r="K24" s="341">
        <f t="shared" ca="1" si="20"/>
        <v>6.2E-2</v>
      </c>
      <c r="L24" s="340">
        <f t="shared" ca="1" si="3"/>
        <v>4.1000000000000002E-2</v>
      </c>
      <c r="M24" s="340">
        <f t="shared" ca="1" si="4"/>
        <v>0.111</v>
      </c>
      <c r="N24" s="405" t="s">
        <v>417</v>
      </c>
      <c r="O24" s="338">
        <f t="shared" ca="1" si="5"/>
        <v>4.0000000000000001E-3</v>
      </c>
      <c r="P24" s="338">
        <f t="shared" ca="1" si="22"/>
        <v>0.10929999999999999</v>
      </c>
      <c r="Q24" s="342">
        <f t="shared" ca="1" si="6"/>
        <v>2600</v>
      </c>
      <c r="R24" s="343">
        <f t="shared" ca="1" si="7"/>
        <v>0</v>
      </c>
      <c r="S24" s="344"/>
      <c r="T24" s="339">
        <f t="shared" ca="1" si="8"/>
        <v>0</v>
      </c>
      <c r="U24" s="339">
        <f t="shared" ca="1" si="9"/>
        <v>0</v>
      </c>
      <c r="V24" s="338" t="str">
        <f t="shared" ca="1" si="10"/>
        <v>n.v.t.</v>
      </c>
      <c r="W24" s="338" t="str">
        <f t="shared" ca="1" si="11"/>
        <v>n.v.t.</v>
      </c>
      <c r="X24" s="346">
        <f t="shared" ca="1" si="12"/>
        <v>0</v>
      </c>
      <c r="Y24" s="340">
        <f t="shared" ca="1" si="13"/>
        <v>0.111</v>
      </c>
      <c r="Z24" s="402">
        <f t="shared" ca="1" si="14"/>
        <v>0.115</v>
      </c>
    </row>
    <row r="25" spans="1:26" s="304" customFormat="1" ht="15" x14ac:dyDescent="0.25">
      <c r="A25" s="345">
        <v>18</v>
      </c>
      <c r="B25" s="337" t="str">
        <f t="shared" ca="1" si="15"/>
        <v>Windenergie, tot 6MW – windsnelheid &lt; 6,75 m/s, (referentie 20 MW, gva)</v>
      </c>
      <c r="C25" s="338" t="str">
        <f t="shared" ca="1" si="21"/>
        <v>kWh</v>
      </c>
      <c r="D25" s="338" t="str">
        <f t="shared" ca="1" si="0"/>
        <v>Elektriciteit</v>
      </c>
      <c r="E25" s="339">
        <f t="shared" ca="1" si="16"/>
        <v>128</v>
      </c>
      <c r="F25" s="339">
        <f t="shared" ca="1" si="17"/>
        <v>128</v>
      </c>
      <c r="G25" s="340">
        <f t="shared" ca="1" si="1"/>
        <v>7.5999999999999998E-2</v>
      </c>
      <c r="H25" s="340">
        <f t="shared" ca="1" si="18"/>
        <v>7.5999999999999998E-2</v>
      </c>
      <c r="I25" s="339">
        <f t="shared" ca="1" si="19"/>
        <v>4</v>
      </c>
      <c r="J25" s="341">
        <f t="shared" ca="1" si="2"/>
        <v>6.2E-2</v>
      </c>
      <c r="K25" s="341">
        <f t="shared" ca="1" si="20"/>
        <v>6.2E-2</v>
      </c>
      <c r="L25" s="340">
        <f t="shared" ca="1" si="3"/>
        <v>4.1000000000000002E-2</v>
      </c>
      <c r="M25" s="340">
        <f t="shared" ca="1" si="4"/>
        <v>0.111</v>
      </c>
      <c r="N25" s="405" t="s">
        <v>417</v>
      </c>
      <c r="O25" s="338">
        <f t="shared" ca="1" si="5"/>
        <v>4.0000000000000001E-3</v>
      </c>
      <c r="P25" s="338">
        <f t="shared" ca="1" si="22"/>
        <v>0.10929999999999999</v>
      </c>
      <c r="Q25" s="342">
        <f t="shared" ca="1" si="6"/>
        <v>2425</v>
      </c>
      <c r="R25" s="343">
        <f t="shared" ca="1" si="7"/>
        <v>0</v>
      </c>
      <c r="S25" s="344"/>
      <c r="T25" s="339">
        <f t="shared" ca="1" si="8"/>
        <v>0</v>
      </c>
      <c r="U25" s="339">
        <f t="shared" ca="1" si="9"/>
        <v>0</v>
      </c>
      <c r="V25" s="338" t="str">
        <f t="shared" ca="1" si="10"/>
        <v>n.v.t.</v>
      </c>
      <c r="W25" s="338" t="str">
        <f t="shared" ca="1" si="11"/>
        <v>n.v.t.</v>
      </c>
      <c r="X25" s="346">
        <f t="shared" ca="1" si="12"/>
        <v>0</v>
      </c>
      <c r="Y25" s="340">
        <f t="shared" ca="1" si="13"/>
        <v>0.111</v>
      </c>
      <c r="Z25" s="402">
        <f t="shared" ca="1" si="14"/>
        <v>0.115</v>
      </c>
    </row>
    <row r="26" spans="1:26" x14ac:dyDescent="0.2">
      <c r="A26" s="327"/>
      <c r="B26" s="328" t="s">
        <v>66</v>
      </c>
      <c r="C26" s="329"/>
      <c r="D26" s="329"/>
      <c r="E26" s="329"/>
      <c r="F26" s="330"/>
      <c r="G26" s="331"/>
      <c r="H26" s="331"/>
      <c r="I26" s="332"/>
      <c r="J26" s="333"/>
      <c r="K26" s="333"/>
      <c r="L26" s="331"/>
      <c r="M26" s="331"/>
      <c r="N26" s="331"/>
      <c r="O26" s="329"/>
      <c r="P26" s="331"/>
      <c r="Q26" s="334"/>
      <c r="R26" s="335"/>
      <c r="S26" s="310"/>
      <c r="T26" s="335"/>
      <c r="U26" s="335"/>
      <c r="V26" s="336"/>
      <c r="W26" s="336"/>
      <c r="X26" s="336"/>
      <c r="Y26" s="331"/>
      <c r="Z26" s="403"/>
    </row>
    <row r="27" spans="1:26" s="304" customFormat="1" ht="15" x14ac:dyDescent="0.25">
      <c r="A27" s="345">
        <v>19</v>
      </c>
      <c r="B27" s="337" t="str">
        <f ca="1">INDIRECT(CONCATENATE("'",A27,"'!A2"))</f>
        <v>Waterkracht, 50 kW</v>
      </c>
      <c r="C27" s="338" t="str">
        <f t="shared" ca="1" si="21"/>
        <v>kWh</v>
      </c>
      <c r="D27" s="338" t="str">
        <f t="shared" ca="1" si="0"/>
        <v>Elektriciteit</v>
      </c>
      <c r="E27" s="339">
        <f ca="1">ROUND((G27-J27)/P27*1000,0)</f>
        <v>658</v>
      </c>
      <c r="F27" s="339">
        <f ca="1">IF(OR(D27="Elektriciteit",D27="CCS/CCU"),IF(E27&gt;300,300,E27),IF(D27="Hogetemperatuurwarmte",IF(E27&gt;400,400,E27),IF(D27="Lagetemperatuurwarmte",IF(E27&gt;400,400,E27),IF(D27="Moleculen",IF(E27&gt;400,400,E27),E27))))</f>
        <v>300</v>
      </c>
      <c r="G27" s="340">
        <f t="shared" ca="1" si="1"/>
        <v>0.17</v>
      </c>
      <c r="H27" s="340">
        <f ca="1">IF(OR(F27=300,F27=400),ROUND(F27*P27/1000 + J27,decimalen),G27)</f>
        <v>0.127</v>
      </c>
      <c r="I27" s="339">
        <f ca="1">IF(T27&gt;0,"netlevering: "&amp;T27&amp;", niet-netlevering: "&amp;U27,INDIRECT(CONCATENATE("'",$A27,"'!$C$12")))</f>
        <v>1</v>
      </c>
      <c r="J27" s="341">
        <f t="shared" ca="1" si="2"/>
        <v>9.0999999999999998E-2</v>
      </c>
      <c r="K27" s="341">
        <f ca="1">IF(T27&gt;0,CONCATENATE("netlevering: ",V27,", niet-netlevering: ",W27),J27)</f>
        <v>9.0999999999999998E-2</v>
      </c>
      <c r="L27" s="340">
        <f t="shared" ca="1" si="3"/>
        <v>0.06</v>
      </c>
      <c r="M27" s="340">
        <f t="shared" ca="1" si="4"/>
        <v>0.14399999999999999</v>
      </c>
      <c r="N27" s="405" t="s">
        <v>418</v>
      </c>
      <c r="O27" s="338">
        <f t="shared" ca="1" si="5"/>
        <v>0</v>
      </c>
      <c r="P27" s="338">
        <f t="shared" ca="1" si="22"/>
        <v>0.12</v>
      </c>
      <c r="Q27" s="342">
        <f t="shared" ca="1" si="6"/>
        <v>5000</v>
      </c>
      <c r="R27" s="343">
        <f t="shared" ca="1" si="7"/>
        <v>0</v>
      </c>
      <c r="S27" s="344"/>
      <c r="T27" s="339">
        <f t="shared" ca="1" si="8"/>
        <v>0</v>
      </c>
      <c r="U27" s="339">
        <f t="shared" ca="1" si="9"/>
        <v>0</v>
      </c>
      <c r="V27" s="338" t="str">
        <f t="shared" ca="1" si="10"/>
        <v>n.v.t.</v>
      </c>
      <c r="W27" s="338" t="str">
        <f t="shared" ca="1" si="11"/>
        <v>n.v.t.</v>
      </c>
      <c r="X27" s="346">
        <f t="shared" ca="1" si="12"/>
        <v>0</v>
      </c>
      <c r="Y27" s="340">
        <f t="shared" ca="1" si="13"/>
        <v>0.14399999999999999</v>
      </c>
      <c r="Z27" s="402">
        <f t="shared" ca="1" si="14"/>
        <v>0.14899999999999999</v>
      </c>
    </row>
  </sheetData>
  <mergeCells count="1">
    <mergeCell ref="S2:S4"/>
  </mergeCells>
  <phoneticPr fontId="46" type="noConversion"/>
  <conditionalFormatting sqref="R7:R11 R27 R13:R25">
    <cfRule type="colorScale" priority="70">
      <colorScale>
        <cfvo type="num" val="&quot;&lt;0&quot;"/>
        <cfvo type="num" val="&quot;&gt;0&quot;"/>
        <color theme="9" tint="0.39997558519241921"/>
        <color theme="4" tint="0.79998168889431442"/>
      </colorScale>
    </cfRule>
  </conditionalFormatting>
  <conditionalFormatting sqref="R6">
    <cfRule type="colorScale" priority="1">
      <colorScale>
        <cfvo type="num" val="&quot;&lt;0&quot;"/>
        <cfvo type="num" val="&quot;&gt;0&quot;"/>
        <color theme="9" tint="0.39997558519241921"/>
        <color theme="4" tint="0.79998168889431442"/>
      </colorScale>
    </cfRule>
  </conditionalFormatting>
  <hyperlinks>
    <hyperlink ref="A13:B13" location="'6'!A1" display="'6'!A1" xr:uid="{96D264AE-5E1D-4F47-85E1-F0C1B0F4D988}"/>
    <hyperlink ref="A14:B14" location="'7'!A1" display="'7'!A1" xr:uid="{835BAB68-6F69-47A2-92BA-25B23CABA44E}"/>
    <hyperlink ref="A15:B15" location="'8'!A1" display="'8'!A1" xr:uid="{36187AF5-39E1-491D-8A28-57658997BD0B}"/>
    <hyperlink ref="A16:B16" location="'9'!A1" display="'9'!A1" xr:uid="{2E9E7F44-1C25-4721-91AA-ED0D2DB359D0}"/>
    <hyperlink ref="A17:B17" location="'10'!A1" display="'10'!A1" xr:uid="{6D2584EC-B8E8-44F8-8934-DB478EB8E654}"/>
    <hyperlink ref="A18:B18" location="'11'!A1" display="'11'!A1" xr:uid="{1412399A-D967-4384-BAC0-A8C5B01C1A7A}"/>
    <hyperlink ref="A19:B19" location="'12'!A1" display="'12'!A1" xr:uid="{FFBD55B4-174F-481F-8B47-610BE7BE0EF0}"/>
    <hyperlink ref="A11:B11" location="'5'!A1" display="'5'!A1" xr:uid="{F5191930-EEF9-4762-B327-D4DE52166B38}"/>
    <hyperlink ref="A10:B10" location="'4'!A1" display="'4'!A1" xr:uid="{BB7C0F98-4D30-4E69-A68A-5979B3C20FF2}"/>
    <hyperlink ref="A9:B9" location="'3'!A1" display="'3'!A1" xr:uid="{0C182CEB-3FEB-4AB4-9D7B-0E90AC46C802}"/>
    <hyperlink ref="A8:B8" location="'2'!A1" display="'2'!A1" xr:uid="{3CE2E614-0D2B-4018-85B6-999BA6D2F839}"/>
    <hyperlink ref="A7:B7" location="'1'!A1" display="'1'!A1" xr:uid="{AB89543A-29D0-4FD8-A202-EF934F5504D7}"/>
    <hyperlink ref="A27:B27" location="'13'!A1" display="'13'!A1" xr:uid="{14794332-633F-42FC-88F2-5EA3973DB5F1}"/>
    <hyperlink ref="A27" location="'19'!A1" display="'19'!A1" xr:uid="{0937523F-68A7-4786-BDF2-858FCA71F7BE}"/>
    <hyperlink ref="B27" location="'19'!A1" display="'19'!A1" xr:uid="{06EA8AF5-F1F0-4740-A888-1B0CC553A387}"/>
    <hyperlink ref="A20:B20" location="'12'!A1" display="'12'!A1" xr:uid="{21087F78-9589-4631-91F6-7A08EF736DEB}"/>
    <hyperlink ref="A21:B21" location="'12'!A1" display="'12'!A1" xr:uid="{67197517-BA50-4792-A526-B1AEFA834685}"/>
    <hyperlink ref="A23:B23" location="'12'!A1" display="'12'!A1" xr:uid="{E2E920A8-E6CD-415D-AE3A-96CBE706493A}"/>
    <hyperlink ref="A25:B25" location="'12'!A1" display="'12'!A1" xr:uid="{3AC429A4-131A-4A90-9730-D6AF8A851EA6}"/>
    <hyperlink ref="A22:B22" location="'12'!A1" display="'12'!A1" xr:uid="{7229BBA9-483F-4178-A9D8-FF87E6DF0D80}"/>
    <hyperlink ref="A24:B24" location="'12'!A1" display="'12'!A1" xr:uid="{0F2AB357-7607-4F0B-8A0F-0E0C100500A5}"/>
  </hyperlinks>
  <pageMargins left="0.25" right="0.25" top="0.75" bottom="0.75" header="0.3" footer="0.3"/>
  <pageSetup paperSize="8" scale="41" fitToHeight="0"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45B6-7AB2-47A1-A089-98D0D8142E8C}">
  <sheetPr codeName="Sheet109">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385</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6.6000000000000003E-2</v>
      </c>
      <c r="D5" s="113" t="str">
        <f>CONCATENATE("Euro/",$C$9)</f>
        <v>Euro/kWh</v>
      </c>
      <c r="E5" s="424"/>
      <c r="F5" s="425"/>
      <c r="G5" s="425"/>
      <c r="H5" s="425"/>
      <c r="I5" s="425"/>
      <c r="J5" s="425"/>
      <c r="K5" s="425"/>
      <c r="L5" s="425"/>
      <c r="M5" s="426"/>
      <c r="N5" s="26"/>
    </row>
    <row r="6" spans="1:14" x14ac:dyDescent="0.2">
      <c r="B6" s="4" t="s">
        <v>203</v>
      </c>
      <c r="C6" s="114">
        <f>ROUND((C5-C7)/C8*1000,0)</f>
        <v>37</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"&amp;IFERROR(INDEX(Correctiebedragen!$A$1:$M$256,MATCH('16'!C12,Correctiebedragen!$A$1:$A$256,0),9),"")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IFERROR(INDEX(Correctiebedragen!$A$1:$M$256,MATCH('16'!C16,Correctiebedragen!$A$1:$A$256,0),9),"")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IFERROR(INDEX(Correctiebedragen!$A$1:$M$256,MATCH('16'!C17,Correctiebedragen!$A$1:$A$256,0),9),"")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2810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2810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12645000</v>
      </c>
      <c r="F111" s="78">
        <f t="shared" ref="F111:AR111" si="2">IF(F108&lt;=$C$94,$C$37*$C$39,IF(AND(F108&gt;$C$94,F108&lt;=$C$91),$C$37*$C$77,0))*IF($C$41=0,1,$C$42/$C$41)</f>
        <v>12645000</v>
      </c>
      <c r="G111" s="78">
        <f t="shared" si="2"/>
        <v>12645000</v>
      </c>
      <c r="H111" s="78">
        <f t="shared" si="2"/>
        <v>12645000</v>
      </c>
      <c r="I111" s="78">
        <f t="shared" si="2"/>
        <v>12645000</v>
      </c>
      <c r="J111" s="78">
        <f t="shared" si="2"/>
        <v>12645000</v>
      </c>
      <c r="K111" s="78">
        <f t="shared" si="2"/>
        <v>12645000</v>
      </c>
      <c r="L111" s="78">
        <f t="shared" si="2"/>
        <v>12645000</v>
      </c>
      <c r="M111" s="78">
        <f t="shared" si="2"/>
        <v>12645000</v>
      </c>
      <c r="N111" s="78">
        <f t="shared" si="2"/>
        <v>12645000</v>
      </c>
      <c r="O111" s="78">
        <f t="shared" si="2"/>
        <v>12645000</v>
      </c>
      <c r="P111" s="78">
        <f t="shared" si="2"/>
        <v>12645000</v>
      </c>
      <c r="Q111" s="78">
        <f t="shared" si="2"/>
        <v>12645000</v>
      </c>
      <c r="R111" s="78">
        <f t="shared" si="2"/>
        <v>12645000</v>
      </c>
      <c r="S111" s="78">
        <f t="shared" si="2"/>
        <v>12645000</v>
      </c>
      <c r="T111" s="78">
        <f t="shared" si="2"/>
        <v>12645000</v>
      </c>
      <c r="U111" s="78">
        <f t="shared" si="2"/>
        <v>12645000</v>
      </c>
      <c r="V111" s="78">
        <f t="shared" si="2"/>
        <v>12645000</v>
      </c>
      <c r="W111" s="78">
        <f t="shared" si="2"/>
        <v>12645000</v>
      </c>
      <c r="X111" s="78">
        <f t="shared" si="2"/>
        <v>12645000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12645000</v>
      </c>
      <c r="F114" s="84">
        <f t="shared" ref="F114:AR114" si="5">SUM(F111:F113)</f>
        <v>12645000</v>
      </c>
      <c r="G114" s="84">
        <f t="shared" si="5"/>
        <v>12645000</v>
      </c>
      <c r="H114" s="84">
        <f t="shared" si="5"/>
        <v>12645000</v>
      </c>
      <c r="I114" s="84">
        <f t="shared" si="5"/>
        <v>12645000</v>
      </c>
      <c r="J114" s="84">
        <f t="shared" si="5"/>
        <v>12645000</v>
      </c>
      <c r="K114" s="84">
        <f t="shared" si="5"/>
        <v>12645000</v>
      </c>
      <c r="L114" s="84">
        <f t="shared" si="5"/>
        <v>12645000</v>
      </c>
      <c r="M114" s="84">
        <f t="shared" si="5"/>
        <v>12645000</v>
      </c>
      <c r="N114" s="84">
        <f t="shared" si="5"/>
        <v>12645000</v>
      </c>
      <c r="O114" s="84">
        <f t="shared" si="5"/>
        <v>12645000</v>
      </c>
      <c r="P114" s="84">
        <f t="shared" si="5"/>
        <v>12645000</v>
      </c>
      <c r="Q114" s="84">
        <f t="shared" si="5"/>
        <v>12645000</v>
      </c>
      <c r="R114" s="84">
        <f t="shared" si="5"/>
        <v>12645000</v>
      </c>
      <c r="S114" s="84">
        <f t="shared" si="5"/>
        <v>12645000</v>
      </c>
      <c r="T114" s="84">
        <f t="shared" si="5"/>
        <v>12645000</v>
      </c>
      <c r="U114" s="84">
        <f t="shared" si="5"/>
        <v>12645000</v>
      </c>
      <c r="V114" s="84">
        <f t="shared" si="5"/>
        <v>12645000</v>
      </c>
      <c r="W114" s="84">
        <f t="shared" si="5"/>
        <v>12645000</v>
      </c>
      <c r="X114" s="84">
        <f t="shared" si="5"/>
        <v>12645000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-227254.5</v>
      </c>
      <c r="F116" s="78">
        <f t="shared" si="6"/>
        <v>-231799.59</v>
      </c>
      <c r="G116" s="78">
        <f t="shared" si="6"/>
        <v>-236435.58179999999</v>
      </c>
      <c r="H116" s="78">
        <f t="shared" si="6"/>
        <v>-241164.29343599998</v>
      </c>
      <c r="I116" s="78">
        <f t="shared" si="6"/>
        <v>-245987.57930471998</v>
      </c>
      <c r="J116" s="78">
        <f t="shared" si="6"/>
        <v>-250907.3308908144</v>
      </c>
      <c r="K116" s="78">
        <f t="shared" si="6"/>
        <v>-255925.47750863069</v>
      </c>
      <c r="L116" s="78">
        <f t="shared" si="6"/>
        <v>-261043.98705880326</v>
      </c>
      <c r="M116" s="78">
        <f t="shared" si="6"/>
        <v>-266264.86679997935</v>
      </c>
      <c r="N116" s="78">
        <f t="shared" si="6"/>
        <v>-271590.16413597896</v>
      </c>
      <c r="O116" s="78">
        <f t="shared" si="6"/>
        <v>-277021.96741869854</v>
      </c>
      <c r="P116" s="78">
        <f t="shared" si="6"/>
        <v>-282562.40676707245</v>
      </c>
      <c r="Q116" s="78">
        <f t="shared" si="6"/>
        <v>-288213.65490241395</v>
      </c>
      <c r="R116" s="78">
        <f t="shared" si="6"/>
        <v>-293977.92800046218</v>
      </c>
      <c r="S116" s="78">
        <f t="shared" si="6"/>
        <v>-299857.48656047147</v>
      </c>
      <c r="T116" s="78">
        <f t="shared" si="6"/>
        <v>-305854.6362916808</v>
      </c>
      <c r="U116" s="78">
        <f t="shared" si="6"/>
        <v>-311971.7290175145</v>
      </c>
      <c r="V116" s="78">
        <f t="shared" si="6"/>
        <v>-318211.1635978648</v>
      </c>
      <c r="W116" s="78">
        <f t="shared" si="6"/>
        <v>-324575.38686982205</v>
      </c>
      <c r="X116" s="78">
        <f t="shared" si="6"/>
        <v>-331066.89460721851</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1240649.0245681179</v>
      </c>
      <c r="U123" s="81">
        <f t="shared" si="13"/>
        <v>1265462.0050594807</v>
      </c>
      <c r="V123" s="81">
        <f t="shared" si="13"/>
        <v>1290771.2451606703</v>
      </c>
      <c r="W123" s="81">
        <f t="shared" si="13"/>
        <v>1316586.6700638835</v>
      </c>
      <c r="X123" s="81">
        <f t="shared" si="13"/>
        <v>1342918.4034651613</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1240649.0245681179</v>
      </c>
      <c r="U126" s="78">
        <f t="shared" si="15"/>
        <v>1265462.0050594807</v>
      </c>
      <c r="V126" s="78">
        <f t="shared" si="15"/>
        <v>1290771.2451606703</v>
      </c>
      <c r="W126" s="78">
        <f t="shared" si="15"/>
        <v>1316586.6700638835</v>
      </c>
      <c r="X126" s="78">
        <f t="shared" si="15"/>
        <v>1342918.4034651613</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-227254.5</v>
      </c>
      <c r="F127" s="81">
        <f t="shared" si="16"/>
        <v>-231799.59</v>
      </c>
      <c r="G127" s="81">
        <f t="shared" si="16"/>
        <v>-236435.58179999999</v>
      </c>
      <c r="H127" s="81">
        <f t="shared" si="16"/>
        <v>-241164.29343599998</v>
      </c>
      <c r="I127" s="81">
        <f t="shared" si="16"/>
        <v>-245987.57930471998</v>
      </c>
      <c r="J127" s="81">
        <f t="shared" si="16"/>
        <v>-250907.3308908144</v>
      </c>
      <c r="K127" s="81">
        <f t="shared" si="16"/>
        <v>-255925.47750863069</v>
      </c>
      <c r="L127" s="81">
        <f t="shared" si="16"/>
        <v>-261043.98705880326</v>
      </c>
      <c r="M127" s="81">
        <f t="shared" si="16"/>
        <v>-266264.86679997935</v>
      </c>
      <c r="N127" s="81">
        <f t="shared" si="16"/>
        <v>-271590.16413597896</v>
      </c>
      <c r="O127" s="81">
        <f t="shared" si="16"/>
        <v>-277021.96741869854</v>
      </c>
      <c r="P127" s="81">
        <f t="shared" si="16"/>
        <v>-282562.40676707245</v>
      </c>
      <c r="Q127" s="81">
        <f t="shared" si="16"/>
        <v>-288213.65490241395</v>
      </c>
      <c r="R127" s="81">
        <f t="shared" si="16"/>
        <v>-293977.92800046218</v>
      </c>
      <c r="S127" s="81">
        <f t="shared" si="16"/>
        <v>-299857.48656047147</v>
      </c>
      <c r="T127" s="81">
        <f t="shared" si="16"/>
        <v>-305854.6362916808</v>
      </c>
      <c r="U127" s="81">
        <f t="shared" si="16"/>
        <v>-311971.7290175145</v>
      </c>
      <c r="V127" s="81">
        <f t="shared" si="16"/>
        <v>-318211.1635978648</v>
      </c>
      <c r="W127" s="81">
        <f t="shared" si="16"/>
        <v>-324575.38686982205</v>
      </c>
      <c r="X127" s="81">
        <f t="shared" si="16"/>
        <v>-331066.89460721851</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-227254.5</v>
      </c>
      <c r="F128" s="90">
        <f t="shared" ref="F128:AR128" si="17">SUM(F126:F127)</f>
        <v>-231799.59</v>
      </c>
      <c r="G128" s="90">
        <f t="shared" si="17"/>
        <v>-236435.58179999999</v>
      </c>
      <c r="H128" s="90">
        <f t="shared" si="17"/>
        <v>-241164.29343599998</v>
      </c>
      <c r="I128" s="90">
        <f t="shared" si="17"/>
        <v>-245987.57930471998</v>
      </c>
      <c r="J128" s="90">
        <f t="shared" si="17"/>
        <v>-250907.3308908144</v>
      </c>
      <c r="K128" s="90">
        <f t="shared" si="17"/>
        <v>-255925.47750863069</v>
      </c>
      <c r="L128" s="90">
        <f t="shared" si="17"/>
        <v>-261043.98705880326</v>
      </c>
      <c r="M128" s="90">
        <f t="shared" si="17"/>
        <v>-266264.86679997935</v>
      </c>
      <c r="N128" s="90">
        <f t="shared" si="17"/>
        <v>-271590.16413597896</v>
      </c>
      <c r="O128" s="90">
        <f t="shared" si="17"/>
        <v>-277021.96741869854</v>
      </c>
      <c r="P128" s="90">
        <f t="shared" si="17"/>
        <v>-282562.40676707245</v>
      </c>
      <c r="Q128" s="90">
        <f t="shared" si="17"/>
        <v>-288213.65490241395</v>
      </c>
      <c r="R128" s="90">
        <f t="shared" si="17"/>
        <v>-293977.92800046218</v>
      </c>
      <c r="S128" s="90">
        <f t="shared" si="17"/>
        <v>-299857.48656047147</v>
      </c>
      <c r="T128" s="90">
        <f t="shared" si="17"/>
        <v>934794.38827643706</v>
      </c>
      <c r="U128" s="90">
        <f t="shared" si="17"/>
        <v>953490.27604196616</v>
      </c>
      <c r="V128" s="90">
        <f t="shared" si="17"/>
        <v>972560.08156280546</v>
      </c>
      <c r="W128" s="90">
        <f t="shared" si="17"/>
        <v>992011.28319406149</v>
      </c>
      <c r="X128" s="90">
        <f t="shared" si="17"/>
        <v>1011851.5088579429</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-903194.10843749996</v>
      </c>
      <c r="F135" s="95">
        <f t="shared" ref="F135:AR135" si="22">F128+F130+F131</f>
        <v>-897635.94828294613</v>
      </c>
      <c r="G135" s="95">
        <f t="shared" si="22"/>
        <v>-891688.78554605122</v>
      </c>
      <c r="H135" s="95">
        <f t="shared" si="22"/>
        <v>-885331.64280465362</v>
      </c>
      <c r="I135" s="95">
        <f t="shared" si="22"/>
        <v>-878542.49621304974</v>
      </c>
      <c r="J135" s="95">
        <f t="shared" si="22"/>
        <v>-871298.22479695478</v>
      </c>
      <c r="K135" s="95">
        <f t="shared" si="22"/>
        <v>-863574.55731997779</v>
      </c>
      <c r="L135" s="95">
        <f t="shared" si="22"/>
        <v>-855346.01660585427</v>
      </c>
      <c r="M135" s="95">
        <f t="shared" si="22"/>
        <v>-846585.86119518033</v>
      </c>
      <c r="N135" s="95">
        <f t="shared" si="22"/>
        <v>-837266.02420961706</v>
      </c>
      <c r="O135" s="95">
        <f t="shared" si="22"/>
        <v>-827357.04929049942</v>
      </c>
      <c r="P135" s="95">
        <f t="shared" si="22"/>
        <v>-816828.02347244881</v>
      </c>
      <c r="Q135" s="95">
        <f t="shared" si="22"/>
        <v>-805646.50684596074</v>
      </c>
      <c r="R135" s="95">
        <f t="shared" si="22"/>
        <v>-793778.45885599242</v>
      </c>
      <c r="S135" s="95">
        <f t="shared" si="22"/>
        <v>-781188.16107630439</v>
      </c>
      <c r="T135" s="95">
        <f t="shared" si="22"/>
        <v>934794.38827643706</v>
      </c>
      <c r="U135" s="95">
        <f t="shared" si="22"/>
        <v>953490.27604196616</v>
      </c>
      <c r="V135" s="95">
        <f t="shared" si="22"/>
        <v>972560.08156280546</v>
      </c>
      <c r="W135" s="95">
        <f t="shared" si="22"/>
        <v>992011.28319406149</v>
      </c>
      <c r="X135" s="95">
        <f t="shared" si="22"/>
        <v>1011851.5088579429</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171606.880603125</v>
      </c>
      <c r="F136" s="97">
        <f t="shared" si="23"/>
        <v>170550.83017375978</v>
      </c>
      <c r="G136" s="97">
        <f t="shared" si="23"/>
        <v>169420.86925374973</v>
      </c>
      <c r="H136" s="97">
        <f t="shared" si="23"/>
        <v>168213.01213288418</v>
      </c>
      <c r="I136" s="97">
        <f t="shared" si="23"/>
        <v>166923.07428047946</v>
      </c>
      <c r="J136" s="97">
        <f t="shared" si="23"/>
        <v>165546.66271142141</v>
      </c>
      <c r="K136" s="97">
        <f t="shared" si="23"/>
        <v>164079.16589079579</v>
      </c>
      <c r="L136" s="97">
        <f t="shared" si="23"/>
        <v>162515.74315511232</v>
      </c>
      <c r="M136" s="97">
        <f t="shared" si="23"/>
        <v>160851.31362708425</v>
      </c>
      <c r="N136" s="97">
        <f t="shared" si="23"/>
        <v>159080.54459982723</v>
      </c>
      <c r="O136" s="97">
        <f t="shared" si="23"/>
        <v>157197.8393651949</v>
      </c>
      <c r="P136" s="97">
        <f t="shared" si="23"/>
        <v>155197.32445976528</v>
      </c>
      <c r="Q136" s="97">
        <f t="shared" si="23"/>
        <v>153072.83630073254</v>
      </c>
      <c r="R136" s="97">
        <f t="shared" si="23"/>
        <v>150817.90718263856</v>
      </c>
      <c r="S136" s="97">
        <f t="shared" si="23"/>
        <v>148425.75060449782</v>
      </c>
      <c r="T136" s="97">
        <f t="shared" si="23"/>
        <v>-177610.93377252304</v>
      </c>
      <c r="U136" s="97">
        <f t="shared" si="23"/>
        <v>-181163.15244797358</v>
      </c>
      <c r="V136" s="97">
        <f t="shared" si="23"/>
        <v>-184786.41549693304</v>
      </c>
      <c r="W136" s="97">
        <f t="shared" si="23"/>
        <v>-188482.1438068717</v>
      </c>
      <c r="X136" s="97">
        <f t="shared" si="23"/>
        <v>-192251.78668300915</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-482303.73108813807</v>
      </c>
      <c r="F138" s="101">
        <f t="shared" si="24"/>
        <v>-487904.87151750311</v>
      </c>
      <c r="G138" s="101">
        <f t="shared" si="24"/>
        <v>-493670.82423751312</v>
      </c>
      <c r="H138" s="101">
        <f t="shared" si="24"/>
        <v>-499607.39299437875</v>
      </c>
      <c r="I138" s="101">
        <f t="shared" si="24"/>
        <v>-505720.61671550339</v>
      </c>
      <c r="J138" s="101">
        <f t="shared" si="24"/>
        <v>-512016.77987065597</v>
      </c>
      <c r="K138" s="101">
        <f t="shared" si="24"/>
        <v>-518502.42330909788</v>
      </c>
      <c r="L138" s="101">
        <f t="shared" si="24"/>
        <v>-525184.35559495399</v>
      </c>
      <c r="M138" s="101">
        <f t="shared" si="24"/>
        <v>-532069.66486415803</v>
      </c>
      <c r="N138" s="101">
        <f t="shared" si="24"/>
        <v>-539165.73122741468</v>
      </c>
      <c r="O138" s="101">
        <f t="shared" si="24"/>
        <v>-546480.23974476662</v>
      </c>
      <c r="P138" s="101">
        <f t="shared" si="24"/>
        <v>-554021.19399857009</v>
      </c>
      <c r="Q138" s="101">
        <f t="shared" si="24"/>
        <v>-561796.93029294442</v>
      </c>
      <c r="R138" s="101">
        <f t="shared" si="24"/>
        <v>-569816.13250908663</v>
      </c>
      <c r="S138" s="101">
        <f t="shared" si="24"/>
        <v>-578087.84764723654</v>
      </c>
      <c r="T138" s="101">
        <f t="shared" si="24"/>
        <v>757183.45450391399</v>
      </c>
      <c r="U138" s="101">
        <f t="shared" si="24"/>
        <v>772327.12359399255</v>
      </c>
      <c r="V138" s="101">
        <f t="shared" si="24"/>
        <v>787773.66606587241</v>
      </c>
      <c r="W138" s="101">
        <f t="shared" si="24"/>
        <v>803529.13938718976</v>
      </c>
      <c r="X138" s="101">
        <f t="shared" si="24"/>
        <v>819599.72217493376</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-55647.619396875001</v>
      </c>
      <c r="F139" s="106">
        <f t="shared" ref="F139:AR139" si="25">F128+F136</f>
        <v>-61248.759826240217</v>
      </c>
      <c r="G139" s="106">
        <f t="shared" si="25"/>
        <v>-67014.712546250259</v>
      </c>
      <c r="H139" s="106">
        <f t="shared" si="25"/>
        <v>-72951.2813031158</v>
      </c>
      <c r="I139" s="106">
        <f t="shared" si="25"/>
        <v>-79064.505024240527</v>
      </c>
      <c r="J139" s="106">
        <f t="shared" si="25"/>
        <v>-85360.668179392989</v>
      </c>
      <c r="K139" s="106">
        <f t="shared" si="25"/>
        <v>-91846.311617834901</v>
      </c>
      <c r="L139" s="106">
        <f t="shared" si="25"/>
        <v>-98528.243903690949</v>
      </c>
      <c r="M139" s="106">
        <f t="shared" si="25"/>
        <v>-105413.5531728951</v>
      </c>
      <c r="N139" s="106">
        <f t="shared" si="25"/>
        <v>-112509.61953615173</v>
      </c>
      <c r="O139" s="106">
        <f t="shared" si="25"/>
        <v>-119824.12805350363</v>
      </c>
      <c r="P139" s="106">
        <f t="shared" si="25"/>
        <v>-127365.08230730717</v>
      </c>
      <c r="Q139" s="106">
        <f t="shared" si="25"/>
        <v>-135140.81860168141</v>
      </c>
      <c r="R139" s="106">
        <f t="shared" si="25"/>
        <v>-143160.02081782362</v>
      </c>
      <c r="S139" s="106">
        <f t="shared" si="25"/>
        <v>-151431.73595597365</v>
      </c>
      <c r="T139" s="106">
        <f t="shared" si="25"/>
        <v>757183.45450391399</v>
      </c>
      <c r="U139" s="106">
        <f t="shared" si="25"/>
        <v>772327.12359399255</v>
      </c>
      <c r="V139" s="106">
        <f t="shared" si="25"/>
        <v>787773.66606587241</v>
      </c>
      <c r="W139" s="106">
        <f t="shared" si="25"/>
        <v>803529.13938718976</v>
      </c>
      <c r="X139" s="106">
        <f t="shared" si="25"/>
        <v>819599.72217493376</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-482303.73108813807</v>
      </c>
      <c r="F140" s="106">
        <f t="shared" ref="F140:AR140" si="26">F138</f>
        <v>-487904.87151750311</v>
      </c>
      <c r="G140" s="106">
        <f t="shared" si="26"/>
        <v>-493670.82423751312</v>
      </c>
      <c r="H140" s="106">
        <f t="shared" si="26"/>
        <v>-499607.39299437875</v>
      </c>
      <c r="I140" s="106">
        <f t="shared" si="26"/>
        <v>-505720.61671550339</v>
      </c>
      <c r="J140" s="106">
        <f t="shared" si="26"/>
        <v>-512016.77987065597</v>
      </c>
      <c r="K140" s="106">
        <f t="shared" si="26"/>
        <v>-518502.42330909788</v>
      </c>
      <c r="L140" s="106">
        <f t="shared" si="26"/>
        <v>-525184.35559495399</v>
      </c>
      <c r="M140" s="106">
        <f t="shared" si="26"/>
        <v>-532069.66486415803</v>
      </c>
      <c r="N140" s="106">
        <f t="shared" si="26"/>
        <v>-539165.73122741468</v>
      </c>
      <c r="O140" s="106">
        <f t="shared" si="26"/>
        <v>-546480.23974476662</v>
      </c>
      <c r="P140" s="106">
        <f t="shared" si="26"/>
        <v>-554021.19399857009</v>
      </c>
      <c r="Q140" s="106">
        <f t="shared" si="26"/>
        <v>-561796.93029294442</v>
      </c>
      <c r="R140" s="106">
        <f t="shared" si="26"/>
        <v>-569816.13250908663</v>
      </c>
      <c r="S140" s="106">
        <f t="shared" si="26"/>
        <v>-578087.84764723654</v>
      </c>
      <c r="T140" s="106">
        <f t="shared" si="26"/>
        <v>757183.45450391399</v>
      </c>
      <c r="U140" s="106">
        <f t="shared" si="26"/>
        <v>772327.12359399255</v>
      </c>
      <c r="V140" s="106">
        <f t="shared" si="26"/>
        <v>787773.66606587241</v>
      </c>
      <c r="W140" s="106">
        <f t="shared" si="26"/>
        <v>803529.13938718976</v>
      </c>
      <c r="X140" s="106">
        <f t="shared" si="26"/>
        <v>819599.72217493376</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12645000</v>
      </c>
      <c r="F141" s="108">
        <f t="shared" si="27"/>
        <v>12645000</v>
      </c>
      <c r="G141" s="108">
        <f t="shared" si="27"/>
        <v>12645000</v>
      </c>
      <c r="H141" s="108">
        <f t="shared" si="27"/>
        <v>12645000</v>
      </c>
      <c r="I141" s="108">
        <f t="shared" si="27"/>
        <v>12645000</v>
      </c>
      <c r="J141" s="108">
        <f t="shared" si="27"/>
        <v>12645000</v>
      </c>
      <c r="K141" s="108">
        <f t="shared" si="27"/>
        <v>12645000</v>
      </c>
      <c r="L141" s="108">
        <f t="shared" si="27"/>
        <v>12645000</v>
      </c>
      <c r="M141" s="108">
        <f t="shared" si="27"/>
        <v>12645000</v>
      </c>
      <c r="N141" s="108">
        <f t="shared" si="27"/>
        <v>12645000</v>
      </c>
      <c r="O141" s="108">
        <f t="shared" si="27"/>
        <v>12645000</v>
      </c>
      <c r="P141" s="108">
        <f t="shared" si="27"/>
        <v>12645000</v>
      </c>
      <c r="Q141" s="108">
        <f t="shared" si="27"/>
        <v>12645000</v>
      </c>
      <c r="R141" s="108">
        <f t="shared" si="27"/>
        <v>12645000</v>
      </c>
      <c r="S141" s="108">
        <f t="shared" si="27"/>
        <v>12645000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6536393.1084375</v>
      </c>
      <c r="F142" s="124">
        <f t="shared" ref="F142:AR142" si="28">E142-($C$5*F114+F128+F131)</f>
        <v>6137475.5567204459</v>
      </c>
      <c r="G142" s="124">
        <f t="shared" si="28"/>
        <v>5732610.8422664972</v>
      </c>
      <c r="H142" s="124">
        <f t="shared" si="28"/>
        <v>5321388.9850711506</v>
      </c>
      <c r="I142" s="124">
        <f t="shared" si="28"/>
        <v>4903377.9812842002</v>
      </c>
      <c r="J142" s="124">
        <f t="shared" si="28"/>
        <v>4478122.7060811548</v>
      </c>
      <c r="K142" s="124">
        <f t="shared" si="28"/>
        <v>4045143.7634011325</v>
      </c>
      <c r="L142" s="124">
        <f t="shared" si="28"/>
        <v>3603936.2800069866</v>
      </c>
      <c r="M142" s="124">
        <f t="shared" si="28"/>
        <v>3153968.6412021667</v>
      </c>
      <c r="N142" s="124">
        <f t="shared" si="28"/>
        <v>2694681.1654117838</v>
      </c>
      <c r="O142" s="124">
        <f t="shared" si="28"/>
        <v>2225484.714702283</v>
      </c>
      <c r="P142" s="124">
        <f t="shared" si="28"/>
        <v>1745759.2381747318</v>
      </c>
      <c r="Q142" s="124">
        <f t="shared" si="28"/>
        <v>1254852.2450206925</v>
      </c>
      <c r="R142" s="124">
        <f t="shared" si="28"/>
        <v>752077.20387668489</v>
      </c>
      <c r="S142" s="124">
        <f t="shared" si="28"/>
        <v>236711.86495298927</v>
      </c>
      <c r="T142" s="124">
        <f t="shared" si="28"/>
        <v>-1532652.5233234479</v>
      </c>
      <c r="U142" s="124">
        <f t="shared" si="28"/>
        <v>-3320712.7993654143</v>
      </c>
      <c r="V142" s="124">
        <f t="shared" si="28"/>
        <v>-5127842.8809282202</v>
      </c>
      <c r="W142" s="124">
        <f t="shared" si="28"/>
        <v>-6954424.1641222816</v>
      </c>
      <c r="X142" s="124">
        <f t="shared" si="28"/>
        <v>-8800845.6729802247</v>
      </c>
      <c r="Y142" s="124">
        <f t="shared" si="28"/>
        <v>-8800845.6729802247</v>
      </c>
      <c r="Z142" s="124">
        <f t="shared" si="28"/>
        <v>-8800845.6729802247</v>
      </c>
      <c r="AA142" s="124">
        <f t="shared" si="28"/>
        <v>-8800845.6729802247</v>
      </c>
      <c r="AB142" s="124">
        <f t="shared" si="28"/>
        <v>-8800845.6729802247</v>
      </c>
      <c r="AC142" s="124">
        <f t="shared" si="28"/>
        <v>-8800845.6729802247</v>
      </c>
      <c r="AD142" s="124">
        <f t="shared" si="28"/>
        <v>-8800845.6729802247</v>
      </c>
      <c r="AE142" s="124">
        <f t="shared" si="28"/>
        <v>-8800845.6729802247</v>
      </c>
      <c r="AF142" s="124">
        <f t="shared" si="28"/>
        <v>-8800845.6729802247</v>
      </c>
      <c r="AG142" s="124">
        <f t="shared" si="28"/>
        <v>-8800845.6729802247</v>
      </c>
      <c r="AH142" s="124">
        <f t="shared" si="28"/>
        <v>-8800845.6729802247</v>
      </c>
      <c r="AI142" s="124">
        <f t="shared" si="28"/>
        <v>-8800845.6729802247</v>
      </c>
      <c r="AJ142" s="124">
        <f t="shared" si="28"/>
        <v>-8800845.6729802247</v>
      </c>
      <c r="AK142" s="124">
        <f t="shared" si="28"/>
        <v>-8800845.6729802247</v>
      </c>
      <c r="AL142" s="124">
        <f t="shared" si="28"/>
        <v>-8800845.6729802247</v>
      </c>
      <c r="AM142" s="124">
        <f t="shared" si="28"/>
        <v>-8800845.6729802247</v>
      </c>
      <c r="AN142" s="124">
        <f t="shared" si="28"/>
        <v>-8800845.6729802247</v>
      </c>
      <c r="AO142" s="124">
        <f t="shared" si="28"/>
        <v>-8800845.6729802247</v>
      </c>
      <c r="AP142" s="124">
        <f t="shared" si="28"/>
        <v>-8800845.6729802247</v>
      </c>
      <c r="AQ142" s="124">
        <f t="shared" si="28"/>
        <v>-8800845.6729802247</v>
      </c>
      <c r="AR142" s="124">
        <f t="shared" si="28"/>
        <v>-8800845.6729802247</v>
      </c>
    </row>
    <row r="143" spans="1:45" x14ac:dyDescent="0.2">
      <c r="B143" s="5" t="s">
        <v>350</v>
      </c>
      <c r="C143" s="195"/>
      <c r="D143" s="196"/>
      <c r="E143" s="197">
        <f>IF(E108&gt;$C$92,"",(-$C$89*(E135+$C$5*E114)+E128+$C$5*E114)/-E133)</f>
        <v>1.4539908455642274</v>
      </c>
      <c r="F143" s="197">
        <f>IF(F108&gt;$C$92,"",(-$C$89*(F135+$C$5*F114)+F128+$C$5*F114)/-F133)</f>
        <v>1.440862847919562</v>
      </c>
      <c r="G143" s="197">
        <f>IF(G108&gt;$C$92,"",(-$C$89*(G135+$C$5*G114)+G128+$C$5*G114)/-G133)</f>
        <v>1.4273485619126094</v>
      </c>
      <c r="H143" s="197">
        <f>IF(H108&gt;$C$92,"",(-$C$89*(H135+$C$5*H114)+H128+$C$5*H114)/-H133)</f>
        <v>1.4134343846766779</v>
      </c>
      <c r="I143" s="197">
        <f t="shared" ref="I143:AR143" si="29">IF(I108&gt;$C$92,"",(-$C$89*(I135+$C$5*I114)+I128+$C$5*I114)/-I133)</f>
        <v>1.3991061621255185</v>
      </c>
      <c r="J143" s="197">
        <f t="shared" si="29"/>
        <v>1.3843491646687272</v>
      </c>
      <c r="K143" s="197">
        <f t="shared" si="29"/>
        <v>1.3691480618115974</v>
      </c>
      <c r="L143" s="197">
        <f t="shared" si="29"/>
        <v>1.3534868955871904</v>
      </c>
      <c r="M143" s="197">
        <f t="shared" si="29"/>
        <v>1.3373490527659293</v>
      </c>
      <c r="N143" s="197">
        <f t="shared" si="29"/>
        <v>1.3207172357854389</v>
      </c>
      <c r="O143" s="197">
        <f t="shared" si="29"/>
        <v>1.3035734323406523</v>
      </c>
      <c r="P143" s="197">
        <f t="shared" si="29"/>
        <v>1.285898883571361</v>
      </c>
      <c r="Q143" s="197">
        <f t="shared" si="29"/>
        <v>1.2676740507814324</v>
      </c>
      <c r="R143" s="197">
        <f t="shared" si="29"/>
        <v>1.2488785806208056</v>
      </c>
      <c r="S143" s="197">
        <f t="shared" si="29"/>
        <v>1.2294912686581081</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-3499044.6656084415</v>
      </c>
    </row>
    <row r="147" spans="2:45" x14ac:dyDescent="0.2">
      <c r="B147" s="79" t="s">
        <v>354</v>
      </c>
      <c r="C147" s="216" t="str">
        <f>$C$9</f>
        <v>kWh</v>
      </c>
      <c r="D147" s="126">
        <f>(1-$C$89)*NPV($C$86,E141:AR141)</f>
        <v>90411332.632551074</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1.3490206285859891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-4.6459889409183108E-2</v>
      </c>
      <c r="E151" s="131"/>
      <c r="F151" s="128"/>
      <c r="G151" s="112"/>
    </row>
    <row r="152" spans="2:45" x14ac:dyDescent="0.2">
      <c r="B152" s="79" t="s">
        <v>359</v>
      </c>
      <c r="C152" s="80"/>
      <c r="D152" s="132">
        <f>IFERROR(IRR(D140:AR140),"n.v.t.")</f>
        <v>-8.679493135260663E-2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2810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IFERROR(ROUND(INDEX(Correctiebedragen!$A$1:$K$256,MATCH('16'!C16,Correctiebedragen!$A$1:$A$256,0),8),decimalen),"n.v.t.")</f>
        <v>n.v.t.</v>
      </c>
    </row>
    <row r="162" spans="2:20" customFormat="1" ht="15" x14ac:dyDescent="0.25">
      <c r="B162" s="248" t="s">
        <v>367</v>
      </c>
      <c r="C162" s="250" t="str">
        <f>IFERROR(ROUND(INDEX(Correctiebedragen!$A$1:$K$256,MATCH('16'!C17,Correctiebedragen!$A$1:$A$256,0),8),decimalen),"n.v.t.")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IFERROR(ROUND(INDEX(Correctiebedragen!$A$1:$K$256,MATCH('16'!C16,Correctiebedragen!$A$1:$A$256,0),4),decimalen),"n.v.t.")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IFERROR(ROUND(INDEX(Correctiebedragen!$A$1:$K$256,MATCH('16'!C17,Correctiebedragen!$A$1:$A$256,0),4),decimalen),"n.v.t.")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IFERROR(ROUND(INDEX(Correctiebedragen!$A$1:$K$256,MATCH('16'!C16,Correctiebedragen!$A$1:$A$256,0),6),decimalen),"n.v.t.")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IFERROR(ROUND(INDEX(Correctiebedragen!$A$1:$K$256,MATCH('16'!C17,Correctiebedragen!$A$1:$A$256,0),6),decimalen),"n.v.t.")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189675000</v>
      </c>
      <c r="E174" s="28"/>
    </row>
    <row r="175" spans="2:20" customFormat="1" ht="26.25" x14ac:dyDescent="0.25">
      <c r="B175" s="256" t="s">
        <v>370</v>
      </c>
      <c r="C175" s="271">
        <f>IF(C95=0,SUM(E114:INDEX(E114:AR114,1,C91)),SUM(E114:INDEX(E114:AR114,1,C95)))</f>
        <v>252900000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19" priority="5" operator="containsText" text="Pas op">
      <formula>NOT(ISERROR(SEARCH("Pas op",G1)))</formula>
    </cfRule>
  </conditionalFormatting>
  <conditionalFormatting sqref="G186">
    <cfRule type="containsText" dxfId="18" priority="4" operator="containsText" text="Pas op">
      <formula>NOT(ISERROR(SEARCH("Pas op",G186)))</formula>
    </cfRule>
  </conditionalFormatting>
  <conditionalFormatting sqref="G162 G165 G169:G170">
    <cfRule type="containsText" dxfId="17" priority="3" operator="containsText" text="Pas op">
      <formula>NOT(ISERROR(SEARCH("Pas op",G162)))</formula>
    </cfRule>
  </conditionalFormatting>
  <conditionalFormatting sqref="G100">
    <cfRule type="containsText" dxfId="16" priority="2" operator="containsText" text="Pas op">
      <formula>NOT(ISERROR(SEARCH("Pas op",G100)))</formula>
    </cfRule>
  </conditionalFormatting>
  <conditionalFormatting sqref="G166:G168">
    <cfRule type="containsText" dxfId="15" priority="1" operator="containsText" text="Pas op">
      <formula>NOT(ISERROR(SEARCH("Pas op",G166)))</formula>
    </cfRule>
  </conditionalFormatting>
  <dataValidations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9A0DE37B-7434-421D-91DF-08D604126392}">
      <formula1>"ja,nee"</formula1>
    </dataValidation>
    <dataValidation type="list" allowBlank="1" showInputMessage="1" showErrorMessage="1" sqref="C9" xr:uid="{626D7DEB-C97D-4425-988F-A912773A1BAA}">
      <formula1>INDIRECT("lst_productie_eenheid")</formula1>
    </dataValidation>
    <dataValidation type="list" allowBlank="1" showInputMessage="1" showErrorMessage="1" sqref="C10" xr:uid="{C99483D3-7792-40D2-B74B-1A66BD0026B4}">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E197ABB-CAB9-4528-A865-873C4F0F72C9}">
          <x14:formula1>
            <xm:f>Colofon!$A$51:$A$56</xm:f>
          </x14:formula1>
          <xm:sqref>C11</xm:sqref>
        </x14:dataValidation>
        <x14:dataValidation type="list" allowBlank="1" showInputMessage="1" showErrorMessage="1" xr:uid="{5A8AD83E-CA91-42F9-B7B4-E50A725E02DB}">
          <x14:formula1>
            <xm:f>'ETS correctie methodes'!$B$4:$B$14</xm:f>
          </x14:formula1>
          <xm:sqref>C13</xm:sqref>
        </x14:dataValidation>
        <x14:dataValidation type="list" allowBlank="1" showInputMessage="1" showErrorMessage="1" xr:uid="{05834222-A72D-4613-A0B8-1C95597EC1B3}">
          <x14:formula1>
            <xm:f>Correctiebedragen!$A$3:$A$7</xm:f>
          </x14:formula1>
          <xm:sqref>C16:C17 C12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DB2C-2B95-4705-B10C-9C65B8472580}">
  <sheetPr codeName="Sheet110">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386</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7.0999999999999994E-2</v>
      </c>
      <c r="D5" s="113" t="str">
        <f>CONCATENATE("Euro/",$C$9)</f>
        <v>Euro/kWh</v>
      </c>
      <c r="E5" s="424"/>
      <c r="F5" s="425"/>
      <c r="G5" s="425"/>
      <c r="H5" s="425"/>
      <c r="I5" s="425"/>
      <c r="J5" s="425"/>
      <c r="K5" s="425"/>
      <c r="L5" s="425"/>
      <c r="M5" s="426"/>
      <c r="N5" s="26"/>
    </row>
    <row r="6" spans="1:14" x14ac:dyDescent="0.2">
      <c r="B6" s="4" t="s">
        <v>203</v>
      </c>
      <c r="C6" s="114">
        <f>ROUND((C5-C7)/C8*1000,0)</f>
        <v>82</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"&amp;IFERROR(INDEX(Correctiebedragen!$A$1:$M$256,MATCH('17'!C12,Correctiebedragen!$A$1:$A$256,0),9),"")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IFERROR(INDEX(Correctiebedragen!$A$1:$M$256,MATCH('17'!C16,Correctiebedragen!$A$1:$A$256,0),9),"")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IFERROR(INDEX(Correctiebedragen!$A$1:$M$256,MATCH('17'!C17,Correctiebedragen!$A$1:$A$256,0),9),"")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2600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2600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11700000</v>
      </c>
      <c r="F111" s="78">
        <f t="shared" ref="F111:AR111" si="2">IF(F108&lt;=$C$94,$C$37*$C$39,IF(AND(F108&gt;$C$94,F108&lt;=$C$91),$C$37*$C$77,0))*IF($C$41=0,1,$C$42/$C$41)</f>
        <v>11700000</v>
      </c>
      <c r="G111" s="78">
        <f t="shared" si="2"/>
        <v>11700000</v>
      </c>
      <c r="H111" s="78">
        <f t="shared" si="2"/>
        <v>11700000</v>
      </c>
      <c r="I111" s="78">
        <f t="shared" si="2"/>
        <v>11700000</v>
      </c>
      <c r="J111" s="78">
        <f t="shared" si="2"/>
        <v>11700000</v>
      </c>
      <c r="K111" s="78">
        <f t="shared" si="2"/>
        <v>11700000</v>
      </c>
      <c r="L111" s="78">
        <f t="shared" si="2"/>
        <v>11700000</v>
      </c>
      <c r="M111" s="78">
        <f t="shared" si="2"/>
        <v>11700000</v>
      </c>
      <c r="N111" s="78">
        <f t="shared" si="2"/>
        <v>11700000</v>
      </c>
      <c r="O111" s="78">
        <f t="shared" si="2"/>
        <v>11700000</v>
      </c>
      <c r="P111" s="78">
        <f t="shared" si="2"/>
        <v>11700000</v>
      </c>
      <c r="Q111" s="78">
        <f t="shared" si="2"/>
        <v>11700000</v>
      </c>
      <c r="R111" s="78">
        <f t="shared" si="2"/>
        <v>11700000</v>
      </c>
      <c r="S111" s="78">
        <f t="shared" si="2"/>
        <v>11700000</v>
      </c>
      <c r="T111" s="78">
        <f t="shared" si="2"/>
        <v>11700000</v>
      </c>
      <c r="U111" s="78">
        <f t="shared" si="2"/>
        <v>11700000</v>
      </c>
      <c r="V111" s="78">
        <f t="shared" si="2"/>
        <v>11700000</v>
      </c>
      <c r="W111" s="78">
        <f t="shared" si="2"/>
        <v>11700000</v>
      </c>
      <c r="X111" s="78">
        <f t="shared" si="2"/>
        <v>11700000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11700000</v>
      </c>
      <c r="F114" s="84">
        <f t="shared" ref="F114:AR114" si="5">SUM(F111:F113)</f>
        <v>11700000</v>
      </c>
      <c r="G114" s="84">
        <f t="shared" si="5"/>
        <v>11700000</v>
      </c>
      <c r="H114" s="84">
        <f t="shared" si="5"/>
        <v>11700000</v>
      </c>
      <c r="I114" s="84">
        <f t="shared" si="5"/>
        <v>11700000</v>
      </c>
      <c r="J114" s="84">
        <f t="shared" si="5"/>
        <v>11700000</v>
      </c>
      <c r="K114" s="84">
        <f t="shared" si="5"/>
        <v>11700000</v>
      </c>
      <c r="L114" s="84">
        <f t="shared" si="5"/>
        <v>11700000</v>
      </c>
      <c r="M114" s="84">
        <f t="shared" si="5"/>
        <v>11700000</v>
      </c>
      <c r="N114" s="84">
        <f t="shared" si="5"/>
        <v>11700000</v>
      </c>
      <c r="O114" s="84">
        <f t="shared" si="5"/>
        <v>11700000</v>
      </c>
      <c r="P114" s="84">
        <f t="shared" si="5"/>
        <v>11700000</v>
      </c>
      <c r="Q114" s="84">
        <f t="shared" si="5"/>
        <v>11700000</v>
      </c>
      <c r="R114" s="84">
        <f t="shared" si="5"/>
        <v>11700000</v>
      </c>
      <c r="S114" s="84">
        <f t="shared" si="5"/>
        <v>11700000</v>
      </c>
      <c r="T114" s="84">
        <f t="shared" si="5"/>
        <v>11700000</v>
      </c>
      <c r="U114" s="84">
        <f t="shared" si="5"/>
        <v>11700000</v>
      </c>
      <c r="V114" s="84">
        <f t="shared" si="5"/>
        <v>11700000</v>
      </c>
      <c r="W114" s="84">
        <f t="shared" si="5"/>
        <v>11700000</v>
      </c>
      <c r="X114" s="84">
        <f t="shared" si="5"/>
        <v>11700000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-215820</v>
      </c>
      <c r="F116" s="78">
        <f t="shared" si="6"/>
        <v>-220136.4</v>
      </c>
      <c r="G116" s="78">
        <f t="shared" si="6"/>
        <v>-224539.128</v>
      </c>
      <c r="H116" s="78">
        <f t="shared" si="6"/>
        <v>-229029.91055999999</v>
      </c>
      <c r="I116" s="78">
        <f t="shared" si="6"/>
        <v>-233610.50877119999</v>
      </c>
      <c r="J116" s="78">
        <f t="shared" si="6"/>
        <v>-238282.71894662399</v>
      </c>
      <c r="K116" s="78">
        <f t="shared" si="6"/>
        <v>-243048.37332555649</v>
      </c>
      <c r="L116" s="78">
        <f t="shared" si="6"/>
        <v>-247909.34079206758</v>
      </c>
      <c r="M116" s="78">
        <f t="shared" si="6"/>
        <v>-252867.52760790894</v>
      </c>
      <c r="N116" s="78">
        <f t="shared" si="6"/>
        <v>-257924.87816006714</v>
      </c>
      <c r="O116" s="78">
        <f t="shared" si="6"/>
        <v>-263083.37572326849</v>
      </c>
      <c r="P116" s="78">
        <f t="shared" si="6"/>
        <v>-268345.04323773377</v>
      </c>
      <c r="Q116" s="78">
        <f t="shared" si="6"/>
        <v>-273711.94410248852</v>
      </c>
      <c r="R116" s="78">
        <f t="shared" si="6"/>
        <v>-279186.18298453826</v>
      </c>
      <c r="S116" s="78">
        <f t="shared" si="6"/>
        <v>-284769.90664422908</v>
      </c>
      <c r="T116" s="78">
        <f t="shared" si="6"/>
        <v>-290465.30477711355</v>
      </c>
      <c r="U116" s="78">
        <f t="shared" si="6"/>
        <v>-296274.61087265587</v>
      </c>
      <c r="V116" s="78">
        <f t="shared" si="6"/>
        <v>-302200.10309010901</v>
      </c>
      <c r="W116" s="78">
        <f t="shared" si="6"/>
        <v>-308244.10515191115</v>
      </c>
      <c r="X116" s="78">
        <f t="shared" si="6"/>
        <v>-314408.9872549494</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1147931.4818067995</v>
      </c>
      <c r="U123" s="81">
        <f t="shared" si="13"/>
        <v>1170890.1114429357</v>
      </c>
      <c r="V123" s="81">
        <f t="shared" si="13"/>
        <v>1194307.9136717946</v>
      </c>
      <c r="W123" s="81">
        <f t="shared" si="13"/>
        <v>1218194.0719452302</v>
      </c>
      <c r="X123" s="81">
        <f t="shared" si="13"/>
        <v>1242557.9533841349</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1147931.4818067995</v>
      </c>
      <c r="U126" s="78">
        <f t="shared" si="15"/>
        <v>1170890.1114429357</v>
      </c>
      <c r="V126" s="78">
        <f t="shared" si="15"/>
        <v>1194307.9136717946</v>
      </c>
      <c r="W126" s="78">
        <f t="shared" si="15"/>
        <v>1218194.0719452302</v>
      </c>
      <c r="X126" s="78">
        <f t="shared" si="15"/>
        <v>1242557.9533841349</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-215820</v>
      </c>
      <c r="F127" s="81">
        <f t="shared" si="16"/>
        <v>-220136.4</v>
      </c>
      <c r="G127" s="81">
        <f t="shared" si="16"/>
        <v>-224539.128</v>
      </c>
      <c r="H127" s="81">
        <f t="shared" si="16"/>
        <v>-229029.91055999999</v>
      </c>
      <c r="I127" s="81">
        <f t="shared" si="16"/>
        <v>-233610.50877119999</v>
      </c>
      <c r="J127" s="81">
        <f t="shared" si="16"/>
        <v>-238282.71894662399</v>
      </c>
      <c r="K127" s="81">
        <f t="shared" si="16"/>
        <v>-243048.37332555649</v>
      </c>
      <c r="L127" s="81">
        <f t="shared" si="16"/>
        <v>-247909.34079206758</v>
      </c>
      <c r="M127" s="81">
        <f t="shared" si="16"/>
        <v>-252867.52760790894</v>
      </c>
      <c r="N127" s="81">
        <f t="shared" si="16"/>
        <v>-257924.87816006714</v>
      </c>
      <c r="O127" s="81">
        <f t="shared" si="16"/>
        <v>-263083.37572326849</v>
      </c>
      <c r="P127" s="81">
        <f t="shared" si="16"/>
        <v>-268345.04323773377</v>
      </c>
      <c r="Q127" s="81">
        <f t="shared" si="16"/>
        <v>-273711.94410248852</v>
      </c>
      <c r="R127" s="81">
        <f t="shared" si="16"/>
        <v>-279186.18298453826</v>
      </c>
      <c r="S127" s="81">
        <f t="shared" si="16"/>
        <v>-284769.90664422908</v>
      </c>
      <c r="T127" s="81">
        <f t="shared" si="16"/>
        <v>-290465.30477711355</v>
      </c>
      <c r="U127" s="81">
        <f t="shared" si="16"/>
        <v>-296274.61087265587</v>
      </c>
      <c r="V127" s="81">
        <f t="shared" si="16"/>
        <v>-302200.10309010901</v>
      </c>
      <c r="W127" s="81">
        <f t="shared" si="16"/>
        <v>-308244.10515191115</v>
      </c>
      <c r="X127" s="81">
        <f t="shared" si="16"/>
        <v>-314408.9872549494</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-215820</v>
      </c>
      <c r="F128" s="90">
        <f t="shared" ref="F128:AR128" si="17">SUM(F126:F127)</f>
        <v>-220136.4</v>
      </c>
      <c r="G128" s="90">
        <f t="shared" si="17"/>
        <v>-224539.128</v>
      </c>
      <c r="H128" s="90">
        <f t="shared" si="17"/>
        <v>-229029.91055999999</v>
      </c>
      <c r="I128" s="90">
        <f t="shared" si="17"/>
        <v>-233610.50877119999</v>
      </c>
      <c r="J128" s="90">
        <f t="shared" si="17"/>
        <v>-238282.71894662399</v>
      </c>
      <c r="K128" s="90">
        <f t="shared" si="17"/>
        <v>-243048.37332555649</v>
      </c>
      <c r="L128" s="90">
        <f t="shared" si="17"/>
        <v>-247909.34079206758</v>
      </c>
      <c r="M128" s="90">
        <f t="shared" si="17"/>
        <v>-252867.52760790894</v>
      </c>
      <c r="N128" s="90">
        <f t="shared" si="17"/>
        <v>-257924.87816006714</v>
      </c>
      <c r="O128" s="90">
        <f t="shared" si="17"/>
        <v>-263083.37572326849</v>
      </c>
      <c r="P128" s="90">
        <f t="shared" si="17"/>
        <v>-268345.04323773377</v>
      </c>
      <c r="Q128" s="90">
        <f t="shared" si="17"/>
        <v>-273711.94410248852</v>
      </c>
      <c r="R128" s="90">
        <f t="shared" si="17"/>
        <v>-279186.18298453826</v>
      </c>
      <c r="S128" s="90">
        <f t="shared" si="17"/>
        <v>-284769.90664422908</v>
      </c>
      <c r="T128" s="90">
        <f t="shared" si="17"/>
        <v>857466.17702968605</v>
      </c>
      <c r="U128" s="90">
        <f t="shared" si="17"/>
        <v>874615.50057027978</v>
      </c>
      <c r="V128" s="90">
        <f t="shared" si="17"/>
        <v>892107.81058168551</v>
      </c>
      <c r="W128" s="90">
        <f t="shared" si="17"/>
        <v>909949.96679331909</v>
      </c>
      <c r="X128" s="90">
        <f t="shared" si="17"/>
        <v>928148.96612918552</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-891759.60843749996</v>
      </c>
      <c r="F135" s="95">
        <f t="shared" ref="F135:AR135" si="22">F128+F130+F131</f>
        <v>-885972.75828294619</v>
      </c>
      <c r="G135" s="95">
        <f t="shared" si="22"/>
        <v>-879792.3317460512</v>
      </c>
      <c r="H135" s="95">
        <f t="shared" si="22"/>
        <v>-873197.2599286536</v>
      </c>
      <c r="I135" s="95">
        <f t="shared" si="22"/>
        <v>-866165.42567952967</v>
      </c>
      <c r="J135" s="95">
        <f t="shared" si="22"/>
        <v>-858673.61285276432</v>
      </c>
      <c r="K135" s="95">
        <f t="shared" si="22"/>
        <v>-850697.45313690347</v>
      </c>
      <c r="L135" s="95">
        <f t="shared" si="22"/>
        <v>-842211.37033911864</v>
      </c>
      <c r="M135" s="95">
        <f t="shared" si="22"/>
        <v>-833188.52200310992</v>
      </c>
      <c r="N135" s="95">
        <f t="shared" si="22"/>
        <v>-823600.73823370517</v>
      </c>
      <c r="O135" s="95">
        <f t="shared" si="22"/>
        <v>-813418.45759506931</v>
      </c>
      <c r="P135" s="95">
        <f t="shared" si="22"/>
        <v>-802610.65994311019</v>
      </c>
      <c r="Q135" s="95">
        <f t="shared" si="22"/>
        <v>-791144.79604603525</v>
      </c>
      <c r="R135" s="95">
        <f t="shared" si="22"/>
        <v>-778986.71384006855</v>
      </c>
      <c r="S135" s="95">
        <f t="shared" si="22"/>
        <v>-766100.58116006199</v>
      </c>
      <c r="T135" s="95">
        <f t="shared" si="22"/>
        <v>857466.17702968605</v>
      </c>
      <c r="U135" s="95">
        <f t="shared" si="22"/>
        <v>874615.50057027978</v>
      </c>
      <c r="V135" s="95">
        <f t="shared" si="22"/>
        <v>892107.81058168551</v>
      </c>
      <c r="W135" s="95">
        <f t="shared" si="22"/>
        <v>909949.96679331909</v>
      </c>
      <c r="X135" s="95">
        <f t="shared" si="22"/>
        <v>928148.96612918552</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169434.32560312501</v>
      </c>
      <c r="F136" s="97">
        <f t="shared" si="23"/>
        <v>168334.82407375978</v>
      </c>
      <c r="G136" s="97">
        <f t="shared" si="23"/>
        <v>167160.54303174972</v>
      </c>
      <c r="H136" s="97">
        <f t="shared" si="23"/>
        <v>165907.47938644417</v>
      </c>
      <c r="I136" s="97">
        <f t="shared" si="23"/>
        <v>164571.43087911065</v>
      </c>
      <c r="J136" s="97">
        <f t="shared" si="23"/>
        <v>163147.98644202523</v>
      </c>
      <c r="K136" s="97">
        <f t="shared" si="23"/>
        <v>161632.51609601165</v>
      </c>
      <c r="L136" s="97">
        <f t="shared" si="23"/>
        <v>160020.16036443255</v>
      </c>
      <c r="M136" s="97">
        <f t="shared" si="23"/>
        <v>158305.81918059089</v>
      </c>
      <c r="N136" s="97">
        <f t="shared" si="23"/>
        <v>156484.14026440398</v>
      </c>
      <c r="O136" s="97">
        <f t="shared" si="23"/>
        <v>154549.50694306317</v>
      </c>
      <c r="P136" s="97">
        <f t="shared" si="23"/>
        <v>152496.02538919094</v>
      </c>
      <c r="Q136" s="97">
        <f t="shared" si="23"/>
        <v>150317.51124874671</v>
      </c>
      <c r="R136" s="97">
        <f t="shared" si="23"/>
        <v>148007.47562961304</v>
      </c>
      <c r="S136" s="97">
        <f t="shared" si="23"/>
        <v>145559.11042041177</v>
      </c>
      <c r="T136" s="97">
        <f t="shared" si="23"/>
        <v>-162918.57363564035</v>
      </c>
      <c r="U136" s="97">
        <f t="shared" si="23"/>
        <v>-166176.94510835316</v>
      </c>
      <c r="V136" s="97">
        <f t="shared" si="23"/>
        <v>-169500.48401052025</v>
      </c>
      <c r="W136" s="97">
        <f t="shared" si="23"/>
        <v>-172890.49369073063</v>
      </c>
      <c r="X136" s="97">
        <f t="shared" si="23"/>
        <v>-176348.30356454526</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-473041.786088138</v>
      </c>
      <c r="F138" s="101">
        <f t="shared" si="24"/>
        <v>-478457.68761750316</v>
      </c>
      <c r="G138" s="101">
        <f t="shared" si="24"/>
        <v>-484034.69665951323</v>
      </c>
      <c r="H138" s="101">
        <f t="shared" si="24"/>
        <v>-489778.54286481871</v>
      </c>
      <c r="I138" s="101">
        <f t="shared" si="24"/>
        <v>-495695.18958335224</v>
      </c>
      <c r="J138" s="101">
        <f t="shared" si="24"/>
        <v>-501790.84419586178</v>
      </c>
      <c r="K138" s="101">
        <f t="shared" si="24"/>
        <v>-508071.96892080782</v>
      </c>
      <c r="L138" s="101">
        <f t="shared" si="24"/>
        <v>-514545.29211889795</v>
      </c>
      <c r="M138" s="101">
        <f t="shared" si="24"/>
        <v>-521217.82011858094</v>
      </c>
      <c r="N138" s="101">
        <f t="shared" si="24"/>
        <v>-528096.84958692617</v>
      </c>
      <c r="O138" s="101">
        <f t="shared" si="24"/>
        <v>-535189.9804714683</v>
      </c>
      <c r="P138" s="101">
        <f t="shared" si="24"/>
        <v>-542505.1295398057</v>
      </c>
      <c r="Q138" s="101">
        <f t="shared" si="24"/>
        <v>-550050.54454500484</v>
      </c>
      <c r="R138" s="101">
        <f t="shared" si="24"/>
        <v>-557834.81904618815</v>
      </c>
      <c r="S138" s="101">
        <f t="shared" si="24"/>
        <v>-565866.9079150802</v>
      </c>
      <c r="T138" s="101">
        <f t="shared" si="24"/>
        <v>694547.60339404573</v>
      </c>
      <c r="U138" s="101">
        <f t="shared" si="24"/>
        <v>708438.55546192662</v>
      </c>
      <c r="V138" s="101">
        <f t="shared" si="24"/>
        <v>722607.32657116523</v>
      </c>
      <c r="W138" s="101">
        <f t="shared" si="24"/>
        <v>737059.47310258844</v>
      </c>
      <c r="X138" s="101">
        <f t="shared" si="24"/>
        <v>751800.66256464028</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-46385.674396874994</v>
      </c>
      <c r="F139" s="106">
        <f t="shared" ref="F139:AR139" si="25">F128+F136</f>
        <v>-51801.575926240213</v>
      </c>
      <c r="G139" s="106">
        <f t="shared" si="25"/>
        <v>-57378.584968250274</v>
      </c>
      <c r="H139" s="106">
        <f t="shared" si="25"/>
        <v>-63122.431173555815</v>
      </c>
      <c r="I139" s="106">
        <f t="shared" si="25"/>
        <v>-69039.07789208935</v>
      </c>
      <c r="J139" s="106">
        <f t="shared" si="25"/>
        <v>-75134.732504598767</v>
      </c>
      <c r="K139" s="106">
        <f t="shared" si="25"/>
        <v>-81415.857229544839</v>
      </c>
      <c r="L139" s="106">
        <f t="shared" si="25"/>
        <v>-87889.18042763503</v>
      </c>
      <c r="M139" s="106">
        <f t="shared" si="25"/>
        <v>-94561.708427318052</v>
      </c>
      <c r="N139" s="106">
        <f t="shared" si="25"/>
        <v>-101440.73789566316</v>
      </c>
      <c r="O139" s="106">
        <f t="shared" si="25"/>
        <v>-108533.86878020532</v>
      </c>
      <c r="P139" s="106">
        <f t="shared" si="25"/>
        <v>-115849.01784854283</v>
      </c>
      <c r="Q139" s="106">
        <f t="shared" si="25"/>
        <v>-123394.4328537418</v>
      </c>
      <c r="R139" s="106">
        <f t="shared" si="25"/>
        <v>-131178.70735492522</v>
      </c>
      <c r="S139" s="106">
        <f t="shared" si="25"/>
        <v>-139210.79622381731</v>
      </c>
      <c r="T139" s="106">
        <f t="shared" si="25"/>
        <v>694547.60339404573</v>
      </c>
      <c r="U139" s="106">
        <f t="shared" si="25"/>
        <v>708438.55546192662</v>
      </c>
      <c r="V139" s="106">
        <f t="shared" si="25"/>
        <v>722607.32657116523</v>
      </c>
      <c r="W139" s="106">
        <f t="shared" si="25"/>
        <v>737059.47310258844</v>
      </c>
      <c r="X139" s="106">
        <f t="shared" si="25"/>
        <v>751800.66256464028</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-473041.786088138</v>
      </c>
      <c r="F140" s="106">
        <f t="shared" ref="F140:AR140" si="26">F138</f>
        <v>-478457.68761750316</v>
      </c>
      <c r="G140" s="106">
        <f t="shared" si="26"/>
        <v>-484034.69665951323</v>
      </c>
      <c r="H140" s="106">
        <f t="shared" si="26"/>
        <v>-489778.54286481871</v>
      </c>
      <c r="I140" s="106">
        <f t="shared" si="26"/>
        <v>-495695.18958335224</v>
      </c>
      <c r="J140" s="106">
        <f t="shared" si="26"/>
        <v>-501790.84419586178</v>
      </c>
      <c r="K140" s="106">
        <f t="shared" si="26"/>
        <v>-508071.96892080782</v>
      </c>
      <c r="L140" s="106">
        <f t="shared" si="26"/>
        <v>-514545.29211889795</v>
      </c>
      <c r="M140" s="106">
        <f t="shared" si="26"/>
        <v>-521217.82011858094</v>
      </c>
      <c r="N140" s="106">
        <f t="shared" si="26"/>
        <v>-528096.84958692617</v>
      </c>
      <c r="O140" s="106">
        <f t="shared" si="26"/>
        <v>-535189.9804714683</v>
      </c>
      <c r="P140" s="106">
        <f t="shared" si="26"/>
        <v>-542505.1295398057</v>
      </c>
      <c r="Q140" s="106">
        <f t="shared" si="26"/>
        <v>-550050.54454500484</v>
      </c>
      <c r="R140" s="106">
        <f t="shared" si="26"/>
        <v>-557834.81904618815</v>
      </c>
      <c r="S140" s="106">
        <f t="shared" si="26"/>
        <v>-565866.9079150802</v>
      </c>
      <c r="T140" s="106">
        <f t="shared" si="26"/>
        <v>694547.60339404573</v>
      </c>
      <c r="U140" s="106">
        <f t="shared" si="26"/>
        <v>708438.55546192662</v>
      </c>
      <c r="V140" s="106">
        <f t="shared" si="26"/>
        <v>722607.32657116523</v>
      </c>
      <c r="W140" s="106">
        <f t="shared" si="26"/>
        <v>737059.47310258844</v>
      </c>
      <c r="X140" s="106">
        <f t="shared" si="26"/>
        <v>751800.66256464028</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11700000</v>
      </c>
      <c r="F141" s="108">
        <f t="shared" si="27"/>
        <v>11700000</v>
      </c>
      <c r="G141" s="108">
        <f t="shared" si="27"/>
        <v>11700000</v>
      </c>
      <c r="H141" s="108">
        <f t="shared" si="27"/>
        <v>11700000</v>
      </c>
      <c r="I141" s="108">
        <f t="shared" si="27"/>
        <v>11700000</v>
      </c>
      <c r="J141" s="108">
        <f t="shared" si="27"/>
        <v>11700000</v>
      </c>
      <c r="K141" s="108">
        <f t="shared" si="27"/>
        <v>11700000</v>
      </c>
      <c r="L141" s="108">
        <f t="shared" si="27"/>
        <v>11700000</v>
      </c>
      <c r="M141" s="108">
        <f t="shared" si="27"/>
        <v>11700000</v>
      </c>
      <c r="N141" s="108">
        <f t="shared" si="27"/>
        <v>11700000</v>
      </c>
      <c r="O141" s="108">
        <f t="shared" si="27"/>
        <v>11700000</v>
      </c>
      <c r="P141" s="108">
        <f t="shared" si="27"/>
        <v>11700000</v>
      </c>
      <c r="Q141" s="108">
        <f t="shared" si="27"/>
        <v>11700000</v>
      </c>
      <c r="R141" s="108">
        <f t="shared" si="27"/>
        <v>11700000</v>
      </c>
      <c r="S141" s="108">
        <f t="shared" si="27"/>
        <v>11700000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6528828.6084375</v>
      </c>
      <c r="F142" s="124">
        <f t="shared" ref="F142:AR142" si="28">E142-($C$5*F114+F128+F131)</f>
        <v>6122117.8667204464</v>
      </c>
      <c r="G142" s="124">
        <f t="shared" si="28"/>
        <v>5709226.6984664975</v>
      </c>
      <c r="H142" s="124">
        <f t="shared" si="28"/>
        <v>5289740.4583951514</v>
      </c>
      <c r="I142" s="124">
        <f t="shared" si="28"/>
        <v>4863222.3840746814</v>
      </c>
      <c r="J142" s="124">
        <f t="shared" si="28"/>
        <v>4429212.4969274458</v>
      </c>
      <c r="K142" s="124">
        <f t="shared" si="28"/>
        <v>3987226.4500643495</v>
      </c>
      <c r="L142" s="124">
        <f t="shared" si="28"/>
        <v>3536754.3204034683</v>
      </c>
      <c r="M142" s="124">
        <f t="shared" si="28"/>
        <v>3077259.3424065784</v>
      </c>
      <c r="N142" s="124">
        <f t="shared" si="28"/>
        <v>2608176.5806402834</v>
      </c>
      <c r="O142" s="124">
        <f t="shared" si="28"/>
        <v>2128911.5382353528</v>
      </c>
      <c r="P142" s="124">
        <f t="shared" si="28"/>
        <v>1638838.6981784631</v>
      </c>
      <c r="Q142" s="124">
        <f t="shared" si="28"/>
        <v>1137299.9942244985</v>
      </c>
      <c r="R142" s="124">
        <f t="shared" si="28"/>
        <v>623603.20806456706</v>
      </c>
      <c r="S142" s="124">
        <f t="shared" si="28"/>
        <v>97020.289224629174</v>
      </c>
      <c r="T142" s="124">
        <f t="shared" si="28"/>
        <v>-1591145.8878050568</v>
      </c>
      <c r="U142" s="124">
        <f t="shared" si="28"/>
        <v>-3296461.3883753363</v>
      </c>
      <c r="V142" s="124">
        <f t="shared" si="28"/>
        <v>-5019269.1989570223</v>
      </c>
      <c r="W142" s="124">
        <f t="shared" si="28"/>
        <v>-6759919.1657503415</v>
      </c>
      <c r="X142" s="124">
        <f t="shared" si="28"/>
        <v>-8518768.1318795271</v>
      </c>
      <c r="Y142" s="124">
        <f t="shared" si="28"/>
        <v>-8518768.1318795271</v>
      </c>
      <c r="Z142" s="124">
        <f t="shared" si="28"/>
        <v>-8518768.1318795271</v>
      </c>
      <c r="AA142" s="124">
        <f t="shared" si="28"/>
        <v>-8518768.1318795271</v>
      </c>
      <c r="AB142" s="124">
        <f t="shared" si="28"/>
        <v>-8518768.1318795271</v>
      </c>
      <c r="AC142" s="124">
        <f t="shared" si="28"/>
        <v>-8518768.1318795271</v>
      </c>
      <c r="AD142" s="124">
        <f t="shared" si="28"/>
        <v>-8518768.1318795271</v>
      </c>
      <c r="AE142" s="124">
        <f t="shared" si="28"/>
        <v>-8518768.1318795271</v>
      </c>
      <c r="AF142" s="124">
        <f t="shared" si="28"/>
        <v>-8518768.1318795271</v>
      </c>
      <c r="AG142" s="124">
        <f t="shared" si="28"/>
        <v>-8518768.1318795271</v>
      </c>
      <c r="AH142" s="124">
        <f t="shared" si="28"/>
        <v>-8518768.1318795271</v>
      </c>
      <c r="AI142" s="124">
        <f t="shared" si="28"/>
        <v>-8518768.1318795271</v>
      </c>
      <c r="AJ142" s="124">
        <f t="shared" si="28"/>
        <v>-8518768.1318795271</v>
      </c>
      <c r="AK142" s="124">
        <f t="shared" si="28"/>
        <v>-8518768.1318795271</v>
      </c>
      <c r="AL142" s="124">
        <f t="shared" si="28"/>
        <v>-8518768.1318795271</v>
      </c>
      <c r="AM142" s="124">
        <f t="shared" si="28"/>
        <v>-8518768.1318795271</v>
      </c>
      <c r="AN142" s="124">
        <f t="shared" si="28"/>
        <v>-8518768.1318795271</v>
      </c>
      <c r="AO142" s="124">
        <f t="shared" si="28"/>
        <v>-8518768.1318795271</v>
      </c>
      <c r="AP142" s="124">
        <f t="shared" si="28"/>
        <v>-8518768.1318795271</v>
      </c>
      <c r="AQ142" s="124">
        <f t="shared" si="28"/>
        <v>-8518768.1318795271</v>
      </c>
      <c r="AR142" s="124">
        <f t="shared" si="28"/>
        <v>-8518768.1318795271</v>
      </c>
    </row>
    <row r="143" spans="1:45" x14ac:dyDescent="0.2">
      <c r="B143" s="5" t="s">
        <v>350</v>
      </c>
      <c r="C143" s="195"/>
      <c r="D143" s="196"/>
      <c r="E143" s="197">
        <f>IF(E108&gt;$C$92,"",(-$C$89*(E135+$C$5*E114)+E128+$C$5*E114)/-E133)</f>
        <v>1.4683519313007274</v>
      </c>
      <c r="F143" s="197">
        <f>IF(F108&gt;$C$92,"",(-$C$89*(F135+$C$5*F114)+F128+$C$5*F114)/-F133)</f>
        <v>1.4556580980683931</v>
      </c>
      <c r="G143" s="197">
        <f>IF(G108&gt;$C$92,"",(-$C$89*(G135+$C$5*G114)+G128+$C$5*G114)/-G133)</f>
        <v>1.4425866597620185</v>
      </c>
      <c r="H143" s="197">
        <f>IF(H108&gt;$C$92,"",(-$C$89*(H135+$C$5*H114)+H128+$C$5*H114)/-H133)</f>
        <v>1.4291241871806766</v>
      </c>
      <c r="I143" s="197">
        <f t="shared" ref="I143:AR143" si="29">IF(I108&gt;$C$92,"",(-$C$89*(I135+$C$5*I114)+I128+$C$5*I114)/-I133)</f>
        <v>1.4152567033771983</v>
      </c>
      <c r="J143" s="197">
        <f t="shared" si="29"/>
        <v>1.4009696594430421</v>
      </c>
      <c r="K143" s="197">
        <f t="shared" si="29"/>
        <v>1.3862479091789999</v>
      </c>
      <c r="L143" s="197">
        <f t="shared" si="29"/>
        <v>1.3710756825995425</v>
      </c>
      <c r="M143" s="197">
        <f t="shared" si="29"/>
        <v>1.3554365582161294</v>
      </c>
      <c r="N143" s="197">
        <f t="shared" si="29"/>
        <v>1.3393134340422443</v>
      </c>
      <c r="O143" s="197">
        <f t="shared" si="29"/>
        <v>1.3226884972601949</v>
      </c>
      <c r="P143" s="197">
        <f t="shared" si="29"/>
        <v>1.3055431924868959</v>
      </c>
      <c r="Q143" s="197">
        <f t="shared" si="29"/>
        <v>1.2878581885728795</v>
      </c>
      <c r="R143" s="197">
        <f t="shared" si="29"/>
        <v>1.2696133438656829</v>
      </c>
      <c r="S143" s="197">
        <f t="shared" si="29"/>
        <v>1.2507876698654845</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-3496130.2291101515</v>
      </c>
    </row>
    <row r="147" spans="2:45" x14ac:dyDescent="0.2">
      <c r="B147" s="79" t="s">
        <v>354</v>
      </c>
      <c r="C147" s="216" t="str">
        <f>$C$9</f>
        <v>kWh</v>
      </c>
      <c r="D147" s="126">
        <f>(1-$C$89)*NPV($C$86,E141:AR141)</f>
        <v>83654613.823712736</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1.3667007810146741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-5.0089051702142839E-2</v>
      </c>
      <c r="E151" s="131"/>
      <c r="F151" s="128"/>
      <c r="G151" s="112"/>
    </row>
    <row r="152" spans="2:45" x14ac:dyDescent="0.2">
      <c r="B152" s="79" t="s">
        <v>359</v>
      </c>
      <c r="C152" s="80"/>
      <c r="D152" s="132">
        <f>IFERROR(IRR(D140:AR140),"n.v.t.")</f>
        <v>-9.3343071426620683E-2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2600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IFERROR(ROUND(INDEX(Correctiebedragen!$A$1:$K$256,MATCH('17'!C16,Correctiebedragen!$A$1:$A$256,0),8),decimalen),"n.v.t.")</f>
        <v>n.v.t.</v>
      </c>
    </row>
    <row r="162" spans="2:20" customFormat="1" ht="15" x14ac:dyDescent="0.25">
      <c r="B162" s="248" t="s">
        <v>367</v>
      </c>
      <c r="C162" s="250" t="str">
        <f>IFERROR(ROUND(INDEX(Correctiebedragen!$A$1:$K$256,MATCH('17'!C17,Correctiebedragen!$A$1:$A$256,0),8),decimalen),"n.v.t.")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IFERROR(ROUND(INDEX(Correctiebedragen!$A$1:$K$256,MATCH('17'!C16,Correctiebedragen!$A$1:$A$256,0),4),decimalen),"n.v.t.")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IFERROR(ROUND(INDEX(Correctiebedragen!$A$1:$K$256,MATCH('17'!C17,Correctiebedragen!$A$1:$A$256,0),4),decimalen),"n.v.t.")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IFERROR(ROUND(INDEX(Correctiebedragen!$A$1:$K$256,MATCH('17'!C16,Correctiebedragen!$A$1:$A$256,0),6),decimalen),"n.v.t.")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IFERROR(ROUND(INDEX(Correctiebedragen!$A$1:$K$256,MATCH('17'!C17,Correctiebedragen!$A$1:$A$256,0),6),decimalen),"n.v.t.")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175500000</v>
      </c>
      <c r="E174" s="28"/>
    </row>
    <row r="175" spans="2:20" customFormat="1" ht="26.25" x14ac:dyDescent="0.25">
      <c r="B175" s="256" t="s">
        <v>370</v>
      </c>
      <c r="C175" s="271">
        <f>IF(C95=0,SUM(E114:INDEX(E114:AR114,1,C91)),SUM(E114:INDEX(E114:AR114,1,C95)))</f>
        <v>234000000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14" priority="5" operator="containsText" text="Pas op">
      <formula>NOT(ISERROR(SEARCH("Pas op",G1)))</formula>
    </cfRule>
  </conditionalFormatting>
  <conditionalFormatting sqref="G186">
    <cfRule type="containsText" dxfId="13" priority="4" operator="containsText" text="Pas op">
      <formula>NOT(ISERROR(SEARCH("Pas op",G186)))</formula>
    </cfRule>
  </conditionalFormatting>
  <conditionalFormatting sqref="G162 G165 G169:G170">
    <cfRule type="containsText" dxfId="12" priority="3" operator="containsText" text="Pas op">
      <formula>NOT(ISERROR(SEARCH("Pas op",G162)))</formula>
    </cfRule>
  </conditionalFormatting>
  <conditionalFormatting sqref="G100">
    <cfRule type="containsText" dxfId="11" priority="2" operator="containsText" text="Pas op">
      <formula>NOT(ISERROR(SEARCH("Pas op",G100)))</formula>
    </cfRule>
  </conditionalFormatting>
  <conditionalFormatting sqref="G166:G168">
    <cfRule type="containsText" dxfId="10" priority="1" operator="containsText" text="Pas op">
      <formula>NOT(ISERROR(SEARCH("Pas op",G166)))</formula>
    </cfRule>
  </conditionalFormatting>
  <dataValidations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B756DE9C-41C7-48E8-A653-59577839BA95}">
      <formula1>"ja,nee"</formula1>
    </dataValidation>
    <dataValidation type="list" allowBlank="1" showInputMessage="1" showErrorMessage="1" sqref="C9" xr:uid="{B4DC56A2-0876-4DBF-B586-0A4058591E7A}">
      <formula1>INDIRECT("lst_productie_eenheid")</formula1>
    </dataValidation>
    <dataValidation type="list" allowBlank="1" showInputMessage="1" showErrorMessage="1" sqref="C10" xr:uid="{2645EE9B-4962-4BA2-9DF6-A5F3D781E59E}">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0CDBF89-0072-4C38-B147-0E9837F998F3}">
          <x14:formula1>
            <xm:f>Colofon!$A$51:$A$56</xm:f>
          </x14:formula1>
          <xm:sqref>C11</xm:sqref>
        </x14:dataValidation>
        <x14:dataValidation type="list" allowBlank="1" showInputMessage="1" showErrorMessage="1" xr:uid="{A1907891-01EC-4E8A-A6D9-7D620D1BC706}">
          <x14:formula1>
            <xm:f>'ETS correctie methodes'!$B$4:$B$14</xm:f>
          </x14:formula1>
          <xm:sqref>C13</xm:sqref>
        </x14:dataValidation>
        <x14:dataValidation type="list" allowBlank="1" showInputMessage="1" showErrorMessage="1" xr:uid="{9FC1A66D-AE5A-426C-8E45-4EEF6ECD032E}">
          <x14:formula1>
            <xm:f>Correctiebedragen!$A$3:$A$7</xm:f>
          </x14:formula1>
          <xm:sqref>C16:C17 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2E9C-89ED-459C-80FA-87AC0F6E95DA}">
  <sheetPr codeName="Sheet105">
    <tabColor theme="5" tint="-0.249977111117893"/>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387</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7.5999999999999998E-2</v>
      </c>
      <c r="D5" s="113" t="str">
        <f>CONCATENATE("Euro/",$C$9)</f>
        <v>Euro/kWh</v>
      </c>
      <c r="E5" s="424"/>
      <c r="F5" s="425"/>
      <c r="G5" s="425"/>
      <c r="H5" s="425"/>
      <c r="I5" s="425"/>
      <c r="J5" s="425"/>
      <c r="K5" s="425"/>
      <c r="L5" s="425"/>
      <c r="M5" s="426"/>
      <c r="N5" s="26"/>
    </row>
    <row r="6" spans="1:14" x14ac:dyDescent="0.2">
      <c r="B6" s="4" t="s">
        <v>203</v>
      </c>
      <c r="C6" s="114">
        <f>ROUND((C5-C7)/C8*1000,0)</f>
        <v>128</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6.2E-2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0.10929999999999999</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4</v>
      </c>
      <c r="D12" s="296"/>
      <c r="E12" s="424" t="str">
        <f>"Correctiebedrag = "&amp;IFERROR(INDEX(Correctiebedragen!$A$1:$M$256,MATCH('18'!C12,Correctiebedragen!$A$1:$A$256,0),9),"")</f>
        <v>Correctiebedrag = 2/3 x LT_e x LT_PIF_WOL</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IFERROR(INDEX(Correctiebedragen!$A$1:$M$256,MATCH('18'!C16,Correctiebedragen!$A$1:$A$256,0),9),"")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IFERROR(INDEX(Correctiebedragen!$A$1:$M$256,MATCH('18'!C17,Correctiebedragen!$A$1:$A$256,0),9),"")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IFERROR(ROUND(INDEX(Correctiebedragen!$A$1:$K$7,MATCH('13'!C16,Correctiebedragen!$A$1:$A$7,0),8),decimalen),"n.v.t.")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IFERROR(ROUND(INDEX(Correctiebedragen!$A$1:$K$7,MATCH('13'!C17,Correctiebedragen!$A$1:$A$7,0),8),decimalen),"n.v.t.")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4500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2425</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1530</v>
      </c>
      <c r="D47" s="32" t="str">
        <f>CONCATENATE("Euro/",$C$10)</f>
        <v>Euro/kW</v>
      </c>
    </row>
    <row r="48" spans="2:13" x14ac:dyDescent="0.2">
      <c r="B48" s="6" t="s">
        <v>245</v>
      </c>
      <c r="C48" s="44">
        <f>IF(C99&lt;&gt;0,((C30*C46+SUM(C35,C37)*C47)+C99)/1000000,((C30*C46+SUM(C35,C37)*C47)*(1+C98*C87))/1000000)</f>
        <v>6.9297525000000002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16.5</v>
      </c>
      <c r="D50" s="32" t="str">
        <f>CONCATENATE("Euro/",$C$10,"/jaar")</f>
        <v>Euro/kW/jaar</v>
      </c>
      <c r="E50" s="424"/>
      <c r="F50" s="425"/>
      <c r="G50" s="425"/>
      <c r="H50" s="425"/>
      <c r="I50" s="425"/>
      <c r="J50" s="425"/>
      <c r="K50" s="425"/>
      <c r="L50" s="425"/>
      <c r="M50" s="426"/>
    </row>
    <row r="51" spans="2:13" x14ac:dyDescent="0.2">
      <c r="B51" s="6" t="s">
        <v>249</v>
      </c>
      <c r="C51" s="46">
        <f>(C49*C30+C50*SUM(C35,C37))/1000</f>
        <v>74.25</v>
      </c>
      <c r="D51" s="34" t="s">
        <v>250</v>
      </c>
      <c r="E51" s="424"/>
      <c r="F51" s="425"/>
      <c r="G51" s="425"/>
      <c r="H51" s="425"/>
      <c r="I51" s="425"/>
      <c r="J51" s="425"/>
      <c r="K51" s="425"/>
      <c r="L51" s="425"/>
      <c r="M51" s="426"/>
    </row>
    <row r="52" spans="2:13" x14ac:dyDescent="0.2">
      <c r="B52" s="6" t="s">
        <v>251</v>
      </c>
      <c r="C52" s="266">
        <v>1.21E-2</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8.2000000000000003E-2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7.2900000000000006E-2</v>
      </c>
      <c r="D76" s="34" t="s">
        <v>282</v>
      </c>
      <c r="E76" s="299"/>
      <c r="F76" s="300"/>
      <c r="G76" s="300"/>
      <c r="H76" s="300"/>
      <c r="I76" s="300"/>
      <c r="J76" s="300"/>
      <c r="K76" s="300"/>
      <c r="L76" s="300"/>
      <c r="M76" s="301"/>
    </row>
    <row r="77" spans="2:13" x14ac:dyDescent="0.2">
      <c r="B77" s="6" t="s">
        <v>283</v>
      </c>
      <c r="C77" s="49">
        <f>C39</f>
        <v>2425</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349">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-6929752.5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10912500</v>
      </c>
      <c r="F111" s="78">
        <f t="shared" ref="F111:AR111" si="2">IF(F108&lt;=$C$94,$C$37*$C$39,IF(AND(F108&gt;$C$94,F108&lt;=$C$91),$C$37*$C$77,0))*IF($C$41=0,1,$C$42/$C$41)</f>
        <v>10912500</v>
      </c>
      <c r="G111" s="78">
        <f t="shared" si="2"/>
        <v>10912500</v>
      </c>
      <c r="H111" s="78">
        <f t="shared" si="2"/>
        <v>10912500</v>
      </c>
      <c r="I111" s="78">
        <f t="shared" si="2"/>
        <v>10912500</v>
      </c>
      <c r="J111" s="78">
        <f t="shared" si="2"/>
        <v>10912500</v>
      </c>
      <c r="K111" s="78">
        <f t="shared" si="2"/>
        <v>10912500</v>
      </c>
      <c r="L111" s="78">
        <f t="shared" si="2"/>
        <v>10912500</v>
      </c>
      <c r="M111" s="78">
        <f t="shared" si="2"/>
        <v>10912500</v>
      </c>
      <c r="N111" s="78">
        <f t="shared" si="2"/>
        <v>10912500</v>
      </c>
      <c r="O111" s="78">
        <f t="shared" si="2"/>
        <v>10912500</v>
      </c>
      <c r="P111" s="78">
        <f t="shared" si="2"/>
        <v>10912500</v>
      </c>
      <c r="Q111" s="78">
        <f t="shared" si="2"/>
        <v>10912500</v>
      </c>
      <c r="R111" s="78">
        <f t="shared" si="2"/>
        <v>10912500</v>
      </c>
      <c r="S111" s="78">
        <f t="shared" si="2"/>
        <v>10912500</v>
      </c>
      <c r="T111" s="78">
        <f t="shared" si="2"/>
        <v>10912500</v>
      </c>
      <c r="U111" s="78">
        <f t="shared" si="2"/>
        <v>10912500</v>
      </c>
      <c r="V111" s="78">
        <f t="shared" si="2"/>
        <v>10912500</v>
      </c>
      <c r="W111" s="78">
        <f t="shared" si="2"/>
        <v>10912500</v>
      </c>
      <c r="X111" s="78">
        <f t="shared" si="2"/>
        <v>10912500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10912500</v>
      </c>
      <c r="F114" s="84">
        <f t="shared" ref="F114:AR114" si="5">SUM(F111:F113)</f>
        <v>10912500</v>
      </c>
      <c r="G114" s="84">
        <f t="shared" si="5"/>
        <v>10912500</v>
      </c>
      <c r="H114" s="84">
        <f t="shared" si="5"/>
        <v>10912500</v>
      </c>
      <c r="I114" s="84">
        <f t="shared" si="5"/>
        <v>10912500</v>
      </c>
      <c r="J114" s="84">
        <f t="shared" si="5"/>
        <v>10912500</v>
      </c>
      <c r="K114" s="84">
        <f t="shared" si="5"/>
        <v>10912500</v>
      </c>
      <c r="L114" s="84">
        <f t="shared" si="5"/>
        <v>10912500</v>
      </c>
      <c r="M114" s="84">
        <f t="shared" si="5"/>
        <v>10912500</v>
      </c>
      <c r="N114" s="84">
        <f t="shared" si="5"/>
        <v>10912500</v>
      </c>
      <c r="O114" s="84">
        <f t="shared" si="5"/>
        <v>10912500</v>
      </c>
      <c r="P114" s="84">
        <f t="shared" si="5"/>
        <v>10912500</v>
      </c>
      <c r="Q114" s="84">
        <f t="shared" si="5"/>
        <v>10912500</v>
      </c>
      <c r="R114" s="84">
        <f t="shared" si="5"/>
        <v>10912500</v>
      </c>
      <c r="S114" s="84">
        <f t="shared" si="5"/>
        <v>10912500</v>
      </c>
      <c r="T114" s="84">
        <f t="shared" si="5"/>
        <v>10912500</v>
      </c>
      <c r="U114" s="84">
        <f t="shared" si="5"/>
        <v>10912500</v>
      </c>
      <c r="V114" s="84">
        <f t="shared" si="5"/>
        <v>10912500</v>
      </c>
      <c r="W114" s="84">
        <f t="shared" si="5"/>
        <v>10912500</v>
      </c>
      <c r="X114" s="84">
        <f t="shared" si="5"/>
        <v>10912500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-206291.25</v>
      </c>
      <c r="F116" s="78">
        <f t="shared" si="6"/>
        <v>-210417.07500000001</v>
      </c>
      <c r="G116" s="78">
        <f t="shared" si="6"/>
        <v>-214625.41649999999</v>
      </c>
      <c r="H116" s="78">
        <f t="shared" si="6"/>
        <v>-218917.92482999997</v>
      </c>
      <c r="I116" s="78">
        <f t="shared" si="6"/>
        <v>-223296.28332660001</v>
      </c>
      <c r="J116" s="78">
        <f t="shared" si="6"/>
        <v>-227762.20899313199</v>
      </c>
      <c r="K116" s="78">
        <f t="shared" si="6"/>
        <v>-232317.45317299466</v>
      </c>
      <c r="L116" s="78">
        <f t="shared" si="6"/>
        <v>-236963.8022364545</v>
      </c>
      <c r="M116" s="78">
        <f t="shared" si="6"/>
        <v>-241703.07828118361</v>
      </c>
      <c r="N116" s="78">
        <f t="shared" si="6"/>
        <v>-246537.13984680729</v>
      </c>
      <c r="O116" s="78">
        <f t="shared" si="6"/>
        <v>-251467.88264374345</v>
      </c>
      <c r="P116" s="78">
        <f t="shared" si="6"/>
        <v>-256497.24029661826</v>
      </c>
      <c r="Q116" s="78">
        <f t="shared" si="6"/>
        <v>-261627.18510255066</v>
      </c>
      <c r="R116" s="78">
        <f t="shared" si="6"/>
        <v>-266859.72880460165</v>
      </c>
      <c r="S116" s="78">
        <f t="shared" si="6"/>
        <v>-272196.92338069371</v>
      </c>
      <c r="T116" s="78">
        <f t="shared" si="6"/>
        <v>-277640.86184830754</v>
      </c>
      <c r="U116" s="78">
        <f t="shared" si="6"/>
        <v>-283193.6790852737</v>
      </c>
      <c r="V116" s="78">
        <f t="shared" si="6"/>
        <v>-288857.5526669792</v>
      </c>
      <c r="W116" s="78">
        <f t="shared" si="6"/>
        <v>-294634.70372031879</v>
      </c>
      <c r="X116" s="78">
        <f t="shared" si="6"/>
        <v>-300527.39779472514</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9.8113801863829023E-2</v>
      </c>
      <c r="U118" s="85">
        <f t="shared" si="8"/>
        <v>0.10007607790110562</v>
      </c>
      <c r="V118" s="85">
        <f t="shared" si="8"/>
        <v>0.10207759945912774</v>
      </c>
      <c r="W118" s="85">
        <f t="shared" si="8"/>
        <v>0.10411915144831028</v>
      </c>
      <c r="X118" s="85">
        <f t="shared" si="8"/>
        <v>0.1062015344772765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1070666.8628390343</v>
      </c>
      <c r="U123" s="81">
        <f t="shared" si="13"/>
        <v>1092080.2000958151</v>
      </c>
      <c r="V123" s="81">
        <f t="shared" si="13"/>
        <v>1113921.8040977314</v>
      </c>
      <c r="W123" s="81">
        <f t="shared" si="13"/>
        <v>1136200.2401796859</v>
      </c>
      <c r="X123" s="81">
        <f t="shared" si="13"/>
        <v>1158924.2449832798</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1070666.8628390343</v>
      </c>
      <c r="U126" s="78">
        <f t="shared" si="15"/>
        <v>1092080.2000958151</v>
      </c>
      <c r="V126" s="78">
        <f t="shared" si="15"/>
        <v>1113921.8040977314</v>
      </c>
      <c r="W126" s="78">
        <f t="shared" si="15"/>
        <v>1136200.2401796859</v>
      </c>
      <c r="X126" s="78">
        <f t="shared" si="15"/>
        <v>1158924.2449832798</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-206291.25</v>
      </c>
      <c r="F127" s="81">
        <f t="shared" si="16"/>
        <v>-210417.07500000001</v>
      </c>
      <c r="G127" s="81">
        <f t="shared" si="16"/>
        <v>-214625.41649999999</v>
      </c>
      <c r="H127" s="81">
        <f t="shared" si="16"/>
        <v>-218917.92482999997</v>
      </c>
      <c r="I127" s="81">
        <f t="shared" si="16"/>
        <v>-223296.28332660001</v>
      </c>
      <c r="J127" s="81">
        <f t="shared" si="16"/>
        <v>-227762.20899313199</v>
      </c>
      <c r="K127" s="81">
        <f t="shared" si="16"/>
        <v>-232317.45317299466</v>
      </c>
      <c r="L127" s="81">
        <f t="shared" si="16"/>
        <v>-236963.8022364545</v>
      </c>
      <c r="M127" s="81">
        <f t="shared" si="16"/>
        <v>-241703.07828118361</v>
      </c>
      <c r="N127" s="81">
        <f t="shared" si="16"/>
        <v>-246537.13984680729</v>
      </c>
      <c r="O127" s="81">
        <f t="shared" si="16"/>
        <v>-251467.88264374345</v>
      </c>
      <c r="P127" s="81">
        <f t="shared" si="16"/>
        <v>-256497.24029661826</v>
      </c>
      <c r="Q127" s="81">
        <f t="shared" si="16"/>
        <v>-261627.18510255066</v>
      </c>
      <c r="R127" s="81">
        <f t="shared" si="16"/>
        <v>-266859.72880460165</v>
      </c>
      <c r="S127" s="81">
        <f t="shared" si="16"/>
        <v>-272196.92338069371</v>
      </c>
      <c r="T127" s="81">
        <f t="shared" si="16"/>
        <v>-277640.86184830754</v>
      </c>
      <c r="U127" s="81">
        <f t="shared" si="16"/>
        <v>-283193.6790852737</v>
      </c>
      <c r="V127" s="81">
        <f t="shared" si="16"/>
        <v>-288857.5526669792</v>
      </c>
      <c r="W127" s="81">
        <f t="shared" si="16"/>
        <v>-294634.70372031879</v>
      </c>
      <c r="X127" s="81">
        <f t="shared" si="16"/>
        <v>-300527.39779472514</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-206291.25</v>
      </c>
      <c r="F128" s="90">
        <f t="shared" ref="F128:AR128" si="17">SUM(F126:F127)</f>
        <v>-210417.07500000001</v>
      </c>
      <c r="G128" s="90">
        <f t="shared" si="17"/>
        <v>-214625.41649999999</v>
      </c>
      <c r="H128" s="90">
        <f t="shared" si="17"/>
        <v>-218917.92482999997</v>
      </c>
      <c r="I128" s="90">
        <f t="shared" si="17"/>
        <v>-223296.28332660001</v>
      </c>
      <c r="J128" s="90">
        <f t="shared" si="17"/>
        <v>-227762.20899313199</v>
      </c>
      <c r="K128" s="90">
        <f t="shared" si="17"/>
        <v>-232317.45317299466</v>
      </c>
      <c r="L128" s="90">
        <f t="shared" si="17"/>
        <v>-236963.8022364545</v>
      </c>
      <c r="M128" s="90">
        <f t="shared" si="17"/>
        <v>-241703.07828118361</v>
      </c>
      <c r="N128" s="90">
        <f t="shared" si="17"/>
        <v>-246537.13984680729</v>
      </c>
      <c r="O128" s="90">
        <f t="shared" si="17"/>
        <v>-251467.88264374345</v>
      </c>
      <c r="P128" s="90">
        <f t="shared" si="17"/>
        <v>-256497.24029661826</v>
      </c>
      <c r="Q128" s="90">
        <f t="shared" si="17"/>
        <v>-261627.18510255066</v>
      </c>
      <c r="R128" s="90">
        <f t="shared" si="17"/>
        <v>-266859.72880460165</v>
      </c>
      <c r="S128" s="90">
        <f t="shared" si="17"/>
        <v>-272196.92338069371</v>
      </c>
      <c r="T128" s="90">
        <f t="shared" si="17"/>
        <v>793026.00099072675</v>
      </c>
      <c r="U128" s="90">
        <f t="shared" si="17"/>
        <v>808886.52101054136</v>
      </c>
      <c r="V128" s="90">
        <f t="shared" si="17"/>
        <v>825064.25143075222</v>
      </c>
      <c r="W128" s="90">
        <f t="shared" si="17"/>
        <v>841565.53645936702</v>
      </c>
      <c r="X128" s="90">
        <f t="shared" si="17"/>
        <v>858396.8471885547</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-461983.5</v>
      </c>
      <c r="F130" s="78">
        <f t="shared" si="18"/>
        <v>-461983.5</v>
      </c>
      <c r="G130" s="78">
        <f t="shared" si="18"/>
        <v>-461983.5</v>
      </c>
      <c r="H130" s="78">
        <f t="shared" si="18"/>
        <v>-461983.5</v>
      </c>
      <c r="I130" s="78">
        <f t="shared" si="18"/>
        <v>-461983.5</v>
      </c>
      <c r="J130" s="78">
        <f t="shared" si="18"/>
        <v>-461983.5</v>
      </c>
      <c r="K130" s="78">
        <f t="shared" si="18"/>
        <v>-461983.5</v>
      </c>
      <c r="L130" s="78">
        <f t="shared" si="18"/>
        <v>-461983.5</v>
      </c>
      <c r="M130" s="78">
        <f t="shared" si="18"/>
        <v>-461983.5</v>
      </c>
      <c r="N130" s="78">
        <f t="shared" si="18"/>
        <v>-461983.5</v>
      </c>
      <c r="O130" s="78">
        <f t="shared" si="18"/>
        <v>-461983.5</v>
      </c>
      <c r="P130" s="78">
        <f t="shared" si="18"/>
        <v>-461983.5</v>
      </c>
      <c r="Q130" s="78">
        <f t="shared" si="18"/>
        <v>-461983.5</v>
      </c>
      <c r="R130" s="78">
        <f t="shared" si="18"/>
        <v>-461983.5</v>
      </c>
      <c r="S130" s="78">
        <f t="shared" si="18"/>
        <v>-461983.5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-213956.10843749999</v>
      </c>
      <c r="F131" s="81">
        <f t="shared" si="19"/>
        <v>-203852.85828294622</v>
      </c>
      <c r="G131" s="81">
        <f t="shared" si="19"/>
        <v>-193269.70374605115</v>
      </c>
      <c r="H131" s="81">
        <f t="shared" si="19"/>
        <v>-182183.84936865361</v>
      </c>
      <c r="I131" s="81">
        <f t="shared" si="19"/>
        <v>-170571.41690832967</v>
      </c>
      <c r="J131" s="81">
        <f t="shared" si="19"/>
        <v>-158407.39390614035</v>
      </c>
      <c r="K131" s="81">
        <f t="shared" si="19"/>
        <v>-145665.57981134701</v>
      </c>
      <c r="L131" s="81">
        <f t="shared" si="19"/>
        <v>-132318.529547051</v>
      </c>
      <c r="M131" s="81">
        <f t="shared" si="19"/>
        <v>-118337.49439520095</v>
      </c>
      <c r="N131" s="81">
        <f t="shared" si="19"/>
        <v>-103692.36007363802</v>
      </c>
      <c r="O131" s="81">
        <f t="shared" si="19"/>
        <v>-88351.581871800823</v>
      </c>
      <c r="P131" s="81">
        <f t="shared" si="19"/>
        <v>-72282.116705376378</v>
      </c>
      <c r="Q131" s="81">
        <f t="shared" si="19"/>
        <v>-55449.351943546746</v>
      </c>
      <c r="R131" s="81">
        <f t="shared" si="19"/>
        <v>-37817.030855530233</v>
      </c>
      <c r="S131" s="81">
        <f t="shared" si="19"/>
        <v>-19347.174515832925</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-212700.00325376302</v>
      </c>
      <c r="F132" s="81">
        <f t="shared" si="20"/>
        <v>-222803.25340831673</v>
      </c>
      <c r="G132" s="81">
        <f t="shared" si="20"/>
        <v>-233386.4079452118</v>
      </c>
      <c r="H132" s="81">
        <f t="shared" si="20"/>
        <v>-244472.26232260934</v>
      </c>
      <c r="I132" s="81">
        <f t="shared" si="20"/>
        <v>-256084.69478293328</v>
      </c>
      <c r="J132" s="81">
        <f t="shared" si="20"/>
        <v>-268248.71778512263</v>
      </c>
      <c r="K132" s="81">
        <f t="shared" si="20"/>
        <v>-280990.53187991591</v>
      </c>
      <c r="L132" s="81">
        <f t="shared" si="20"/>
        <v>-294337.58214421192</v>
      </c>
      <c r="M132" s="81">
        <f t="shared" si="20"/>
        <v>-308318.61729606194</v>
      </c>
      <c r="N132" s="81">
        <f t="shared" si="20"/>
        <v>-322963.75161762495</v>
      </c>
      <c r="O132" s="81">
        <f t="shared" si="20"/>
        <v>-338304.52981946216</v>
      </c>
      <c r="P132" s="81">
        <f t="shared" si="20"/>
        <v>-354373.99498588662</v>
      </c>
      <c r="Q132" s="81">
        <f t="shared" si="20"/>
        <v>-371206.75974771625</v>
      </c>
      <c r="R132" s="81">
        <f t="shared" si="20"/>
        <v>-388839.08083573275</v>
      </c>
      <c r="S132" s="81">
        <f t="shared" si="20"/>
        <v>-407308.93717543001</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-426656.11169126304</v>
      </c>
      <c r="F133" s="90">
        <f t="shared" ref="F133:AR133" si="21">SUM(F131,F132)</f>
        <v>-426656.11169126292</v>
      </c>
      <c r="G133" s="90">
        <f t="shared" si="21"/>
        <v>-426656.11169126292</v>
      </c>
      <c r="H133" s="90">
        <f t="shared" si="21"/>
        <v>-426656.11169126292</v>
      </c>
      <c r="I133" s="90">
        <f t="shared" si="21"/>
        <v>-426656.11169126292</v>
      </c>
      <c r="J133" s="90">
        <f t="shared" si="21"/>
        <v>-426656.11169126298</v>
      </c>
      <c r="K133" s="90">
        <f t="shared" si="21"/>
        <v>-426656.11169126292</v>
      </c>
      <c r="L133" s="90">
        <f t="shared" si="21"/>
        <v>-426656.11169126292</v>
      </c>
      <c r="M133" s="90">
        <f t="shared" si="21"/>
        <v>-426656.11169126292</v>
      </c>
      <c r="N133" s="90">
        <f t="shared" si="21"/>
        <v>-426656.11169126298</v>
      </c>
      <c r="O133" s="90">
        <f t="shared" si="21"/>
        <v>-426656.11169126298</v>
      </c>
      <c r="P133" s="90">
        <f t="shared" si="21"/>
        <v>-426656.11169126298</v>
      </c>
      <c r="Q133" s="90">
        <f t="shared" si="21"/>
        <v>-426656.11169126298</v>
      </c>
      <c r="R133" s="90">
        <f t="shared" si="21"/>
        <v>-426656.11169126298</v>
      </c>
      <c r="S133" s="90">
        <f t="shared" si="21"/>
        <v>-426656.11169126292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-882230.85843749996</v>
      </c>
      <c r="F135" s="95">
        <f t="shared" ref="F135:AR135" si="22">F128+F130+F131</f>
        <v>-876253.43328294624</v>
      </c>
      <c r="G135" s="95">
        <f t="shared" si="22"/>
        <v>-869878.62024605123</v>
      </c>
      <c r="H135" s="95">
        <f t="shared" si="22"/>
        <v>-863085.27419865353</v>
      </c>
      <c r="I135" s="95">
        <f t="shared" si="22"/>
        <v>-855851.20023492968</v>
      </c>
      <c r="J135" s="95">
        <f t="shared" si="22"/>
        <v>-848153.10289927234</v>
      </c>
      <c r="K135" s="95">
        <f t="shared" si="22"/>
        <v>-839966.53298434173</v>
      </c>
      <c r="L135" s="95">
        <f t="shared" si="22"/>
        <v>-831265.83178350562</v>
      </c>
      <c r="M135" s="95">
        <f t="shared" si="22"/>
        <v>-822024.07267638459</v>
      </c>
      <c r="N135" s="95">
        <f t="shared" si="22"/>
        <v>-812212.99992044538</v>
      </c>
      <c r="O135" s="95">
        <f t="shared" si="22"/>
        <v>-801802.96451554424</v>
      </c>
      <c r="P135" s="95">
        <f t="shared" si="22"/>
        <v>-790762.85700199474</v>
      </c>
      <c r="Q135" s="95">
        <f t="shared" si="22"/>
        <v>-779060.03704609745</v>
      </c>
      <c r="R135" s="95">
        <f t="shared" si="22"/>
        <v>-766660.25966013176</v>
      </c>
      <c r="S135" s="95">
        <f t="shared" si="22"/>
        <v>-753527.59789652657</v>
      </c>
      <c r="T135" s="95">
        <f t="shared" si="22"/>
        <v>793026.00099072675</v>
      </c>
      <c r="U135" s="95">
        <f t="shared" si="22"/>
        <v>808886.52101054136</v>
      </c>
      <c r="V135" s="95">
        <f t="shared" si="22"/>
        <v>825064.25143075222</v>
      </c>
      <c r="W135" s="95">
        <f t="shared" si="22"/>
        <v>841565.53645936702</v>
      </c>
      <c r="X135" s="95">
        <f t="shared" si="22"/>
        <v>858396.8471885547</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167623.86310312498</v>
      </c>
      <c r="F136" s="97">
        <f t="shared" si="23"/>
        <v>166488.1523237598</v>
      </c>
      <c r="G136" s="97">
        <f t="shared" si="23"/>
        <v>165276.93784674973</v>
      </c>
      <c r="H136" s="97">
        <f t="shared" si="23"/>
        <v>163986.20209774419</v>
      </c>
      <c r="I136" s="97">
        <f t="shared" si="23"/>
        <v>162611.72804463663</v>
      </c>
      <c r="J136" s="97">
        <f t="shared" si="23"/>
        <v>161149.08955086174</v>
      </c>
      <c r="K136" s="97">
        <f t="shared" si="23"/>
        <v>159593.64126702494</v>
      </c>
      <c r="L136" s="97">
        <f t="shared" si="23"/>
        <v>157940.50803886607</v>
      </c>
      <c r="M136" s="97">
        <f t="shared" si="23"/>
        <v>156184.57380851309</v>
      </c>
      <c r="N136" s="97">
        <f t="shared" si="23"/>
        <v>154320.46998488464</v>
      </c>
      <c r="O136" s="97">
        <f t="shared" si="23"/>
        <v>152342.56325795341</v>
      </c>
      <c r="P136" s="97">
        <f t="shared" si="23"/>
        <v>150244.942830379</v>
      </c>
      <c r="Q136" s="97">
        <f t="shared" si="23"/>
        <v>148021.40703875851</v>
      </c>
      <c r="R136" s="97">
        <f t="shared" si="23"/>
        <v>145665.44933542504</v>
      </c>
      <c r="S136" s="97">
        <f t="shared" si="23"/>
        <v>143170.24360034004</v>
      </c>
      <c r="T136" s="97">
        <f t="shared" si="23"/>
        <v>-150674.94018823808</v>
      </c>
      <c r="U136" s="97">
        <f t="shared" si="23"/>
        <v>-153688.43899200286</v>
      </c>
      <c r="V136" s="97">
        <f t="shared" si="23"/>
        <v>-156762.20777184292</v>
      </c>
      <c r="W136" s="97">
        <f t="shared" si="23"/>
        <v>-159897.45192727973</v>
      </c>
      <c r="X136" s="97">
        <f t="shared" si="23"/>
        <v>-163095.40096582539</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-465323.49858813803</v>
      </c>
      <c r="F138" s="101">
        <f t="shared" si="24"/>
        <v>-470585.03436750319</v>
      </c>
      <c r="G138" s="101">
        <f t="shared" si="24"/>
        <v>-476004.59034451313</v>
      </c>
      <c r="H138" s="101">
        <f t="shared" si="24"/>
        <v>-481587.83442351874</v>
      </c>
      <c r="I138" s="101">
        <f t="shared" si="24"/>
        <v>-487340.66697322624</v>
      </c>
      <c r="J138" s="101">
        <f t="shared" si="24"/>
        <v>-493269.23113353329</v>
      </c>
      <c r="K138" s="101">
        <f t="shared" si="24"/>
        <v>-499379.92359723267</v>
      </c>
      <c r="L138" s="101">
        <f t="shared" si="24"/>
        <v>-505679.40588885127</v>
      </c>
      <c r="M138" s="101">
        <f t="shared" si="24"/>
        <v>-512174.61616393342</v>
      </c>
      <c r="N138" s="101">
        <f t="shared" si="24"/>
        <v>-518872.78155318566</v>
      </c>
      <c r="O138" s="101">
        <f t="shared" si="24"/>
        <v>-525781.43107705307</v>
      </c>
      <c r="P138" s="101">
        <f t="shared" si="24"/>
        <v>-532908.40915750223</v>
      </c>
      <c r="Q138" s="101">
        <f t="shared" si="24"/>
        <v>-540261.88975505508</v>
      </c>
      <c r="R138" s="101">
        <f t="shared" si="24"/>
        <v>-547850.39116043958</v>
      </c>
      <c r="S138" s="101">
        <f t="shared" si="24"/>
        <v>-555682.7914716166</v>
      </c>
      <c r="T138" s="101">
        <f t="shared" si="24"/>
        <v>642351.0608024887</v>
      </c>
      <c r="U138" s="101">
        <f t="shared" si="24"/>
        <v>655198.08201853849</v>
      </c>
      <c r="V138" s="101">
        <f t="shared" si="24"/>
        <v>668302.04365890927</v>
      </c>
      <c r="W138" s="101">
        <f t="shared" si="24"/>
        <v>681668.08453208732</v>
      </c>
      <c r="X138" s="101">
        <f t="shared" si="24"/>
        <v>695301.44622272928</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-6929752.5</v>
      </c>
      <c r="E139" s="106">
        <f>E128+E136</f>
        <v>-38667.386896875018</v>
      </c>
      <c r="F139" s="106">
        <f t="shared" ref="F139:AR139" si="25">F128+F136</f>
        <v>-43928.92267624021</v>
      </c>
      <c r="G139" s="106">
        <f t="shared" si="25"/>
        <v>-49348.478653250262</v>
      </c>
      <c r="H139" s="106">
        <f t="shared" si="25"/>
        <v>-54931.722732255788</v>
      </c>
      <c r="I139" s="106">
        <f t="shared" si="25"/>
        <v>-60684.555281963374</v>
      </c>
      <c r="J139" s="106">
        <f t="shared" si="25"/>
        <v>-66613.119442270254</v>
      </c>
      <c r="K139" s="106">
        <f t="shared" si="25"/>
        <v>-72723.81190596972</v>
      </c>
      <c r="L139" s="106">
        <f t="shared" si="25"/>
        <v>-79023.294197588431</v>
      </c>
      <c r="M139" s="106">
        <f t="shared" si="25"/>
        <v>-85518.504472670524</v>
      </c>
      <c r="N139" s="106">
        <f t="shared" si="25"/>
        <v>-92216.669861922652</v>
      </c>
      <c r="O139" s="106">
        <f t="shared" si="25"/>
        <v>-99125.319385790033</v>
      </c>
      <c r="P139" s="106">
        <f t="shared" si="25"/>
        <v>-106252.29746623925</v>
      </c>
      <c r="Q139" s="106">
        <f t="shared" si="25"/>
        <v>-113605.77806379215</v>
      </c>
      <c r="R139" s="106">
        <f t="shared" si="25"/>
        <v>-121194.2794691766</v>
      </c>
      <c r="S139" s="106">
        <f t="shared" si="25"/>
        <v>-129026.67978035368</v>
      </c>
      <c r="T139" s="106">
        <f t="shared" si="25"/>
        <v>642351.0608024887</v>
      </c>
      <c r="U139" s="106">
        <f t="shared" si="25"/>
        <v>655198.08201853849</v>
      </c>
      <c r="V139" s="106">
        <f t="shared" si="25"/>
        <v>668302.04365890927</v>
      </c>
      <c r="W139" s="106">
        <f t="shared" si="25"/>
        <v>681668.08453208732</v>
      </c>
      <c r="X139" s="106">
        <f t="shared" si="25"/>
        <v>695301.44622272928</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-2425413.375</v>
      </c>
      <c r="E140" s="106">
        <f>E138</f>
        <v>-465323.49858813803</v>
      </c>
      <c r="F140" s="106">
        <f t="shared" ref="F140:AR140" si="26">F138</f>
        <v>-470585.03436750319</v>
      </c>
      <c r="G140" s="106">
        <f t="shared" si="26"/>
        <v>-476004.59034451313</v>
      </c>
      <c r="H140" s="106">
        <f t="shared" si="26"/>
        <v>-481587.83442351874</v>
      </c>
      <c r="I140" s="106">
        <f t="shared" si="26"/>
        <v>-487340.66697322624</v>
      </c>
      <c r="J140" s="106">
        <f t="shared" si="26"/>
        <v>-493269.23113353329</v>
      </c>
      <c r="K140" s="106">
        <f t="shared" si="26"/>
        <v>-499379.92359723267</v>
      </c>
      <c r="L140" s="106">
        <f t="shared" si="26"/>
        <v>-505679.40588885127</v>
      </c>
      <c r="M140" s="106">
        <f t="shared" si="26"/>
        <v>-512174.61616393342</v>
      </c>
      <c r="N140" s="106">
        <f t="shared" si="26"/>
        <v>-518872.78155318566</v>
      </c>
      <c r="O140" s="106">
        <f t="shared" si="26"/>
        <v>-525781.43107705307</v>
      </c>
      <c r="P140" s="106">
        <f t="shared" si="26"/>
        <v>-532908.40915750223</v>
      </c>
      <c r="Q140" s="106">
        <f t="shared" si="26"/>
        <v>-540261.88975505508</v>
      </c>
      <c r="R140" s="106">
        <f t="shared" si="26"/>
        <v>-547850.39116043958</v>
      </c>
      <c r="S140" s="106">
        <f t="shared" si="26"/>
        <v>-555682.7914716166</v>
      </c>
      <c r="T140" s="106">
        <f t="shared" si="26"/>
        <v>642351.0608024887</v>
      </c>
      <c r="U140" s="106">
        <f t="shared" si="26"/>
        <v>655198.08201853849</v>
      </c>
      <c r="V140" s="106">
        <f t="shared" si="26"/>
        <v>668302.04365890927</v>
      </c>
      <c r="W140" s="106">
        <f t="shared" si="26"/>
        <v>681668.08453208732</v>
      </c>
      <c r="X140" s="106">
        <f t="shared" si="26"/>
        <v>695301.44622272928</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10912500</v>
      </c>
      <c r="F141" s="108">
        <f t="shared" si="27"/>
        <v>10912500</v>
      </c>
      <c r="G141" s="108">
        <f t="shared" si="27"/>
        <v>10912500</v>
      </c>
      <c r="H141" s="108">
        <f t="shared" si="27"/>
        <v>10912500</v>
      </c>
      <c r="I141" s="108">
        <f t="shared" si="27"/>
        <v>10912500</v>
      </c>
      <c r="J141" s="108">
        <f t="shared" si="27"/>
        <v>10912500</v>
      </c>
      <c r="K141" s="108">
        <f t="shared" si="27"/>
        <v>10912500</v>
      </c>
      <c r="L141" s="108">
        <f t="shared" si="27"/>
        <v>10912500</v>
      </c>
      <c r="M141" s="108">
        <f t="shared" si="27"/>
        <v>10912500</v>
      </c>
      <c r="N141" s="108">
        <f t="shared" si="27"/>
        <v>10912500</v>
      </c>
      <c r="O141" s="108">
        <f t="shared" si="27"/>
        <v>10912500</v>
      </c>
      <c r="P141" s="108">
        <f t="shared" si="27"/>
        <v>10912500</v>
      </c>
      <c r="Q141" s="108">
        <f t="shared" si="27"/>
        <v>10912500</v>
      </c>
      <c r="R141" s="108">
        <f t="shared" si="27"/>
        <v>10912500</v>
      </c>
      <c r="S141" s="108">
        <f t="shared" si="27"/>
        <v>10912500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6929752.5</v>
      </c>
      <c r="E142" s="124">
        <f>D142-($C$5*E114+E128+E131)</f>
        <v>6520649.8584375</v>
      </c>
      <c r="F142" s="124">
        <f t="shared" ref="F142:AR142" si="28">E142-($C$5*F114+F128+F131)</f>
        <v>6105569.7917204462</v>
      </c>
      <c r="G142" s="124">
        <f t="shared" si="28"/>
        <v>5684114.9119664971</v>
      </c>
      <c r="H142" s="124">
        <f t="shared" si="28"/>
        <v>5255866.6861651503</v>
      </c>
      <c r="I142" s="124">
        <f t="shared" si="28"/>
        <v>4820384.3864000803</v>
      </c>
      <c r="J142" s="124">
        <f t="shared" si="28"/>
        <v>4377203.9892993523</v>
      </c>
      <c r="K142" s="124">
        <f t="shared" si="28"/>
        <v>3925837.0222836938</v>
      </c>
      <c r="L142" s="124">
        <f t="shared" si="28"/>
        <v>3465769.3540671994</v>
      </c>
      <c r="M142" s="124">
        <f t="shared" si="28"/>
        <v>2996459.9267435838</v>
      </c>
      <c r="N142" s="124">
        <f t="shared" si="28"/>
        <v>2517339.4266640292</v>
      </c>
      <c r="O142" s="124">
        <f t="shared" si="28"/>
        <v>2027808.8911795735</v>
      </c>
      <c r="P142" s="124">
        <f t="shared" si="28"/>
        <v>1527238.2481815682</v>
      </c>
      <c r="Q142" s="124">
        <f t="shared" si="28"/>
        <v>1014964.7852276657</v>
      </c>
      <c r="R142" s="124">
        <f t="shared" si="28"/>
        <v>490291.54488779744</v>
      </c>
      <c r="S142" s="124">
        <f t="shared" si="28"/>
        <v>-47514.357215675991</v>
      </c>
      <c r="T142" s="124">
        <f t="shared" si="28"/>
        <v>-1669890.3582064027</v>
      </c>
      <c r="U142" s="124">
        <f t="shared" si="28"/>
        <v>-3308126.8792169439</v>
      </c>
      <c r="V142" s="124">
        <f t="shared" si="28"/>
        <v>-4962541.1306476966</v>
      </c>
      <c r="W142" s="124">
        <f t="shared" si="28"/>
        <v>-6633456.6671070633</v>
      </c>
      <c r="X142" s="124">
        <f t="shared" si="28"/>
        <v>-8321203.514295618</v>
      </c>
      <c r="Y142" s="124">
        <f t="shared" si="28"/>
        <v>-8321203.514295618</v>
      </c>
      <c r="Z142" s="124">
        <f t="shared" si="28"/>
        <v>-8321203.514295618</v>
      </c>
      <c r="AA142" s="124">
        <f t="shared" si="28"/>
        <v>-8321203.514295618</v>
      </c>
      <c r="AB142" s="124">
        <f t="shared" si="28"/>
        <v>-8321203.514295618</v>
      </c>
      <c r="AC142" s="124">
        <f t="shared" si="28"/>
        <v>-8321203.514295618</v>
      </c>
      <c r="AD142" s="124">
        <f t="shared" si="28"/>
        <v>-8321203.514295618</v>
      </c>
      <c r="AE142" s="124">
        <f t="shared" si="28"/>
        <v>-8321203.514295618</v>
      </c>
      <c r="AF142" s="124">
        <f t="shared" si="28"/>
        <v>-8321203.514295618</v>
      </c>
      <c r="AG142" s="124">
        <f t="shared" si="28"/>
        <v>-8321203.514295618</v>
      </c>
      <c r="AH142" s="124">
        <f t="shared" si="28"/>
        <v>-8321203.514295618</v>
      </c>
      <c r="AI142" s="124">
        <f t="shared" si="28"/>
        <v>-8321203.514295618</v>
      </c>
      <c r="AJ142" s="124">
        <f t="shared" si="28"/>
        <v>-8321203.514295618</v>
      </c>
      <c r="AK142" s="124">
        <f t="shared" si="28"/>
        <v>-8321203.514295618</v>
      </c>
      <c r="AL142" s="124">
        <f t="shared" si="28"/>
        <v>-8321203.514295618</v>
      </c>
      <c r="AM142" s="124">
        <f t="shared" si="28"/>
        <v>-8321203.514295618</v>
      </c>
      <c r="AN142" s="124">
        <f t="shared" si="28"/>
        <v>-8321203.514295618</v>
      </c>
      <c r="AO142" s="124">
        <f t="shared" si="28"/>
        <v>-8321203.514295618</v>
      </c>
      <c r="AP142" s="124">
        <f t="shared" si="28"/>
        <v>-8321203.514295618</v>
      </c>
      <c r="AQ142" s="124">
        <f t="shared" si="28"/>
        <v>-8321203.514295618</v>
      </c>
      <c r="AR142" s="124">
        <f t="shared" si="28"/>
        <v>-8321203.514295618</v>
      </c>
    </row>
    <row r="143" spans="1:45" x14ac:dyDescent="0.2">
      <c r="B143" s="5" t="s">
        <v>350</v>
      </c>
      <c r="C143" s="195"/>
      <c r="D143" s="196"/>
      <c r="E143" s="197">
        <f>IF(E108&gt;$C$92,"",(-$C$89*(E135+$C$5*E114)+E128+$C$5*E114)/-E133)</f>
        <v>1.4838791611199358</v>
      </c>
      <c r="F143" s="197">
        <f>IF(F108&gt;$C$92,"",(-$C$89*(F135+$C$5*F114)+F128+$C$5*F114)/-F133)</f>
        <v>1.4715471315645443</v>
      </c>
      <c r="G143" s="197">
        <f>IF(G108&gt;$C$92,"",(-$C$89*(G135+$C$5*G114)+G128+$C$5*G114)/-G133)</f>
        <v>1.4588447330086511</v>
      </c>
      <c r="H143" s="197">
        <f>IF(H108&gt;$C$92,"",(-$C$89*(H135+$C$5*H114)+H128+$C$5*H114)/-H133)</f>
        <v>1.4457586809728007</v>
      </c>
      <c r="I143" s="197">
        <f t="shared" ref="I143:AR143" si="29">IF(I108&gt;$C$92,"",(-$C$89*(I135+$C$5*I114)+I128+$C$5*I114)/-I133)</f>
        <v>1.4322751461257235</v>
      </c>
      <c r="J143" s="197">
        <f t="shared" si="29"/>
        <v>1.4183797301270962</v>
      </c>
      <c r="K143" s="197">
        <f t="shared" si="29"/>
        <v>1.4040574403572939</v>
      </c>
      <c r="L143" s="197">
        <f t="shared" si="29"/>
        <v>1.3892926634819607</v>
      </c>
      <c r="M143" s="197">
        <f t="shared" si="29"/>
        <v>1.3740691377967544</v>
      </c>
      <c r="N143" s="197">
        <f t="shared" si="29"/>
        <v>1.3583699242950409</v>
      </c>
      <c r="O143" s="197">
        <f t="shared" si="29"/>
        <v>1.342177376398606</v>
      </c>
      <c r="P143" s="197">
        <f t="shared" si="29"/>
        <v>1.3254731082886337</v>
      </c>
      <c r="Q143" s="197">
        <f t="shared" si="29"/>
        <v>1.3082379617712105</v>
      </c>
      <c r="R143" s="197">
        <f t="shared" si="29"/>
        <v>1.290451971608539</v>
      </c>
      <c r="S143" s="197">
        <f t="shared" si="29"/>
        <v>1.2720943292437563</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-3493701.532028242</v>
      </c>
    </row>
    <row r="147" spans="2:45" x14ac:dyDescent="0.2">
      <c r="B147" s="79" t="s">
        <v>354</v>
      </c>
      <c r="C147" s="216" t="str">
        <f>$C$9</f>
        <v>kWh</v>
      </c>
      <c r="D147" s="126">
        <f>(1-$C$89)*NPV($C$86,E141:AR141)</f>
        <v>78024014.816347435</v>
      </c>
      <c r="E147" s="131"/>
      <c r="F147" s="127"/>
    </row>
    <row r="148" spans="2:45" x14ac:dyDescent="0.2">
      <c r="B148" s="79" t="s">
        <v>355</v>
      </c>
      <c r="C148" s="80" t="s">
        <v>288</v>
      </c>
      <c r="D148" s="126">
        <f>$C$48*1000000</f>
        <v>6929752.5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1.3849938997440365</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5.1% / 3.1%</v>
      </c>
      <c r="E150" s="131"/>
      <c r="F150" s="127"/>
      <c r="G150" s="112"/>
    </row>
    <row r="151" spans="2:45" x14ac:dyDescent="0.2">
      <c r="B151" s="79" t="s">
        <v>358</v>
      </c>
      <c r="C151" s="80"/>
      <c r="D151" s="132">
        <f>IFERROR(IRR(D139:AR139),"n.v.t.")</f>
        <v>-5.3387534958243332E-2</v>
      </c>
      <c r="E151" s="131"/>
      <c r="F151" s="128"/>
      <c r="G151" s="112"/>
    </row>
    <row r="152" spans="2:45" x14ac:dyDescent="0.2">
      <c r="B152" s="79" t="s">
        <v>359</v>
      </c>
      <c r="C152" s="80"/>
      <c r="D152" s="132">
        <f>IFERROR(IRR(D140:AR140),"n.v.t.")</f>
        <v>-9.9400963265578013E-2</v>
      </c>
      <c r="G152" s="112"/>
    </row>
    <row r="153" spans="2:45" x14ac:dyDescent="0.2">
      <c r="B153" s="133" t="s">
        <v>360</v>
      </c>
      <c r="C153" s="80" t="s">
        <v>288</v>
      </c>
      <c r="D153" s="126">
        <f>D148*$C$87-C81</f>
        <v>4504339.125</v>
      </c>
      <c r="F153" s="134"/>
    </row>
    <row r="154" spans="2:45" x14ac:dyDescent="0.2">
      <c r="B154" s="135" t="s">
        <v>361</v>
      </c>
      <c r="C154" s="80" t="s">
        <v>288</v>
      </c>
      <c r="D154" s="126">
        <f>$C$88*D148-C82</f>
        <v>2425413.375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2425</v>
      </c>
      <c r="F156" s="134"/>
    </row>
    <row r="157" spans="2:45" x14ac:dyDescent="0.2">
      <c r="B157" s="135" t="s">
        <v>364</v>
      </c>
      <c r="C157" s="138" t="s">
        <v>365</v>
      </c>
      <c r="D157" s="139" t="str">
        <f>CONCATENATE( "tussen ", INDEX(D108:X108, MATCH(0,D142:X142, -1)), " en ",  1 + INDEX(D108:X108, MATCH(0,D142:X142, -1)), " jaren")</f>
        <v>tussen 14 en 15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4.1000000000000002E-2</v>
      </c>
      <c r="D160"/>
    </row>
    <row r="161" spans="2:20" x14ac:dyDescent="0.2">
      <c r="B161" s="248" t="s">
        <v>366</v>
      </c>
      <c r="C161" s="246" t="str">
        <f>IFERROR(ROUND(INDEX(Correctiebedragen!$A$1:$K$256,MATCH('18'!C16,Correctiebedragen!$A$1:$A$256,0),8),decimalen),"n.v.t.")</f>
        <v>n.v.t.</v>
      </c>
    </row>
    <row r="162" spans="2:20" customFormat="1" ht="15" x14ac:dyDescent="0.25">
      <c r="B162" s="248" t="s">
        <v>367</v>
      </c>
      <c r="C162" s="250" t="str">
        <f>IFERROR(ROUND(INDEX(Correctiebedragen!$A$1:$K$256,MATCH('18'!C17,Correctiebedragen!$A$1:$A$256,0),8),decimalen),"n.v.t.")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0.111</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IFERROR(ROUND(INDEX(Correctiebedragen!$A$1:$K$256,MATCH('18'!C16,Correctiebedragen!$A$1:$A$256,0),4),decimalen),"n.v.t.")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IFERROR(ROUND(INDEX(Correctiebedragen!$A$1:$K$256,MATCH('18'!C17,Correctiebedragen!$A$1:$A$256,0),4),decimalen),"n.v.t.")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0.115</v>
      </c>
    </row>
    <row r="167" spans="2:20" customFormat="1" ht="15" x14ac:dyDescent="0.25">
      <c r="B167" s="248" t="str">
        <f>"Voorlopig correctiebedrag "&amp;Colofon!$B$21&amp;" netlevering excl. NUE"</f>
        <v>Voorlopig correctiebedrag 2024 netlevering excl. NUE</v>
      </c>
      <c r="C167" s="250" t="str">
        <f>IFERROR(ROUND(INDEX(Correctiebedragen!$A$1:$K$256,MATCH('18'!C16,Correctiebedragen!$A$1:$A$256,0),6),decimalen),"n.v.t.")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IFERROR(ROUND(INDEX(Correctiebedragen!$A$1:$K$256,MATCH('18'!C17,Correctiebedragen!$A$1:$A$256,0),6),decimalen),"n.v.t.")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4.0000000000000001E-3</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163687500</v>
      </c>
      <c r="E174" s="28"/>
    </row>
    <row r="175" spans="2:20" customFormat="1" ht="26.25" x14ac:dyDescent="0.25">
      <c r="B175" s="256" t="s">
        <v>370</v>
      </c>
      <c r="C175" s="271">
        <f>IF(C95=0,SUM(E114:INDEX(E114:AR114,1,C91)),SUM(E114:INDEX(E114:AR114,1,C95)))</f>
        <v>218250000</v>
      </c>
      <c r="D175" s="257"/>
    </row>
    <row r="176" spans="2:20" customFormat="1" ht="15" x14ac:dyDescent="0.25">
      <c r="B176" s="251" t="s">
        <v>51</v>
      </c>
      <c r="C176" s="269">
        <f>C175/C174</f>
        <v>1.3333333333333333</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E19:M19"/>
    <mergeCell ref="E4:M4"/>
    <mergeCell ref="E5:M5"/>
    <mergeCell ref="E6:M6"/>
    <mergeCell ref="E7:M7"/>
    <mergeCell ref="E10:M10"/>
    <mergeCell ref="E12:M12"/>
    <mergeCell ref="E13:M13"/>
    <mergeCell ref="E15:M15"/>
    <mergeCell ref="E16:M16"/>
    <mergeCell ref="E17:M17"/>
    <mergeCell ref="E18:M18"/>
    <mergeCell ref="E34:M34"/>
    <mergeCell ref="E20:M20"/>
    <mergeCell ref="E21:M21"/>
    <mergeCell ref="E23:M23"/>
    <mergeCell ref="E24:M24"/>
    <mergeCell ref="E25:M25"/>
    <mergeCell ref="E26:M26"/>
    <mergeCell ref="E27:M27"/>
    <mergeCell ref="E29:M29"/>
    <mergeCell ref="E30:M30"/>
    <mergeCell ref="E31:M31"/>
    <mergeCell ref="E33:M33"/>
    <mergeCell ref="E46:M46"/>
    <mergeCell ref="E35:M35"/>
    <mergeCell ref="E36:M36"/>
    <mergeCell ref="E37:M37"/>
    <mergeCell ref="E38:M38"/>
    <mergeCell ref="E39:M39"/>
    <mergeCell ref="E40:M40"/>
    <mergeCell ref="E41:M41"/>
    <mergeCell ref="E42:M42"/>
    <mergeCell ref="E43:M43"/>
    <mergeCell ref="E44:M44"/>
    <mergeCell ref="E45:M45"/>
    <mergeCell ref="E60:M60"/>
    <mergeCell ref="E48:M48"/>
    <mergeCell ref="E49:M49"/>
    <mergeCell ref="E50:M50"/>
    <mergeCell ref="E51:M51"/>
    <mergeCell ref="E52:M52"/>
    <mergeCell ref="E53:M53"/>
    <mergeCell ref="E54:M54"/>
    <mergeCell ref="E55:M55"/>
    <mergeCell ref="E57:M57"/>
    <mergeCell ref="E58:M58"/>
    <mergeCell ref="E59:M59"/>
    <mergeCell ref="E89:M89"/>
    <mergeCell ref="E67:M67"/>
    <mergeCell ref="E75:M75"/>
    <mergeCell ref="E80:M80"/>
    <mergeCell ref="E81:M81"/>
    <mergeCell ref="E82:M82"/>
    <mergeCell ref="E83:M83"/>
    <mergeCell ref="E84:M84"/>
    <mergeCell ref="E85:M85"/>
    <mergeCell ref="E86:M86"/>
    <mergeCell ref="E87:M87"/>
    <mergeCell ref="E88:M88"/>
    <mergeCell ref="B145:AR145"/>
    <mergeCell ref="E90:M90"/>
    <mergeCell ref="E91:M91"/>
    <mergeCell ref="E92:M92"/>
    <mergeCell ref="E93:M93"/>
    <mergeCell ref="E94:M94"/>
    <mergeCell ref="E95:M95"/>
    <mergeCell ref="E96:M96"/>
    <mergeCell ref="E97:M97"/>
    <mergeCell ref="E98:M98"/>
    <mergeCell ref="E99:M99"/>
    <mergeCell ref="B107:AR107"/>
  </mergeCells>
  <conditionalFormatting sqref="G1:G3 G28 G145:G156 G22 G160:G161 G187:G1048576 G105:G110 G171:G185">
    <cfRule type="containsText" dxfId="9" priority="5" operator="containsText" text="Pas op">
      <formula>NOT(ISERROR(SEARCH("Pas op",G1)))</formula>
    </cfRule>
  </conditionalFormatting>
  <conditionalFormatting sqref="G186">
    <cfRule type="containsText" dxfId="8" priority="4" operator="containsText" text="Pas op">
      <formula>NOT(ISERROR(SEARCH("Pas op",G186)))</formula>
    </cfRule>
  </conditionalFormatting>
  <conditionalFormatting sqref="G162 G165 G169:G170">
    <cfRule type="containsText" dxfId="7" priority="3" operator="containsText" text="Pas op">
      <formula>NOT(ISERROR(SEARCH("Pas op",G162)))</formula>
    </cfRule>
  </conditionalFormatting>
  <conditionalFormatting sqref="G100">
    <cfRule type="containsText" dxfId="6" priority="2" operator="containsText" text="Pas op">
      <formula>NOT(ISERROR(SEARCH("Pas op",G100)))</formula>
    </cfRule>
  </conditionalFormatting>
  <conditionalFormatting sqref="G166:G168">
    <cfRule type="containsText" dxfId="5" priority="1" operator="containsText" text="Pas op">
      <formula>NOT(ISERROR(SEARCH("Pas op",G166)))</formula>
    </cfRule>
  </conditionalFormatting>
  <dataValidations count="3">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1F3B3FD3-A105-4954-905A-4C9A5686913A}">
      <formula1>"ja,nee"</formula1>
    </dataValidation>
    <dataValidation type="list" allowBlank="1" showInputMessage="1" showErrorMessage="1" sqref="C9" xr:uid="{6BFA2F8B-2DEA-496B-8AF7-5EDB38B04EF4}">
      <formula1>INDIRECT("lst_productie_eenheid")</formula1>
    </dataValidation>
    <dataValidation type="list" allowBlank="1" showInputMessage="1" showErrorMessage="1" sqref="C10" xr:uid="{CF78DD12-4D83-4500-95A7-9722691779C3}">
      <formula1>INDIRECT("lst_vermogenseenheid")</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ABC0B06-24E5-46ED-BD3E-43CD247A7E32}">
          <x14:formula1>
            <xm:f>Colofon!$A$51:$A$56</xm:f>
          </x14:formula1>
          <xm:sqref>C11</xm:sqref>
        </x14:dataValidation>
        <x14:dataValidation type="list" allowBlank="1" showInputMessage="1" showErrorMessage="1" xr:uid="{EE5B7230-CDBC-4EB3-99B5-1C20E4BC00D6}">
          <x14:formula1>
            <xm:f>'ETS correctie methodes'!$B$4:$B$14</xm:f>
          </x14:formula1>
          <xm:sqref>C13</xm:sqref>
        </x14:dataValidation>
        <x14:dataValidation type="list" allowBlank="1" showInputMessage="1" showErrorMessage="1" xr:uid="{4D10F59F-CCC8-4D1D-BF24-2C82BDD35290}">
          <x14:formula1>
            <xm:f>Correctiebedragen!$A$3:$A$7</xm:f>
          </x14:formula1>
          <xm:sqref>C16:C17 C12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A319-B641-4CCE-92FE-1E6E0D9ED31B}">
  <sheetPr codeName="Sheet104">
    <tabColor theme="8"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388</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0.17</v>
      </c>
      <c r="D5" s="113" t="str">
        <f>CONCATENATE("Euro/",$C$9)</f>
        <v>Euro/kWh</v>
      </c>
      <c r="E5" s="424"/>
      <c r="F5" s="425"/>
      <c r="G5" s="425"/>
      <c r="H5" s="425"/>
      <c r="I5" s="425"/>
      <c r="J5" s="425"/>
      <c r="K5" s="425"/>
      <c r="L5" s="425"/>
      <c r="M5" s="426"/>
      <c r="N5" s="26"/>
    </row>
    <row r="6" spans="1:14" x14ac:dyDescent="0.2">
      <c r="B6" s="4" t="s">
        <v>203</v>
      </c>
      <c r="C6" s="114">
        <f>ROUND((C5-C7)/C8*1000,0)</f>
        <v>658</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9.0999999999999998E-2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0.12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1</v>
      </c>
      <c r="D12" s="296"/>
      <c r="E12" s="424" t="str">
        <f>"Correctiebedrag = "&amp;IFERROR(INDEX(Correctiebedragen!$A$1:$M$256,MATCH('19'!C12,Correctiebedragen!$A$1:$A$256,0),9),"")</f>
        <v>Correctiebedrag = 2/3 x LT_e</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c r="D16" s="31"/>
      <c r="E16" s="419" t="str">
        <f>IFERROR(INDEX(Correctiebedragen!$A$1:$M$256,MATCH('19'!C16,Correctiebedragen!$A$1:$A$256,0),9),"")</f>
        <v/>
      </c>
      <c r="F16" s="420"/>
      <c r="G16" s="420"/>
      <c r="H16" s="420"/>
      <c r="I16" s="420"/>
      <c r="J16" s="420"/>
      <c r="K16" s="420"/>
      <c r="L16" s="420"/>
      <c r="M16" s="421"/>
      <c r="N16" s="243"/>
    </row>
    <row r="17" spans="2:14" x14ac:dyDescent="0.2">
      <c r="B17" s="6" t="s">
        <v>211</v>
      </c>
      <c r="C17" s="27"/>
      <c r="D17" s="31"/>
      <c r="E17" s="419" t="str">
        <f>IFERROR(INDEX(Correctiebedragen!$A$1:$M$256,MATCH('19'!C17,Correctiebedragen!$A$1:$A$256,0),9),"")</f>
        <v/>
      </c>
      <c r="F17" s="420"/>
      <c r="G17" s="420"/>
      <c r="H17" s="420"/>
      <c r="I17" s="420"/>
      <c r="J17" s="420"/>
      <c r="K17" s="420"/>
      <c r="L17" s="420"/>
      <c r="M17" s="421"/>
      <c r="N17" s="243"/>
    </row>
    <row r="18" spans="2:14" x14ac:dyDescent="0.2">
      <c r="B18" s="6" t="s">
        <v>212</v>
      </c>
      <c r="C18" s="186"/>
      <c r="D18" s="31"/>
      <c r="E18" s="419"/>
      <c r="F18" s="420"/>
      <c r="G18" s="420"/>
      <c r="H18" s="420"/>
      <c r="I18" s="420"/>
      <c r="J18" s="420"/>
      <c r="K18" s="420"/>
      <c r="L18" s="420"/>
      <c r="M18" s="421"/>
      <c r="N18" s="243"/>
    </row>
    <row r="19" spans="2:14" x14ac:dyDescent="0.2">
      <c r="B19" s="6" t="s">
        <v>213</v>
      </c>
      <c r="C19" s="186"/>
      <c r="D19" s="31"/>
      <c r="E19" s="419"/>
      <c r="F19" s="420"/>
      <c r="G19" s="420"/>
      <c r="H19" s="420"/>
      <c r="I19" s="420"/>
      <c r="J19" s="420"/>
      <c r="K19" s="420"/>
      <c r="L19" s="420"/>
      <c r="M19" s="421"/>
      <c r="N19" s="243"/>
    </row>
    <row r="20" spans="2:14" x14ac:dyDescent="0.2">
      <c r="B20" s="6" t="s">
        <v>49</v>
      </c>
      <c r="C20" s="260" t="str">
        <f>IFERROR(ROUND(INDEX(Correctiebedragen!$A$1:$K$7,MATCH('19'!C16,Correctiebedragen!$A$1:$A$7,0),8),decimalen),"n.v.t.")</f>
        <v>n.v.t.</v>
      </c>
      <c r="D20" s="31"/>
      <c r="E20" s="419"/>
      <c r="F20" s="420"/>
      <c r="G20" s="420"/>
      <c r="H20" s="420"/>
      <c r="I20" s="420"/>
      <c r="J20" s="420"/>
      <c r="K20" s="420"/>
      <c r="L20" s="420"/>
      <c r="M20" s="421"/>
      <c r="N20" s="243"/>
    </row>
    <row r="21" spans="2:14" x14ac:dyDescent="0.2">
      <c r="B21" s="6" t="s">
        <v>50</v>
      </c>
      <c r="C21" s="260" t="str">
        <f>IFERROR(ROUND(INDEX(Correctiebedragen!$A$1:$K$7,MATCH('19'!C17,Correctiebedragen!$A$1:$A$7,0),8),decimalen),"n.v.t.")</f>
        <v>n.v.t.</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50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50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5000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6580</v>
      </c>
      <c r="D47" s="32" t="str">
        <f>CONCATENATE("Euro/",$C$10)</f>
        <v>Euro/kW</v>
      </c>
    </row>
    <row r="48" spans="2:13" x14ac:dyDescent="0.2">
      <c r="B48" s="6" t="s">
        <v>245</v>
      </c>
      <c r="C48" s="44">
        <f>IF(C99&lt;&gt;0,((C30*C46+SUM(C35,C37)*C47)+C99)/1000000,((C30*C46+SUM(C35,C37)*C47)*(1+C98*C87))/1000000)</f>
        <v>0.3311385</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110</v>
      </c>
      <c r="D50" s="32" t="str">
        <f>CONCATENATE("Euro/",$C$10,"/jaar")</f>
        <v>Euro/kW/jaar</v>
      </c>
      <c r="E50" s="424"/>
      <c r="F50" s="425"/>
      <c r="G50" s="425"/>
      <c r="H50" s="425"/>
      <c r="I50" s="425"/>
      <c r="J50" s="425"/>
      <c r="K50" s="425"/>
      <c r="L50" s="425"/>
      <c r="M50" s="426"/>
    </row>
    <row r="51" spans="2:13" x14ac:dyDescent="0.2">
      <c r="B51" s="6" t="s">
        <v>249</v>
      </c>
      <c r="C51" s="46">
        <f>(C49*C30+C50*SUM(C35,C37))/1000</f>
        <v>5.5</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0.12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c r="D76" s="34" t="s">
        <v>282</v>
      </c>
      <c r="E76" s="299"/>
      <c r="F76" s="300"/>
      <c r="G76" s="300"/>
      <c r="H76" s="300"/>
      <c r="I76" s="300"/>
      <c r="J76" s="300"/>
      <c r="K76" s="300"/>
      <c r="L76" s="300"/>
      <c r="M76" s="301"/>
    </row>
    <row r="77" spans="2:13" x14ac:dyDescent="0.2">
      <c r="B77" s="6" t="s">
        <v>283</v>
      </c>
      <c r="C77" s="49"/>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6.5000000000000002E-2</v>
      </c>
      <c r="D85" s="34"/>
      <c r="E85" s="419"/>
      <c r="F85" s="420"/>
      <c r="G85" s="420"/>
      <c r="H85" s="420"/>
      <c r="I85" s="420"/>
      <c r="J85" s="420"/>
      <c r="K85" s="420"/>
      <c r="L85" s="420"/>
      <c r="M85" s="421"/>
    </row>
    <row r="86" spans="2:15" x14ac:dyDescent="0.2">
      <c r="B86" s="6" t="s">
        <v>293</v>
      </c>
      <c r="C86" s="51">
        <v>0.06</v>
      </c>
      <c r="D86" s="34"/>
      <c r="E86" s="419"/>
      <c r="F86" s="420"/>
      <c r="G86" s="420"/>
      <c r="H86" s="420"/>
      <c r="I86" s="420"/>
      <c r="J86" s="420"/>
      <c r="K86" s="420"/>
      <c r="L86" s="420"/>
      <c r="M86" s="421"/>
    </row>
    <row r="87" spans="2:15" x14ac:dyDescent="0.2">
      <c r="B87" s="14" t="s">
        <v>294</v>
      </c>
      <c r="C87" s="41">
        <f>100%-C88</f>
        <v>0.65</v>
      </c>
      <c r="D87" s="34"/>
      <c r="E87" s="419"/>
      <c r="F87" s="420"/>
      <c r="G87" s="420"/>
      <c r="H87" s="420"/>
      <c r="I87" s="420"/>
      <c r="J87" s="420"/>
      <c r="K87" s="420"/>
      <c r="L87" s="420"/>
      <c r="M87" s="421"/>
    </row>
    <row r="88" spans="2:15" x14ac:dyDescent="0.2">
      <c r="B88" s="6" t="s">
        <v>295</v>
      </c>
      <c r="C88" s="52">
        <v>0.35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15</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c r="D97" s="179"/>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-331138.5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250000</v>
      </c>
      <c r="F111" s="78">
        <f t="shared" ref="F111:AR111" si="2">IF(F108&lt;=$C$94,$C$37*$C$39,IF(AND(F108&gt;$C$94,F108&lt;=$C$91),$C$37*$C$77,0))*IF($C$41=0,1,$C$42/$C$41)</f>
        <v>250000</v>
      </c>
      <c r="G111" s="78">
        <f t="shared" si="2"/>
        <v>250000</v>
      </c>
      <c r="H111" s="78">
        <f t="shared" si="2"/>
        <v>250000</v>
      </c>
      <c r="I111" s="78">
        <f t="shared" si="2"/>
        <v>250000</v>
      </c>
      <c r="J111" s="78">
        <f t="shared" si="2"/>
        <v>250000</v>
      </c>
      <c r="K111" s="78">
        <f t="shared" si="2"/>
        <v>250000</v>
      </c>
      <c r="L111" s="78">
        <f t="shared" si="2"/>
        <v>250000</v>
      </c>
      <c r="M111" s="78">
        <f t="shared" si="2"/>
        <v>250000</v>
      </c>
      <c r="N111" s="78">
        <f t="shared" si="2"/>
        <v>250000</v>
      </c>
      <c r="O111" s="78">
        <f t="shared" si="2"/>
        <v>250000</v>
      </c>
      <c r="P111" s="78">
        <f t="shared" si="2"/>
        <v>250000</v>
      </c>
      <c r="Q111" s="78">
        <f t="shared" si="2"/>
        <v>250000</v>
      </c>
      <c r="R111" s="78">
        <f t="shared" si="2"/>
        <v>250000</v>
      </c>
      <c r="S111" s="78">
        <f t="shared" si="2"/>
        <v>250000</v>
      </c>
      <c r="T111" s="78">
        <f t="shared" si="2"/>
        <v>0</v>
      </c>
      <c r="U111" s="78">
        <f t="shared" si="2"/>
        <v>0</v>
      </c>
      <c r="V111" s="78">
        <f t="shared" si="2"/>
        <v>0</v>
      </c>
      <c r="W111" s="78">
        <f t="shared" si="2"/>
        <v>0</v>
      </c>
      <c r="X111" s="78">
        <f t="shared" si="2"/>
        <v>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250000</v>
      </c>
      <c r="F114" s="84">
        <f t="shared" ref="F114:AR114" si="5">SUM(F111:F113)</f>
        <v>250000</v>
      </c>
      <c r="G114" s="84">
        <f t="shared" si="5"/>
        <v>250000</v>
      </c>
      <c r="H114" s="84">
        <f t="shared" si="5"/>
        <v>250000</v>
      </c>
      <c r="I114" s="84">
        <f t="shared" si="5"/>
        <v>250000</v>
      </c>
      <c r="J114" s="84">
        <f t="shared" si="5"/>
        <v>250000</v>
      </c>
      <c r="K114" s="84">
        <f t="shared" si="5"/>
        <v>250000</v>
      </c>
      <c r="L114" s="84">
        <f t="shared" si="5"/>
        <v>250000</v>
      </c>
      <c r="M114" s="84">
        <f t="shared" si="5"/>
        <v>250000</v>
      </c>
      <c r="N114" s="84">
        <f t="shared" si="5"/>
        <v>250000</v>
      </c>
      <c r="O114" s="84">
        <f t="shared" si="5"/>
        <v>250000</v>
      </c>
      <c r="P114" s="84">
        <f t="shared" si="5"/>
        <v>250000</v>
      </c>
      <c r="Q114" s="84">
        <f t="shared" si="5"/>
        <v>250000</v>
      </c>
      <c r="R114" s="84">
        <f t="shared" si="5"/>
        <v>250000</v>
      </c>
      <c r="S114" s="84">
        <f t="shared" si="5"/>
        <v>250000</v>
      </c>
      <c r="T114" s="84">
        <f t="shared" si="5"/>
        <v>0</v>
      </c>
      <c r="U114" s="84">
        <f t="shared" si="5"/>
        <v>0</v>
      </c>
      <c r="V114" s="84">
        <f t="shared" si="5"/>
        <v>0</v>
      </c>
      <c r="W114" s="84">
        <f t="shared" si="5"/>
        <v>0</v>
      </c>
      <c r="X114" s="84">
        <f t="shared" si="5"/>
        <v>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-6225</v>
      </c>
      <c r="F116" s="78">
        <f t="shared" si="6"/>
        <v>-6349.5</v>
      </c>
      <c r="G116" s="78">
        <f t="shared" si="6"/>
        <v>-6476.49</v>
      </c>
      <c r="H116" s="78">
        <f t="shared" si="6"/>
        <v>-6606.0197999999991</v>
      </c>
      <c r="I116" s="78">
        <f t="shared" si="6"/>
        <v>-6738.1401960000003</v>
      </c>
      <c r="J116" s="78">
        <f t="shared" si="6"/>
        <v>-6872.9029999200002</v>
      </c>
      <c r="K116" s="78">
        <f t="shared" si="6"/>
        <v>-7010.3610599184003</v>
      </c>
      <c r="L116" s="78">
        <f t="shared" si="6"/>
        <v>-7150.5682811167671</v>
      </c>
      <c r="M116" s="78">
        <f t="shared" si="6"/>
        <v>-7293.5796467391028</v>
      </c>
      <c r="N116" s="78">
        <f t="shared" si="6"/>
        <v>-7439.4512396738846</v>
      </c>
      <c r="O116" s="78">
        <f t="shared" si="6"/>
        <v>-7588.240264467363</v>
      </c>
      <c r="P116" s="78">
        <f t="shared" si="6"/>
        <v>-7740.0050697567085</v>
      </c>
      <c r="Q116" s="78">
        <f t="shared" si="6"/>
        <v>-7894.8051711518447</v>
      </c>
      <c r="R116" s="78">
        <f t="shared" si="6"/>
        <v>-8052.7012745748807</v>
      </c>
      <c r="S116" s="78">
        <f t="shared" si="6"/>
        <v>-8213.7553000663793</v>
      </c>
      <c r="T116" s="78">
        <f t="shared" si="6"/>
        <v>0</v>
      </c>
      <c r="U116" s="78">
        <f t="shared" si="6"/>
        <v>0</v>
      </c>
      <c r="V116" s="78">
        <f t="shared" si="6"/>
        <v>0</v>
      </c>
      <c r="W116" s="78">
        <f t="shared" si="6"/>
        <v>0</v>
      </c>
      <c r="X116" s="78">
        <f t="shared" si="6"/>
        <v>0</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v>
      </c>
      <c r="U118" s="85">
        <f t="shared" si="8"/>
        <v>0</v>
      </c>
      <c r="V118" s="85">
        <f t="shared" si="8"/>
        <v>0</v>
      </c>
      <c r="W118" s="85">
        <f t="shared" si="8"/>
        <v>0</v>
      </c>
      <c r="X118" s="85">
        <f t="shared" si="8"/>
        <v>0</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0</v>
      </c>
      <c r="U123" s="81">
        <f t="shared" si="13"/>
        <v>0</v>
      </c>
      <c r="V123" s="81">
        <f t="shared" si="13"/>
        <v>0</v>
      </c>
      <c r="W123" s="81">
        <f t="shared" si="13"/>
        <v>0</v>
      </c>
      <c r="X123" s="81">
        <f t="shared" si="13"/>
        <v>0</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0</v>
      </c>
      <c r="U126" s="78">
        <f t="shared" si="15"/>
        <v>0</v>
      </c>
      <c r="V126" s="78">
        <f t="shared" si="15"/>
        <v>0</v>
      </c>
      <c r="W126" s="78">
        <f t="shared" si="15"/>
        <v>0</v>
      </c>
      <c r="X126" s="78">
        <f t="shared" si="15"/>
        <v>0</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-6225</v>
      </c>
      <c r="F127" s="81">
        <f t="shared" si="16"/>
        <v>-6349.5</v>
      </c>
      <c r="G127" s="81">
        <f t="shared" si="16"/>
        <v>-6476.49</v>
      </c>
      <c r="H127" s="81">
        <f t="shared" si="16"/>
        <v>-6606.0197999999991</v>
      </c>
      <c r="I127" s="81">
        <f t="shared" si="16"/>
        <v>-6738.1401960000003</v>
      </c>
      <c r="J127" s="81">
        <f t="shared" si="16"/>
        <v>-6872.9029999200002</v>
      </c>
      <c r="K127" s="81">
        <f t="shared" si="16"/>
        <v>-7010.3610599184003</v>
      </c>
      <c r="L127" s="81">
        <f t="shared" si="16"/>
        <v>-7150.5682811167671</v>
      </c>
      <c r="M127" s="81">
        <f t="shared" si="16"/>
        <v>-7293.5796467391028</v>
      </c>
      <c r="N127" s="81">
        <f t="shared" si="16"/>
        <v>-7439.4512396738846</v>
      </c>
      <c r="O127" s="81">
        <f t="shared" si="16"/>
        <v>-7588.240264467363</v>
      </c>
      <c r="P127" s="81">
        <f t="shared" si="16"/>
        <v>-7740.0050697567085</v>
      </c>
      <c r="Q127" s="81">
        <f t="shared" si="16"/>
        <v>-7894.8051711518447</v>
      </c>
      <c r="R127" s="81">
        <f t="shared" si="16"/>
        <v>-8052.7012745748807</v>
      </c>
      <c r="S127" s="81">
        <f t="shared" si="16"/>
        <v>-8213.7553000663793</v>
      </c>
      <c r="T127" s="81">
        <f t="shared" si="16"/>
        <v>0</v>
      </c>
      <c r="U127" s="81">
        <f t="shared" si="16"/>
        <v>0</v>
      </c>
      <c r="V127" s="81">
        <f t="shared" si="16"/>
        <v>0</v>
      </c>
      <c r="W127" s="81">
        <f t="shared" si="16"/>
        <v>0</v>
      </c>
      <c r="X127" s="81">
        <f t="shared" si="16"/>
        <v>0</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-6225</v>
      </c>
      <c r="F128" s="90">
        <f t="shared" ref="F128:AR128" si="17">SUM(F126:F127)</f>
        <v>-6349.5</v>
      </c>
      <c r="G128" s="90">
        <f t="shared" si="17"/>
        <v>-6476.49</v>
      </c>
      <c r="H128" s="90">
        <f t="shared" si="17"/>
        <v>-6606.0197999999991</v>
      </c>
      <c r="I128" s="90">
        <f t="shared" si="17"/>
        <v>-6738.1401960000003</v>
      </c>
      <c r="J128" s="90">
        <f t="shared" si="17"/>
        <v>-6872.9029999200002</v>
      </c>
      <c r="K128" s="90">
        <f t="shared" si="17"/>
        <v>-7010.3610599184003</v>
      </c>
      <c r="L128" s="90">
        <f t="shared" si="17"/>
        <v>-7150.5682811167671</v>
      </c>
      <c r="M128" s="90">
        <f t="shared" si="17"/>
        <v>-7293.5796467391028</v>
      </c>
      <c r="N128" s="90">
        <f t="shared" si="17"/>
        <v>-7439.4512396738846</v>
      </c>
      <c r="O128" s="90">
        <f t="shared" si="17"/>
        <v>-7588.240264467363</v>
      </c>
      <c r="P128" s="90">
        <f t="shared" si="17"/>
        <v>-7740.0050697567085</v>
      </c>
      <c r="Q128" s="90">
        <f t="shared" si="17"/>
        <v>-7894.8051711518447</v>
      </c>
      <c r="R128" s="90">
        <f t="shared" si="17"/>
        <v>-8052.7012745748807</v>
      </c>
      <c r="S128" s="90">
        <f t="shared" si="17"/>
        <v>-8213.7553000663793</v>
      </c>
      <c r="T128" s="90">
        <f t="shared" si="17"/>
        <v>0</v>
      </c>
      <c r="U128" s="90">
        <f t="shared" si="17"/>
        <v>0</v>
      </c>
      <c r="V128" s="90">
        <f t="shared" si="17"/>
        <v>0</v>
      </c>
      <c r="W128" s="90">
        <f t="shared" si="17"/>
        <v>0</v>
      </c>
      <c r="X128" s="90">
        <f t="shared" si="17"/>
        <v>0</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-22075.9</v>
      </c>
      <c r="F130" s="78">
        <f t="shared" si="18"/>
        <v>-22075.9</v>
      </c>
      <c r="G130" s="78">
        <f t="shared" si="18"/>
        <v>-22075.9</v>
      </c>
      <c r="H130" s="78">
        <f t="shared" si="18"/>
        <v>-22075.9</v>
      </c>
      <c r="I130" s="78">
        <f t="shared" si="18"/>
        <v>-22075.9</v>
      </c>
      <c r="J130" s="78">
        <f t="shared" si="18"/>
        <v>-22075.9</v>
      </c>
      <c r="K130" s="78">
        <f t="shared" si="18"/>
        <v>-22075.9</v>
      </c>
      <c r="L130" s="78">
        <f t="shared" si="18"/>
        <v>-22075.9</v>
      </c>
      <c r="M130" s="78">
        <f t="shared" si="18"/>
        <v>-22075.9</v>
      </c>
      <c r="N130" s="78">
        <f t="shared" si="18"/>
        <v>-22075.9</v>
      </c>
      <c r="O130" s="78">
        <f t="shared" si="18"/>
        <v>-22075.9</v>
      </c>
      <c r="P130" s="78">
        <f t="shared" si="18"/>
        <v>-22075.9</v>
      </c>
      <c r="Q130" s="78">
        <f t="shared" si="18"/>
        <v>-22075.9</v>
      </c>
      <c r="R130" s="78">
        <f t="shared" si="18"/>
        <v>-22075.9</v>
      </c>
      <c r="S130" s="78">
        <f t="shared" si="18"/>
        <v>-22075.9</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-13990.601624999999</v>
      </c>
      <c r="F131" s="81">
        <f t="shared" si="19"/>
        <v>-13412.051312450723</v>
      </c>
      <c r="G131" s="81">
        <f t="shared" si="19"/>
        <v>-12795.895229585749</v>
      </c>
      <c r="H131" s="81">
        <f t="shared" si="19"/>
        <v>-12139.689001334547</v>
      </c>
      <c r="I131" s="81">
        <f t="shared" si="19"/>
        <v>-11440.829368247019</v>
      </c>
      <c r="J131" s="81">
        <f t="shared" si="19"/>
        <v>-10696.543859008798</v>
      </c>
      <c r="K131" s="81">
        <f t="shared" si="19"/>
        <v>-9903.8797916700951</v>
      </c>
      <c r="L131" s="81">
        <f t="shared" si="19"/>
        <v>-9059.6925599543738</v>
      </c>
      <c r="M131" s="81">
        <f t="shared" si="19"/>
        <v>-8160.6331581771337</v>
      </c>
      <c r="N131" s="81">
        <f t="shared" si="19"/>
        <v>-7203.1348952843728</v>
      </c>
      <c r="O131" s="81">
        <f t="shared" si="19"/>
        <v>-6183.3992453035798</v>
      </c>
      <c r="P131" s="81">
        <f t="shared" si="19"/>
        <v>-5097.3807780740381</v>
      </c>
      <c r="Q131" s="81">
        <f t="shared" si="19"/>
        <v>-3940.7711104745758</v>
      </c>
      <c r="R131" s="81">
        <f t="shared" si="19"/>
        <v>-2708.981814481147</v>
      </c>
      <c r="S131" s="81">
        <f t="shared" si="19"/>
        <v>-1397.1262142481462</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-8900.7740392196174</v>
      </c>
      <c r="F132" s="81">
        <f t="shared" si="20"/>
        <v>-9479.3243517688916</v>
      </c>
      <c r="G132" s="81">
        <f t="shared" si="20"/>
        <v>-10095.480434633871</v>
      </c>
      <c r="H132" s="81">
        <f t="shared" si="20"/>
        <v>-10751.686662885071</v>
      </c>
      <c r="I132" s="81">
        <f t="shared" si="20"/>
        <v>-11450.546295972605</v>
      </c>
      <c r="J132" s="81">
        <f t="shared" si="20"/>
        <v>-12194.831805210822</v>
      </c>
      <c r="K132" s="81">
        <f t="shared" si="20"/>
        <v>-12987.495872549525</v>
      </c>
      <c r="L132" s="81">
        <f t="shared" si="20"/>
        <v>-13831.683104265245</v>
      </c>
      <c r="M132" s="81">
        <f t="shared" si="20"/>
        <v>-14730.742506042487</v>
      </c>
      <c r="N132" s="81">
        <f t="shared" si="20"/>
        <v>-15688.240768935248</v>
      </c>
      <c r="O132" s="81">
        <f t="shared" si="20"/>
        <v>-16707.976418916038</v>
      </c>
      <c r="P132" s="81">
        <f t="shared" si="20"/>
        <v>-17793.994886145581</v>
      </c>
      <c r="Q132" s="81">
        <f t="shared" si="20"/>
        <v>-18950.604553745045</v>
      </c>
      <c r="R132" s="81">
        <f t="shared" si="20"/>
        <v>-20182.393849738473</v>
      </c>
      <c r="S132" s="81">
        <f t="shared" si="20"/>
        <v>-21494.249449971474</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-22891.375664219617</v>
      </c>
      <c r="F133" s="90">
        <f t="shared" ref="F133:AR133" si="21">SUM(F131,F132)</f>
        <v>-22891.375664219617</v>
      </c>
      <c r="G133" s="90">
        <f t="shared" si="21"/>
        <v>-22891.37566421962</v>
      </c>
      <c r="H133" s="90">
        <f t="shared" si="21"/>
        <v>-22891.375664219617</v>
      </c>
      <c r="I133" s="90">
        <f t="shared" si="21"/>
        <v>-22891.375664219624</v>
      </c>
      <c r="J133" s="90">
        <f t="shared" si="21"/>
        <v>-22891.37566421962</v>
      </c>
      <c r="K133" s="90">
        <f t="shared" si="21"/>
        <v>-22891.37566421962</v>
      </c>
      <c r="L133" s="90">
        <f t="shared" si="21"/>
        <v>-22891.375664219617</v>
      </c>
      <c r="M133" s="90">
        <f t="shared" si="21"/>
        <v>-22891.37566421962</v>
      </c>
      <c r="N133" s="90">
        <f t="shared" si="21"/>
        <v>-22891.37566421962</v>
      </c>
      <c r="O133" s="90">
        <f t="shared" si="21"/>
        <v>-22891.375664219617</v>
      </c>
      <c r="P133" s="90">
        <f t="shared" si="21"/>
        <v>-22891.37566421962</v>
      </c>
      <c r="Q133" s="90">
        <f t="shared" si="21"/>
        <v>-22891.37566421962</v>
      </c>
      <c r="R133" s="90">
        <f t="shared" si="21"/>
        <v>-22891.37566421962</v>
      </c>
      <c r="S133" s="90">
        <f t="shared" si="21"/>
        <v>-22891.37566421962</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-42291.501625000004</v>
      </c>
      <c r="F135" s="95">
        <f t="shared" ref="F135:AR135" si="22">F128+F130+F131</f>
        <v>-41837.451312450721</v>
      </c>
      <c r="G135" s="95">
        <f t="shared" si="22"/>
        <v>-41348.285229585745</v>
      </c>
      <c r="H135" s="95">
        <f t="shared" si="22"/>
        <v>-40821.608801334543</v>
      </c>
      <c r="I135" s="95">
        <f t="shared" si="22"/>
        <v>-40254.869564247019</v>
      </c>
      <c r="J135" s="95">
        <f t="shared" si="22"/>
        <v>-39645.346858928795</v>
      </c>
      <c r="K135" s="95">
        <f t="shared" si="22"/>
        <v>-38990.140851588498</v>
      </c>
      <c r="L135" s="95">
        <f t="shared" si="22"/>
        <v>-38286.160841071141</v>
      </c>
      <c r="M135" s="95">
        <f t="shared" si="22"/>
        <v>-37530.112804916236</v>
      </c>
      <c r="N135" s="95">
        <f t="shared" si="22"/>
        <v>-36718.486134958264</v>
      </c>
      <c r="O135" s="95">
        <f t="shared" si="22"/>
        <v>-35847.539509770948</v>
      </c>
      <c r="P135" s="95">
        <f t="shared" si="22"/>
        <v>-34913.285847830746</v>
      </c>
      <c r="Q135" s="95">
        <f t="shared" si="22"/>
        <v>-33911.476281626426</v>
      </c>
      <c r="R135" s="95">
        <f t="shared" si="22"/>
        <v>-32837.583089056032</v>
      </c>
      <c r="S135" s="95">
        <f t="shared" si="22"/>
        <v>-31686.781514314527</v>
      </c>
      <c r="T135" s="95">
        <f t="shared" si="22"/>
        <v>0</v>
      </c>
      <c r="U135" s="95">
        <f t="shared" si="22"/>
        <v>0</v>
      </c>
      <c r="V135" s="95">
        <f t="shared" si="22"/>
        <v>0</v>
      </c>
      <c r="W135" s="95">
        <f t="shared" si="22"/>
        <v>0</v>
      </c>
      <c r="X135" s="95">
        <f t="shared" si="22"/>
        <v>0</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8035.3853087500011</v>
      </c>
      <c r="F136" s="97">
        <f t="shared" si="23"/>
        <v>7949.1157493656374</v>
      </c>
      <c r="G136" s="97">
        <f t="shared" si="23"/>
        <v>7856.174193621292</v>
      </c>
      <c r="H136" s="97">
        <f t="shared" si="23"/>
        <v>7756.1056722535632</v>
      </c>
      <c r="I136" s="97">
        <f t="shared" si="23"/>
        <v>7648.4252172069337</v>
      </c>
      <c r="J136" s="97">
        <f t="shared" si="23"/>
        <v>7532.6159031964708</v>
      </c>
      <c r="K136" s="97">
        <f t="shared" si="23"/>
        <v>7408.1267618018146</v>
      </c>
      <c r="L136" s="97">
        <f t="shared" si="23"/>
        <v>7274.3705598035167</v>
      </c>
      <c r="M136" s="97">
        <f t="shared" si="23"/>
        <v>7130.721432934085</v>
      </c>
      <c r="N136" s="97">
        <f t="shared" si="23"/>
        <v>6976.5123656420701</v>
      </c>
      <c r="O136" s="97">
        <f t="shared" si="23"/>
        <v>6811.0325068564798</v>
      </c>
      <c r="P136" s="97">
        <f t="shared" si="23"/>
        <v>6633.5243110878419</v>
      </c>
      <c r="Q136" s="97">
        <f t="shared" si="23"/>
        <v>6443.1804935090213</v>
      </c>
      <c r="R136" s="97">
        <f t="shared" si="23"/>
        <v>6239.140786920646</v>
      </c>
      <c r="S136" s="97">
        <f t="shared" si="23"/>
        <v>6020.4884877197601</v>
      </c>
      <c r="T136" s="97">
        <f t="shared" si="23"/>
        <v>0</v>
      </c>
      <c r="U136" s="97">
        <f t="shared" si="23"/>
        <v>0</v>
      </c>
      <c r="V136" s="97">
        <f t="shared" si="23"/>
        <v>0</v>
      </c>
      <c r="W136" s="97">
        <f t="shared" si="23"/>
        <v>0</v>
      </c>
      <c r="X136" s="97">
        <f t="shared" si="23"/>
        <v>0</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-21080.990355469614</v>
      </c>
      <c r="F138" s="101">
        <f t="shared" si="24"/>
        <v>-21291.759914853981</v>
      </c>
      <c r="G138" s="101">
        <f t="shared" si="24"/>
        <v>-21511.691470598329</v>
      </c>
      <c r="H138" s="101">
        <f t="shared" si="24"/>
        <v>-21741.289791966054</v>
      </c>
      <c r="I138" s="101">
        <f t="shared" si="24"/>
        <v>-21981.090643012692</v>
      </c>
      <c r="J138" s="101">
        <f t="shared" si="24"/>
        <v>-22231.662760943149</v>
      </c>
      <c r="K138" s="101">
        <f t="shared" si="24"/>
        <v>-22493.609962336206</v>
      </c>
      <c r="L138" s="101">
        <f t="shared" si="24"/>
        <v>-22767.573385532869</v>
      </c>
      <c r="M138" s="101">
        <f t="shared" si="24"/>
        <v>-23054.233878024635</v>
      </c>
      <c r="N138" s="101">
        <f t="shared" si="24"/>
        <v>-23354.314538251434</v>
      </c>
      <c r="O138" s="101">
        <f t="shared" si="24"/>
        <v>-23668.583421830503</v>
      </c>
      <c r="P138" s="101">
        <f t="shared" si="24"/>
        <v>-23997.856422888486</v>
      </c>
      <c r="Q138" s="101">
        <f t="shared" si="24"/>
        <v>-24343.000341862444</v>
      </c>
      <c r="R138" s="101">
        <f t="shared" si="24"/>
        <v>-24704.936151873855</v>
      </c>
      <c r="S138" s="101">
        <f t="shared" si="24"/>
        <v>-25084.642476566238</v>
      </c>
      <c r="T138" s="101">
        <f t="shared" si="24"/>
        <v>0</v>
      </c>
      <c r="U138" s="101">
        <f t="shared" si="24"/>
        <v>0</v>
      </c>
      <c r="V138" s="101">
        <f t="shared" si="24"/>
        <v>0</v>
      </c>
      <c r="W138" s="101">
        <f t="shared" si="24"/>
        <v>0</v>
      </c>
      <c r="X138" s="101">
        <f t="shared" si="24"/>
        <v>0</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-331138.5</v>
      </c>
      <c r="E139" s="106">
        <f>E128+E136</f>
        <v>1810.3853087500011</v>
      </c>
      <c r="F139" s="106">
        <f t="shared" ref="F139:AR139" si="25">F128+F136</f>
        <v>1599.6157493656374</v>
      </c>
      <c r="G139" s="106">
        <f t="shared" si="25"/>
        <v>1379.6841936212923</v>
      </c>
      <c r="H139" s="106">
        <f t="shared" si="25"/>
        <v>1150.085872253564</v>
      </c>
      <c r="I139" s="106">
        <f t="shared" si="25"/>
        <v>910.28502120693338</v>
      </c>
      <c r="J139" s="106">
        <f t="shared" si="25"/>
        <v>659.71290327647057</v>
      </c>
      <c r="K139" s="106">
        <f t="shared" si="25"/>
        <v>397.76570188341429</v>
      </c>
      <c r="L139" s="106">
        <f t="shared" si="25"/>
        <v>123.80227868674956</v>
      </c>
      <c r="M139" s="106">
        <f t="shared" si="25"/>
        <v>-162.85821380501784</v>
      </c>
      <c r="N139" s="106">
        <f t="shared" si="25"/>
        <v>-462.93887403181452</v>
      </c>
      <c r="O139" s="106">
        <f t="shared" si="25"/>
        <v>-777.20775761088316</v>
      </c>
      <c r="P139" s="106">
        <f t="shared" si="25"/>
        <v>-1106.4807586688667</v>
      </c>
      <c r="Q139" s="106">
        <f t="shared" si="25"/>
        <v>-1451.6246776428234</v>
      </c>
      <c r="R139" s="106">
        <f t="shared" si="25"/>
        <v>-1813.5604876542347</v>
      </c>
      <c r="S139" s="106">
        <f t="shared" si="25"/>
        <v>-2193.2668123466192</v>
      </c>
      <c r="T139" s="106">
        <f t="shared" si="25"/>
        <v>0</v>
      </c>
      <c r="U139" s="106">
        <f t="shared" si="25"/>
        <v>0</v>
      </c>
      <c r="V139" s="106">
        <f t="shared" si="25"/>
        <v>0</v>
      </c>
      <c r="W139" s="106">
        <f t="shared" si="25"/>
        <v>0</v>
      </c>
      <c r="X139" s="106">
        <f t="shared" si="25"/>
        <v>0</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-115898.47499999999</v>
      </c>
      <c r="E140" s="106">
        <f>E138</f>
        <v>-21080.990355469614</v>
      </c>
      <c r="F140" s="106">
        <f t="shared" ref="F140:AR140" si="26">F138</f>
        <v>-21291.759914853981</v>
      </c>
      <c r="G140" s="106">
        <f t="shared" si="26"/>
        <v>-21511.691470598329</v>
      </c>
      <c r="H140" s="106">
        <f t="shared" si="26"/>
        <v>-21741.289791966054</v>
      </c>
      <c r="I140" s="106">
        <f t="shared" si="26"/>
        <v>-21981.090643012692</v>
      </c>
      <c r="J140" s="106">
        <f t="shared" si="26"/>
        <v>-22231.662760943149</v>
      </c>
      <c r="K140" s="106">
        <f t="shared" si="26"/>
        <v>-22493.609962336206</v>
      </c>
      <c r="L140" s="106">
        <f t="shared" si="26"/>
        <v>-22767.573385532869</v>
      </c>
      <c r="M140" s="106">
        <f t="shared" si="26"/>
        <v>-23054.233878024635</v>
      </c>
      <c r="N140" s="106">
        <f t="shared" si="26"/>
        <v>-23354.314538251434</v>
      </c>
      <c r="O140" s="106">
        <f t="shared" si="26"/>
        <v>-23668.583421830503</v>
      </c>
      <c r="P140" s="106">
        <f t="shared" si="26"/>
        <v>-23997.856422888486</v>
      </c>
      <c r="Q140" s="106">
        <f t="shared" si="26"/>
        <v>-24343.000341862444</v>
      </c>
      <c r="R140" s="106">
        <f t="shared" si="26"/>
        <v>-24704.936151873855</v>
      </c>
      <c r="S140" s="106">
        <f t="shared" si="26"/>
        <v>-25084.642476566238</v>
      </c>
      <c r="T140" s="106">
        <f t="shared" si="26"/>
        <v>0</v>
      </c>
      <c r="U140" s="106">
        <f t="shared" si="26"/>
        <v>0</v>
      </c>
      <c r="V140" s="106">
        <f t="shared" si="26"/>
        <v>0</v>
      </c>
      <c r="W140" s="106">
        <f t="shared" si="26"/>
        <v>0</v>
      </c>
      <c r="X140" s="106">
        <f t="shared" si="26"/>
        <v>0</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250000</v>
      </c>
      <c r="F141" s="108">
        <f t="shared" si="27"/>
        <v>250000</v>
      </c>
      <c r="G141" s="108">
        <f t="shared" si="27"/>
        <v>250000</v>
      </c>
      <c r="H141" s="108">
        <f t="shared" si="27"/>
        <v>250000</v>
      </c>
      <c r="I141" s="108">
        <f t="shared" si="27"/>
        <v>250000</v>
      </c>
      <c r="J141" s="108">
        <f t="shared" si="27"/>
        <v>250000</v>
      </c>
      <c r="K141" s="108">
        <f t="shared" si="27"/>
        <v>250000</v>
      </c>
      <c r="L141" s="108">
        <f t="shared" si="27"/>
        <v>250000</v>
      </c>
      <c r="M141" s="108">
        <f t="shared" si="27"/>
        <v>250000</v>
      </c>
      <c r="N141" s="108">
        <f t="shared" si="27"/>
        <v>250000</v>
      </c>
      <c r="O141" s="108">
        <f t="shared" si="27"/>
        <v>250000</v>
      </c>
      <c r="P141" s="108">
        <f t="shared" si="27"/>
        <v>250000</v>
      </c>
      <c r="Q141" s="108">
        <f t="shared" si="27"/>
        <v>250000</v>
      </c>
      <c r="R141" s="108">
        <f t="shared" si="27"/>
        <v>250000</v>
      </c>
      <c r="S141" s="108">
        <f t="shared" si="27"/>
        <v>250000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331138.5</v>
      </c>
      <c r="E142" s="124">
        <f>D142-($C$5*E114+E128+E131)</f>
        <v>308854.10162500001</v>
      </c>
      <c r="F142" s="124">
        <f t="shared" ref="F142:AR142" si="28">E142-($C$5*F114+F128+F131)</f>
        <v>286115.65293745074</v>
      </c>
      <c r="G142" s="124">
        <f t="shared" si="28"/>
        <v>262888.03816703649</v>
      </c>
      <c r="H142" s="124">
        <f t="shared" si="28"/>
        <v>239133.74696837104</v>
      </c>
      <c r="I142" s="124">
        <f t="shared" si="28"/>
        <v>214812.71653261804</v>
      </c>
      <c r="J142" s="124">
        <f t="shared" si="28"/>
        <v>189882.16339154684</v>
      </c>
      <c r="K142" s="124">
        <f t="shared" si="28"/>
        <v>164296.40424313533</v>
      </c>
      <c r="L142" s="124">
        <f t="shared" si="28"/>
        <v>138006.66508420647</v>
      </c>
      <c r="M142" s="124">
        <f t="shared" si="28"/>
        <v>110960.87788912271</v>
      </c>
      <c r="N142" s="124">
        <f t="shared" si="28"/>
        <v>83103.464024080968</v>
      </c>
      <c r="O142" s="124">
        <f t="shared" si="28"/>
        <v>54375.103533851914</v>
      </c>
      <c r="P142" s="124">
        <f t="shared" si="28"/>
        <v>24712.489381682659</v>
      </c>
      <c r="Q142" s="124">
        <f t="shared" si="28"/>
        <v>-5951.9343366909234</v>
      </c>
      <c r="R142" s="124">
        <f t="shared" si="28"/>
        <v>-37690.251247634893</v>
      </c>
      <c r="S142" s="124">
        <f t="shared" si="28"/>
        <v>-70579.369733320375</v>
      </c>
      <c r="T142" s="124">
        <f t="shared" si="28"/>
        <v>-70579.369733320375</v>
      </c>
      <c r="U142" s="124">
        <f t="shared" si="28"/>
        <v>-70579.369733320375</v>
      </c>
      <c r="V142" s="124">
        <f t="shared" si="28"/>
        <v>-70579.369733320375</v>
      </c>
      <c r="W142" s="124">
        <f t="shared" si="28"/>
        <v>-70579.369733320375</v>
      </c>
      <c r="X142" s="124">
        <f t="shared" si="28"/>
        <v>-70579.369733320375</v>
      </c>
      <c r="Y142" s="124">
        <f t="shared" si="28"/>
        <v>-70579.369733320375</v>
      </c>
      <c r="Z142" s="124">
        <f t="shared" si="28"/>
        <v>-70579.369733320375</v>
      </c>
      <c r="AA142" s="124">
        <f t="shared" si="28"/>
        <v>-70579.369733320375</v>
      </c>
      <c r="AB142" s="124">
        <f t="shared" si="28"/>
        <v>-70579.369733320375</v>
      </c>
      <c r="AC142" s="124">
        <f t="shared" si="28"/>
        <v>-70579.369733320375</v>
      </c>
      <c r="AD142" s="124">
        <f t="shared" si="28"/>
        <v>-70579.369733320375</v>
      </c>
      <c r="AE142" s="124">
        <f t="shared" si="28"/>
        <v>-70579.369733320375</v>
      </c>
      <c r="AF142" s="124">
        <f t="shared" si="28"/>
        <v>-70579.369733320375</v>
      </c>
      <c r="AG142" s="124">
        <f t="shared" si="28"/>
        <v>-70579.369733320375</v>
      </c>
      <c r="AH142" s="124">
        <f t="shared" si="28"/>
        <v>-70579.369733320375</v>
      </c>
      <c r="AI142" s="124">
        <f t="shared" si="28"/>
        <v>-70579.369733320375</v>
      </c>
      <c r="AJ142" s="124">
        <f t="shared" si="28"/>
        <v>-70579.369733320375</v>
      </c>
      <c r="AK142" s="124">
        <f t="shared" si="28"/>
        <v>-70579.369733320375</v>
      </c>
      <c r="AL142" s="124">
        <f t="shared" si="28"/>
        <v>-70579.369733320375</v>
      </c>
      <c r="AM142" s="124">
        <f t="shared" si="28"/>
        <v>-70579.369733320375</v>
      </c>
      <c r="AN142" s="124">
        <f t="shared" si="28"/>
        <v>-70579.369733320375</v>
      </c>
      <c r="AO142" s="124">
        <f t="shared" si="28"/>
        <v>-70579.369733320375</v>
      </c>
      <c r="AP142" s="124">
        <f t="shared" si="28"/>
        <v>-70579.369733320375</v>
      </c>
      <c r="AQ142" s="124">
        <f t="shared" si="28"/>
        <v>-70579.369733320375</v>
      </c>
      <c r="AR142" s="124">
        <f t="shared" si="28"/>
        <v>-70579.369733320375</v>
      </c>
    </row>
    <row r="143" spans="1:45" x14ac:dyDescent="0.2">
      <c r="B143" s="5" t="s">
        <v>350</v>
      </c>
      <c r="C143" s="195"/>
      <c r="D143" s="196"/>
      <c r="E143" s="197">
        <f>IF(E108&gt;$C$92,"",(-$C$89*(E135+$C$5*E114)+E128+$C$5*E114)/-E133)</f>
        <v>1.5829273801743489</v>
      </c>
      <c r="F143" s="197">
        <f>IF(F108&gt;$C$92,"",(-$C$89*(F135+$C$5*F114)+F128+$C$5*F114)/-F133)</f>
        <v>1.5737200017067536</v>
      </c>
      <c r="G143" s="197">
        <f>IF(G108&gt;$C$92,"",(-$C$89*(G135+$C$5*G114)+G128+$C$5*G114)/-G133)</f>
        <v>1.5641123853288479</v>
      </c>
      <c r="H143" s="197">
        <f>IF(H108&gt;$C$92,"",(-$C$89*(H135+$C$5*H114)+H128+$C$5*H114)/-H133)</f>
        <v>1.5540824804102633</v>
      </c>
      <c r="I143" s="197">
        <f t="shared" ref="I143:AR143" si="29">IF(I108&gt;$C$92,"",(-$C$89*(I135+$C$5*I114)+I128+$C$5*I114)/-I133)</f>
        <v>1.5436068823263325</v>
      </c>
      <c r="J143" s="197">
        <f t="shared" si="29"/>
        <v>1.5326607460343964</v>
      </c>
      <c r="K143" s="197">
        <f t="shared" si="29"/>
        <v>1.521217694064283</v>
      </c>
      <c r="L143" s="197">
        <f t="shared" si="29"/>
        <v>1.5092497185605269</v>
      </c>
      <c r="M143" s="197">
        <f t="shared" si="29"/>
        <v>1.4967270769903289</v>
      </c>
      <c r="N143" s="197">
        <f t="shared" si="29"/>
        <v>1.4836181811061977</v>
      </c>
      <c r="O143" s="197">
        <f t="shared" si="29"/>
        <v>1.4698894787254888</v>
      </c>
      <c r="P143" s="197">
        <f t="shared" si="29"/>
        <v>1.4555053278606433</v>
      </c>
      <c r="Q143" s="197">
        <f t="shared" si="29"/>
        <v>1.4404278627036047</v>
      </c>
      <c r="R143" s="197">
        <f t="shared" si="29"/>
        <v>1.4246168509356603</v>
      </c>
      <c r="S143" s="197">
        <f t="shared" si="29"/>
        <v>1.4080295417995874</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-219350.39049185239</v>
      </c>
    </row>
    <row r="147" spans="2:45" x14ac:dyDescent="0.2">
      <c r="B147" s="79" t="s">
        <v>354</v>
      </c>
      <c r="C147" s="216" t="str">
        <f>$C$9</f>
        <v>kWh</v>
      </c>
      <c r="D147" s="126">
        <f>(1-$C$89)*NPV($C$86,E141:AR141)</f>
        <v>1966730.4200175491</v>
      </c>
      <c r="E147" s="131"/>
      <c r="F147" s="127"/>
    </row>
    <row r="148" spans="2:45" x14ac:dyDescent="0.2">
      <c r="B148" s="79" t="s">
        <v>355</v>
      </c>
      <c r="C148" s="80" t="s">
        <v>288</v>
      </c>
      <c r="D148" s="126">
        <f>$C$48*1000000</f>
        <v>331138.5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1.5040261072484844</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5.5% / 3.5%</v>
      </c>
      <c r="E150" s="131"/>
      <c r="F150" s="127"/>
      <c r="G150" s="112"/>
    </row>
    <row r="151" spans="2:45" x14ac:dyDescent="0.2">
      <c r="B151" s="79" t="s">
        <v>358</v>
      </c>
      <c r="C151" s="80"/>
      <c r="D151" s="132" t="str">
        <f>IFERROR(IRR(D139:AR139),"n.v.t.")</f>
        <v>n.v.t.</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215240.02499999999</v>
      </c>
      <c r="F153" s="134"/>
    </row>
    <row r="154" spans="2:45" x14ac:dyDescent="0.2">
      <c r="B154" s="135" t="s">
        <v>361</v>
      </c>
      <c r="C154" s="80" t="s">
        <v>288</v>
      </c>
      <c r="D154" s="126">
        <f>$C$88*D148-C82</f>
        <v>115898.47499999999</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5000</v>
      </c>
      <c r="F156" s="134"/>
    </row>
    <row r="157" spans="2:45" x14ac:dyDescent="0.2">
      <c r="B157" s="135" t="s">
        <v>364</v>
      </c>
      <c r="C157" s="138" t="s">
        <v>365</v>
      </c>
      <c r="D157" s="139" t="str">
        <f>CONCATENATE( "tussen ", INDEX(D108:X108, MATCH(0,D142:X142, -1)), " en ",  1 + INDEX(D108:X108, MATCH(0,D142:X142, -1)), " jaren")</f>
        <v>tussen 12 en 13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f>IF(OR($C12=25,$C12=24,$C12=23),ROUND((VLOOKUP(1,Correctiebedragen!$A$3:$J$66,8)+$D155*VLOOKUP($C12-9,Correctiebedragen!$A$3:$J$66,8))/(1+$D155),decimalen),IF(C16&gt;0,"netlevering: " &amp; C161 &amp; ", niet-netlevering: " &amp; C162,ROUND(VLOOKUP($C12,Correctiebedragen!$A$3:$J$66,8),decimalen)))</f>
        <v>0.06</v>
      </c>
      <c r="D160"/>
    </row>
    <row r="161" spans="2:20" x14ac:dyDescent="0.2">
      <c r="B161" s="248" t="s">
        <v>366</v>
      </c>
      <c r="C161" s="246" t="str">
        <f>IFERROR(ROUND(INDEX(Correctiebedragen!$A$1:$K$256,MATCH('19'!C16,Correctiebedragen!$A$1:$A$256,0),8),decimalen),"n.v.t.")</f>
        <v>n.v.t.</v>
      </c>
    </row>
    <row r="162" spans="2:20" customFormat="1" ht="15" x14ac:dyDescent="0.25">
      <c r="B162" s="248" t="s">
        <v>367</v>
      </c>
      <c r="C162" s="250" t="str">
        <f>IFERROR(ROUND(INDEX(Correctiebedragen!$A$1:$K$256,MATCH('19'!C17,Correctiebedragen!$A$1:$A$256,0),8),decimalen),"n.v.t.")</f>
        <v>n.v.t.</v>
      </c>
    </row>
    <row r="163" spans="2:20" customFormat="1" ht="15" x14ac:dyDescent="0.25">
      <c r="B163" s="248" t="str">
        <f>"Voorlopig correctiebedrag "&amp;Colofon!$B$21</f>
        <v>Voorlopig correctiebedrag 2024</v>
      </c>
      <c r="C163" s="383">
        <f>IF(OR($C12=25,$C12=24,$C12=23),ROUND((VLOOKUP(1,Correctiebedragen!$A$3:$J$66,4)+$D155*VLOOKUP($C12-9,Correctiebedragen!$A$3:$J$66,4))/(1+$D155),decimalen),IF(C16&gt;0,"netlevering: " &amp; C164 &amp; ", niet-netlevering: " &amp; C165,ROUND(VLOOKUP($C12,Correctiebedragen!$A$3:$J$66,4),decimalen)))</f>
        <v>0.14399999999999999</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t="str">
        <f>IFERROR(ROUND(INDEX(Correctiebedragen!$A$1:$K$256,MATCH('19'!C16,Correctiebedragen!$A$1:$A$256,0),4),decimalen),"n.v.t.")</f>
        <v>n.v.t.</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t="str">
        <f>IFERROR(ROUND(INDEX(Correctiebedragen!$A$1:$K$256,MATCH('19'!C17,Correctiebedragen!$A$1:$A$256,0),4),decimalen),"n.v.t.")</f>
        <v>n.v.t.</v>
      </c>
    </row>
    <row r="166" spans="2:20" customFormat="1" ht="15" x14ac:dyDescent="0.25">
      <c r="B166" s="248" t="str">
        <f>"Voorlopig correctiebedrag "&amp;Colofon!$B$21&amp;" excl. negatieve uurblokken elektriciteit (NUE)"</f>
        <v>Voorlopig correctiebedrag 2024 excl. negatieve uurblokken elektriciteit (NUE)</v>
      </c>
      <c r="C166" s="250">
        <f>IF(OR($C12=25,$C12=24,$C12=23),ROUND((VLOOKUP(1,Correctiebedragen!$A$3:$J$66,4)+$D155*VLOOKUP($C12-9,Correctiebedragen!$A$3:$J$66,4))/(1+$D155),decimalen),IF(C16&gt;0,"netlevering: " &amp; C167 &amp; ", niet-netlevering: " &amp; C168,ROUND(VLOOKUP($C12,Correctiebedragen!$A$3:$J$66,6),decimalen)))</f>
        <v>0.14899999999999999</v>
      </c>
    </row>
    <row r="167" spans="2:20" customFormat="1" ht="15" x14ac:dyDescent="0.25">
      <c r="B167" s="248" t="str">
        <f>"Voorlopig correctiebedrag "&amp;Colofon!$B$21&amp;" netlevering excl. NUE"</f>
        <v>Voorlopig correctiebedrag 2024 netlevering excl. NUE</v>
      </c>
      <c r="C167" s="250" t="str">
        <f>IFERROR(ROUND(INDEX(Correctiebedragen!$A$1:$K$256,MATCH('19'!C16,Correctiebedragen!$A$1:$A$256,0),6),decimalen),"n.v.t.")</f>
        <v>n.v.t.</v>
      </c>
    </row>
    <row r="168" spans="2:20" customFormat="1" ht="15" x14ac:dyDescent="0.25">
      <c r="B168" s="248" t="str">
        <f>"Voorlopig correctiebedrag "&amp;Colofon!$B$21&amp;" niet-netlevering excl. NUE"</f>
        <v>Voorlopig correctiebedrag 2024 niet-netlevering excl. NUE</v>
      </c>
      <c r="C168" s="250" t="str">
        <f>IFERROR(ROUND(INDEX(Correctiebedragen!$A$1:$K$256,MATCH('19'!C17,Correctiebedragen!$A$1:$A$256,0),6),decimalen),"n.v.t.")</f>
        <v>n.v.t.</v>
      </c>
    </row>
    <row r="169" spans="2:20" customFormat="1" ht="15" x14ac:dyDescent="0.25">
      <c r="B169" s="249" t="str">
        <f>"Voorlopige GvO-waarde "&amp;Colofon!$B$21</f>
        <v>Voorlopige GvO-waarde 2024</v>
      </c>
      <c r="C169" s="250">
        <f>IF(C16&gt;0,"netlevering: " &amp; C170 &amp; ", niet-netlevering: " &amp;C171, INDEX(Correctiebedragen!$A$1:$Q$256,MATCH(C12,Correctiebedragen!$A$1:$A$256,0),12))</f>
        <v>0</v>
      </c>
    </row>
    <row r="170" spans="2:20" customFormat="1" ht="15" x14ac:dyDescent="0.25">
      <c r="B170" s="249" t="str">
        <f>"Voorlopige GvO-waarde "&amp;Colofon!$B$21&amp;" netlevering"</f>
        <v>Voorlopige GvO-waarde 2024 netlevering</v>
      </c>
      <c r="C170" s="250" t="str">
        <f>IFERROR(ROUND(INDEX(Correctiebedragen!$A$1:$Q$256,MATCH(C16,Correctiebedragen!$A$1:$A$256,0),12),decimalen),"n.v.t.")</f>
        <v>n.v.t.</v>
      </c>
    </row>
    <row r="171" spans="2:20" customFormat="1" ht="15" x14ac:dyDescent="0.25">
      <c r="B171" s="249" t="str">
        <f>"Voorlopige GvO-waarde "&amp;Colofon!$B$21&amp;" niet-netlevering"</f>
        <v>Voorlopige GvO-waarde 2024 niet-netlevering</v>
      </c>
      <c r="C171" s="250" t="str">
        <f>IFERROR(ROUND(INDEX(Correctiebedragen!$A$1:$Q$256,MATCH(C17,Correctiebedragen!$A$1:$A$256,0),12),decimalen),"n.v.t.")</f>
        <v>n.v.t.</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3750000</v>
      </c>
      <c r="E174" s="28"/>
    </row>
    <row r="175" spans="2:20" customFormat="1" ht="26.25" x14ac:dyDescent="0.25">
      <c r="B175" s="256" t="s">
        <v>370</v>
      </c>
      <c r="C175" s="271">
        <f>IF(C95=0,SUM(E114:INDEX(E114:AR114,1,C91)),SUM(E114:INDEX(E114:AR114,1,C95)))</f>
        <v>3750000</v>
      </c>
      <c r="D175" s="257"/>
    </row>
    <row r="176" spans="2:20" customFormat="1" ht="15" x14ac:dyDescent="0.25">
      <c r="B176" s="251" t="s">
        <v>51</v>
      </c>
      <c r="C176" s="269">
        <f>C175/C174</f>
        <v>1</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4" priority="5" operator="containsText" text="Pas op">
      <formula>NOT(ISERROR(SEARCH("Pas op",G1)))</formula>
    </cfRule>
  </conditionalFormatting>
  <conditionalFormatting sqref="G186">
    <cfRule type="containsText" dxfId="3" priority="4" operator="containsText" text="Pas op">
      <formula>NOT(ISERROR(SEARCH("Pas op",G186)))</formula>
    </cfRule>
  </conditionalFormatting>
  <conditionalFormatting sqref="G162 G165 G169:G170">
    <cfRule type="containsText" dxfId="2" priority="3" operator="containsText" text="Pas op">
      <formula>NOT(ISERROR(SEARCH("Pas op",G162)))</formula>
    </cfRule>
  </conditionalFormatting>
  <conditionalFormatting sqref="G100">
    <cfRule type="containsText" dxfId="1" priority="2" operator="containsText" text="Pas op">
      <formula>NOT(ISERROR(SEARCH("Pas op",G100)))</formula>
    </cfRule>
  </conditionalFormatting>
  <conditionalFormatting sqref="G166:G168">
    <cfRule type="containsText" dxfId="0" priority="1" operator="containsText" text="Pas op">
      <formula>NOT(ISERROR(SEARCH("Pas op",G166)))</formula>
    </cfRule>
  </conditionalFormatting>
  <dataValidations count="3">
    <dataValidation type="list" allowBlank="1" showInputMessage="1" showErrorMessage="1" sqref="C10" xr:uid="{34FF1D3E-B08C-4C55-BAA3-94671EA1860F}">
      <formula1>INDIRECT("lst_vermogenseenheid")</formula1>
    </dataValidation>
    <dataValidation type="list" allowBlank="1" showInputMessage="1" showErrorMessage="1" sqref="C9" xr:uid="{F72778CE-2B5E-4DC9-8E9D-C9B1C779E73E}">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34001DF2-171F-4DA9-B938-54AEE889A9BA}">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AA8CB75D-65F2-4778-9AB3-E9F30B9E58F5}">
          <x14:formula1>
            <xm:f>'ETS correctie methodes'!$B$4:$B$14</xm:f>
          </x14:formula1>
          <xm:sqref>C13</xm:sqref>
        </x14:dataValidation>
        <x14:dataValidation type="list" allowBlank="1" showInputMessage="1" showErrorMessage="1" xr:uid="{5B141524-F820-4B65-A69D-B0728CEE151A}">
          <x14:formula1>
            <xm:f>Colofon!$A$51:$A$56</xm:f>
          </x14:formula1>
          <xm:sqref>C11</xm:sqref>
        </x14:dataValidation>
        <x14:dataValidation type="list" allowBlank="1" showInputMessage="1" showErrorMessage="1" xr:uid="{3D67EC02-7CA9-48EB-BFC9-5970FBA4D15B}">
          <x14:formula1>
            <xm:f>Correctiebedragen!$A$3:$A$7</xm:f>
          </x14:formula1>
          <xm:sqref>C12 C16:C17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BDD6-1F6B-4440-B8C4-6582B51ED5CC}">
  <sheetPr codeName="Sheet6"/>
  <dimension ref="A1:Q46"/>
  <sheetViews>
    <sheetView showGridLines="0" zoomScale="80" zoomScaleNormal="80" workbookViewId="0">
      <pane xSplit="2" ySplit="2" topLeftCell="C3" activePane="bottomRight" state="frozen"/>
      <selection pane="topRight"/>
      <selection pane="bottomLeft"/>
      <selection pane="bottomRight"/>
    </sheetView>
  </sheetViews>
  <sheetFormatPr defaultRowHeight="15" x14ac:dyDescent="0.25"/>
  <cols>
    <col min="1" max="1" width="30.42578125" style="369" bestFit="1" customWidth="1"/>
    <col min="2" max="2" width="90.7109375" style="368" customWidth="1"/>
    <col min="3" max="3" width="19.28515625" style="368" customWidth="1"/>
    <col min="4" max="4" width="25.7109375" style="369" customWidth="1"/>
    <col min="5" max="5" width="52.85546875" style="368" customWidth="1"/>
    <col min="6" max="6" width="25.7109375" style="369" customWidth="1"/>
    <col min="7" max="7" width="52.85546875" style="368" customWidth="1"/>
    <col min="8" max="8" width="14.28515625" style="185" customWidth="1"/>
    <col min="9" max="9" width="87.28515625" customWidth="1"/>
    <col min="10" max="10" width="14.28515625" style="185" customWidth="1"/>
    <col min="11" max="11" width="85.28515625" bestFit="1" customWidth="1"/>
    <col min="12" max="12" width="19.7109375" customWidth="1"/>
    <col min="13" max="13" width="65.5703125" customWidth="1"/>
  </cols>
  <sheetData>
    <row r="1" spans="1:17" s="194" customFormat="1" ht="15.75" x14ac:dyDescent="0.25">
      <c r="A1" s="373" t="s">
        <v>67</v>
      </c>
      <c r="B1" s="374" t="s">
        <v>68</v>
      </c>
      <c r="C1" s="378" t="s">
        <v>29</v>
      </c>
      <c r="D1" s="357" t="s">
        <v>403</v>
      </c>
      <c r="E1" s="358"/>
      <c r="F1" s="357" t="s">
        <v>389</v>
      </c>
      <c r="G1" s="358"/>
      <c r="H1" s="412" t="s">
        <v>69</v>
      </c>
      <c r="I1" s="413"/>
      <c r="J1" s="412" t="s">
        <v>38</v>
      </c>
      <c r="K1" s="413"/>
      <c r="L1" s="224" t="s">
        <v>41</v>
      </c>
      <c r="M1" s="224"/>
    </row>
    <row r="2" spans="1:17" s="194" customFormat="1" ht="15.75" x14ac:dyDescent="0.25">
      <c r="A2" s="375"/>
      <c r="B2" s="181"/>
      <c r="C2" s="379"/>
      <c r="D2" s="359" t="s">
        <v>70</v>
      </c>
      <c r="E2" s="360" t="s">
        <v>71</v>
      </c>
      <c r="F2" s="359" t="s">
        <v>70</v>
      </c>
      <c r="G2" s="360" t="s">
        <v>71</v>
      </c>
      <c r="H2" s="182" t="s">
        <v>70</v>
      </c>
      <c r="I2" s="183" t="s">
        <v>71</v>
      </c>
      <c r="J2" s="182" t="s">
        <v>70</v>
      </c>
      <c r="K2" s="183" t="s">
        <v>71</v>
      </c>
      <c r="L2" s="224" t="s">
        <v>54</v>
      </c>
      <c r="M2" s="224" t="s">
        <v>71</v>
      </c>
    </row>
    <row r="3" spans="1:17" s="180" customFormat="1" ht="18" customHeight="1" x14ac:dyDescent="0.25">
      <c r="A3" s="236">
        <v>1</v>
      </c>
      <c r="B3" s="237" t="s">
        <v>25</v>
      </c>
      <c r="C3" s="237" t="s">
        <v>25</v>
      </c>
      <c r="D3" s="361">
        <f>D11+L3</f>
        <v>0.14408760273972593</v>
      </c>
      <c r="E3" s="362" t="s">
        <v>394</v>
      </c>
      <c r="F3" s="361">
        <f>$D$12</f>
        <v>0.14881171157450801</v>
      </c>
      <c r="G3" s="241" t="s">
        <v>393</v>
      </c>
      <c r="H3" s="377">
        <f>2/3*$D$13</f>
        <v>6.0467699271809658E-2</v>
      </c>
      <c r="I3" s="180" t="s">
        <v>72</v>
      </c>
      <c r="J3" s="239">
        <f>$D$13</f>
        <v>9.0701548907714494E-2</v>
      </c>
      <c r="K3" s="238" t="s">
        <v>73</v>
      </c>
      <c r="L3" s="240"/>
      <c r="M3" s="241"/>
    </row>
    <row r="4" spans="1:17" s="180" customFormat="1" ht="18" customHeight="1" x14ac:dyDescent="0.25">
      <c r="A4" s="242">
        <v>4</v>
      </c>
      <c r="B4" s="365" t="s">
        <v>74</v>
      </c>
      <c r="C4" s="365" t="s">
        <v>25</v>
      </c>
      <c r="D4" s="361">
        <f>D11*D30+L4</f>
        <v>0.11062482602739719</v>
      </c>
      <c r="E4" s="362" t="s">
        <v>395</v>
      </c>
      <c r="F4" s="361">
        <f>D12*D32+L4</f>
        <v>0.11486472512300847</v>
      </c>
      <c r="G4" s="355" t="s">
        <v>399</v>
      </c>
      <c r="H4" s="350">
        <f>2/3*$D$13*$D$15</f>
        <v>4.1360486272689588E-2</v>
      </c>
      <c r="I4" s="180" t="s">
        <v>75</v>
      </c>
      <c r="J4" s="206">
        <f>$D$13*$D$15</f>
        <v>6.2040729409034386E-2</v>
      </c>
      <c r="K4" s="188" t="s">
        <v>76</v>
      </c>
      <c r="L4" s="223">
        <f>$D$28</f>
        <v>4.0000000000000001E-3</v>
      </c>
      <c r="M4" s="180" t="s">
        <v>77</v>
      </c>
    </row>
    <row r="5" spans="1:17" s="180" customFormat="1" ht="18" customHeight="1" x14ac:dyDescent="0.25">
      <c r="A5" s="242">
        <v>6</v>
      </c>
      <c r="B5" s="365" t="s">
        <v>78</v>
      </c>
      <c r="C5" s="365" t="s">
        <v>25</v>
      </c>
      <c r="D5" s="361">
        <f>D11*D31+L5</f>
        <v>0.12215183424657526</v>
      </c>
      <c r="E5" s="362" t="s">
        <v>396</v>
      </c>
      <c r="F5" s="361">
        <f>D12*D33+L5</f>
        <v>0.12825777916471418</v>
      </c>
      <c r="G5" s="355" t="s">
        <v>400</v>
      </c>
      <c r="H5" s="350">
        <f>2/3*$D$13*$D$17</f>
        <v>4.7588795791069234E-2</v>
      </c>
      <c r="I5" s="180" t="s">
        <v>79</v>
      </c>
      <c r="J5" s="206">
        <f>$D$13*$D$17</f>
        <v>7.1383193686603855E-2</v>
      </c>
      <c r="K5" s="188" t="s">
        <v>80</v>
      </c>
      <c r="L5" s="223">
        <f>$D$28</f>
        <v>4.0000000000000001E-3</v>
      </c>
      <c r="M5" s="180" t="s">
        <v>77</v>
      </c>
      <c r="N5" s="191"/>
    </row>
    <row r="6" spans="1:17" s="180" customFormat="1" ht="18" customHeight="1" x14ac:dyDescent="0.25">
      <c r="A6" s="242">
        <v>7</v>
      </c>
      <c r="B6" s="365" t="s">
        <v>81</v>
      </c>
      <c r="C6" s="365" t="s">
        <v>25</v>
      </c>
      <c r="D6" s="361">
        <f>D11*D31+D20+D18+L6</f>
        <v>0.16664183424657525</v>
      </c>
      <c r="E6" s="362" t="s">
        <v>397</v>
      </c>
      <c r="F6" s="361">
        <f>D12*D33+D20+D18+L6</f>
        <v>0.17274777916471418</v>
      </c>
      <c r="G6" s="355" t="s">
        <v>401</v>
      </c>
      <c r="H6" s="350">
        <f>2/3*$D$13*$D$17+$D$20+$D$18</f>
        <v>9.6078795791069246E-2</v>
      </c>
      <c r="I6" s="180" t="s">
        <v>82</v>
      </c>
      <c r="J6" s="206">
        <f>$D$13*$D$17+$D$20+$D$18</f>
        <v>0.11987319368660386</v>
      </c>
      <c r="K6" s="188" t="s">
        <v>83</v>
      </c>
      <c r="L6" s="223"/>
    </row>
    <row r="7" spans="1:17" s="180" customFormat="1" ht="18" customHeight="1" x14ac:dyDescent="0.25">
      <c r="A7" s="242">
        <v>8</v>
      </c>
      <c r="B7" s="365" t="s">
        <v>84</v>
      </c>
      <c r="C7" s="365" t="s">
        <v>25</v>
      </c>
      <c r="D7" s="361">
        <f>D11*D31+D20</f>
        <v>0.15294183424657526</v>
      </c>
      <c r="E7" s="362" t="s">
        <v>398</v>
      </c>
      <c r="F7" s="361">
        <f>D12*D33+D20</f>
        <v>0.15904777916471419</v>
      </c>
      <c r="G7" s="355" t="s">
        <v>402</v>
      </c>
      <c r="H7" s="350">
        <f>2/3*$D$13*$D$17+$D$20</f>
        <v>8.2378795791069243E-2</v>
      </c>
      <c r="I7" s="180" t="s">
        <v>85</v>
      </c>
      <c r="J7" s="206">
        <f>$D$13*$D$17+$D$20</f>
        <v>0.10617319368660386</v>
      </c>
      <c r="K7" s="188" t="s">
        <v>86</v>
      </c>
      <c r="L7" s="223"/>
    </row>
    <row r="8" spans="1:17" s="180" customFormat="1" x14ac:dyDescent="0.25">
      <c r="A8" s="370"/>
      <c r="B8" s="355"/>
      <c r="C8" s="355"/>
      <c r="D8" s="363"/>
      <c r="E8" s="362"/>
      <c r="F8" s="363"/>
      <c r="G8" s="356"/>
      <c r="H8" s="206"/>
      <c r="I8" s="188"/>
      <c r="J8" s="207"/>
      <c r="K8" s="188"/>
    </row>
    <row r="9" spans="1:17" s="180" customFormat="1" x14ac:dyDescent="0.25">
      <c r="A9" s="370"/>
      <c r="B9" s="355"/>
      <c r="C9" s="355"/>
      <c r="D9" s="363"/>
      <c r="E9" s="362"/>
      <c r="F9" s="363"/>
      <c r="G9" s="356"/>
      <c r="H9" s="206"/>
      <c r="I9" s="188"/>
      <c r="J9" s="207"/>
      <c r="K9" s="188"/>
    </row>
    <row r="10" spans="1:17" ht="18" customHeight="1" x14ac:dyDescent="0.25">
      <c r="A10" s="353" t="s">
        <v>89</v>
      </c>
      <c r="B10" s="354" t="s">
        <v>68</v>
      </c>
      <c r="C10" s="353"/>
      <c r="D10" s="380" t="s">
        <v>70</v>
      </c>
      <c r="E10" s="376" t="s">
        <v>90</v>
      </c>
      <c r="F10" s="390" t="s">
        <v>91</v>
      </c>
      <c r="G10" s="354"/>
      <c r="J10" s="194"/>
      <c r="L10" s="180"/>
      <c r="M10" s="180"/>
      <c r="N10" s="180"/>
      <c r="O10" s="180"/>
      <c r="P10" s="180"/>
      <c r="Q10" s="180"/>
    </row>
    <row r="11" spans="1:17" x14ac:dyDescent="0.25">
      <c r="A11" s="227" t="s">
        <v>392</v>
      </c>
      <c r="B11" s="228" t="s">
        <v>391</v>
      </c>
      <c r="C11" s="229"/>
      <c r="D11" s="394">
        <v>0.14408760273972593</v>
      </c>
      <c r="E11" s="387" t="s">
        <v>92</v>
      </c>
      <c r="F11" s="391" t="str">
        <f>"Gemiddelde EPEX (day-ahead) periode 1-9-"&amp;Colofon!$B$21-2&amp;" t/m 31-8-"&amp;Colofon!$B$21-1&amp;", incl. uren met negatieve elektriciteitsprijs"</f>
        <v>Gemiddelde EPEX (day-ahead) periode 1-9-2022 t/m 31-8-2023, incl. uren met negatieve elektriciteitsprijs</v>
      </c>
      <c r="G11" s="230"/>
      <c r="J11" s="180"/>
      <c r="K11" s="180"/>
      <c r="L11" s="180"/>
      <c r="M11" s="180"/>
      <c r="N11" s="180"/>
      <c r="O11" s="180"/>
      <c r="P11" s="180"/>
      <c r="Q11" s="180"/>
    </row>
    <row r="12" spans="1:17" ht="18" customHeight="1" x14ac:dyDescent="0.25">
      <c r="A12" s="231" t="s">
        <v>393</v>
      </c>
      <c r="B12" s="351" t="s">
        <v>390</v>
      </c>
      <c r="C12" s="352"/>
      <c r="D12" s="395">
        <v>0.14881171157450801</v>
      </c>
      <c r="E12" s="388" t="s">
        <v>92</v>
      </c>
      <c r="F12" s="382" t="str">
        <f>"Gemiddelde EPEX (day-ahead) periode 1-9-"&amp;Colofon!$B$21-2&amp;" t/m 31-8-"&amp;Colofon!$B$21-1&amp;", excl. uren met negatieve elektriciteitsprijs"</f>
        <v>Gemiddelde EPEX (day-ahead) periode 1-9-2022 t/m 31-8-2023, excl. uren met negatieve elektriciteitsprijs</v>
      </c>
      <c r="G12" s="232"/>
      <c r="J12" s="180"/>
      <c r="K12" s="180"/>
      <c r="L12" s="180"/>
      <c r="M12" s="180"/>
      <c r="N12" s="180"/>
      <c r="O12" s="180"/>
      <c r="P12" s="180"/>
      <c r="Q12" s="180"/>
    </row>
    <row r="13" spans="1:17" ht="18" customHeight="1" x14ac:dyDescent="0.25">
      <c r="A13" s="231" t="s">
        <v>73</v>
      </c>
      <c r="B13" s="351" t="s">
        <v>93</v>
      </c>
      <c r="C13" s="352"/>
      <c r="D13" s="396">
        <v>9.0701548907714494E-2</v>
      </c>
      <c r="E13" s="388" t="s">
        <v>92</v>
      </c>
      <c r="F13" s="381" t="str">
        <f>"Ongewogen gemiddelde reële prijzen elektriciteit basislast periode "&amp;Colofon!$B$21&amp;"-"&amp;Colofon!$B$21+14&amp;" (KEV"&amp;Colofon!$B$21-1&amp;")"</f>
        <v>Ongewogen gemiddelde reële prijzen elektriciteit basislast periode 2024-2038 (KEV2023)</v>
      </c>
      <c r="G13" s="232"/>
      <c r="J13" s="180"/>
      <c r="K13" s="180"/>
      <c r="L13" s="180"/>
      <c r="M13" s="180"/>
      <c r="N13" s="180"/>
      <c r="O13" s="180"/>
      <c r="P13" s="180"/>
      <c r="Q13" s="180"/>
    </row>
    <row r="14" spans="1:17" ht="18" customHeight="1" x14ac:dyDescent="0.25">
      <c r="A14" s="231" t="s">
        <v>94</v>
      </c>
      <c r="B14" s="352" t="s">
        <v>95</v>
      </c>
      <c r="C14" s="352"/>
      <c r="D14" s="397">
        <v>0.745</v>
      </c>
      <c r="E14" s="389"/>
      <c r="F14" s="381" t="str">
        <f>"Gemiddelde 1-1-"&amp;Colofon!$B$21-2&amp;" t/m 31-12-"&amp;Colofon!$B$21-2</f>
        <v>Gemiddelde 1-1-2022 t/m 31-12-2022</v>
      </c>
      <c r="G14" s="232"/>
      <c r="J14" s="180"/>
      <c r="L14" s="180"/>
      <c r="M14" s="180"/>
      <c r="N14" s="180"/>
      <c r="O14" s="180"/>
      <c r="P14" s="180"/>
      <c r="Q14" s="180"/>
    </row>
    <row r="15" spans="1:17" ht="18" customHeight="1" x14ac:dyDescent="0.25">
      <c r="A15" s="231" t="s">
        <v>96</v>
      </c>
      <c r="B15" s="352" t="s">
        <v>97</v>
      </c>
      <c r="C15" s="352"/>
      <c r="D15" s="397">
        <v>0.68400959141456952</v>
      </c>
      <c r="E15" s="389"/>
      <c r="F15" s="381" t="str">
        <f>"Gemiddelde "&amp;Colofon!$B$21&amp;"-"&amp;Colofon!$B$21+14&amp;" (KEV"&amp;Colofon!$B$21-1&amp;")"</f>
        <v>Gemiddelde 2024-2038 (KEV2023)</v>
      </c>
      <c r="G15" s="232"/>
      <c r="J15" s="180"/>
      <c r="K15" s="261"/>
      <c r="L15" s="180"/>
      <c r="M15" s="180"/>
      <c r="N15" s="180"/>
      <c r="O15" s="180"/>
      <c r="P15" s="180"/>
      <c r="Q15" s="180"/>
    </row>
    <row r="16" spans="1:17" ht="18" customHeight="1" x14ac:dyDescent="0.25">
      <c r="A16" s="231" t="s">
        <v>98</v>
      </c>
      <c r="B16" s="352" t="s">
        <v>99</v>
      </c>
      <c r="C16" s="352"/>
      <c r="D16" s="397">
        <v>0.83499999999999996</v>
      </c>
      <c r="E16" s="389"/>
      <c r="F16" s="381" t="str">
        <f>"Gemiddelde 1-1-"&amp;Colofon!$B$21-2&amp;" t/m 31-12-"&amp;Colofon!$B$21-2</f>
        <v>Gemiddelde 1-1-2022 t/m 31-12-2022</v>
      </c>
      <c r="G16" s="232"/>
      <c r="J16" s="180"/>
      <c r="K16" s="180"/>
      <c r="L16" s="180"/>
      <c r="M16" s="180"/>
      <c r="N16" s="180"/>
      <c r="O16" s="180"/>
      <c r="P16" s="180"/>
      <c r="Q16" s="180"/>
    </row>
    <row r="17" spans="1:17" ht="18" customHeight="1" x14ac:dyDescent="0.25">
      <c r="A17" s="231" t="s">
        <v>100</v>
      </c>
      <c r="B17" s="352" t="s">
        <v>101</v>
      </c>
      <c r="C17" s="352"/>
      <c r="D17" s="397">
        <v>0.78701184870870999</v>
      </c>
      <c r="E17" s="389"/>
      <c r="F17" s="381" t="str">
        <f>"Gemiddelde "&amp;Colofon!$B$21&amp;"-"&amp;Colofon!$B$21+14&amp;" (KEV"&amp;Colofon!$B$21-1&amp;")"</f>
        <v>Gemiddelde 2024-2038 (KEV2023)</v>
      </c>
      <c r="G17" s="232"/>
      <c r="J17" s="180"/>
      <c r="K17" s="180"/>
      <c r="L17" s="180"/>
      <c r="M17" s="180"/>
      <c r="N17" s="180"/>
      <c r="O17" s="180"/>
      <c r="P17" s="180"/>
      <c r="Q17" s="180"/>
    </row>
    <row r="18" spans="1:17" ht="18" customHeight="1" x14ac:dyDescent="0.25">
      <c r="A18" s="231" t="s">
        <v>103</v>
      </c>
      <c r="B18" s="352" t="s">
        <v>104</v>
      </c>
      <c r="C18" s="371"/>
      <c r="D18" s="396">
        <v>1.37E-2</v>
      </c>
      <c r="E18" s="388" t="s">
        <v>92</v>
      </c>
      <c r="F18" s="381" t="str">
        <f>"Gemiddelde van gepubliceerde tarieven netbeheerders "&amp;Colofon!$B$21-1</f>
        <v>Gemiddelde van gepubliceerde tarieven netbeheerders 2023</v>
      </c>
      <c r="G18" s="232"/>
      <c r="J18" s="180"/>
      <c r="K18" s="180"/>
    </row>
    <row r="19" spans="1:17" ht="18" customHeight="1" x14ac:dyDescent="0.25">
      <c r="A19" s="231" t="s">
        <v>105</v>
      </c>
      <c r="B19" s="352" t="s">
        <v>106</v>
      </c>
      <c r="C19" s="372"/>
      <c r="D19" s="364" t="s">
        <v>107</v>
      </c>
      <c r="E19" s="389"/>
      <c r="F19" s="381" t="s">
        <v>108</v>
      </c>
      <c r="G19" s="233"/>
      <c r="J19" s="184"/>
      <c r="K19" s="184"/>
    </row>
    <row r="20" spans="1:17" ht="18" customHeight="1" x14ac:dyDescent="0.25">
      <c r="A20" s="231" t="s">
        <v>109</v>
      </c>
      <c r="B20" s="352" t="s">
        <v>110</v>
      </c>
      <c r="C20" s="371"/>
      <c r="D20" s="398">
        <v>3.4790000000000001E-2</v>
      </c>
      <c r="E20" s="414" t="s">
        <v>92</v>
      </c>
      <c r="F20" s="381" t="str">
        <f>"Tarief "&amp;Colofon!$B$21-1</f>
        <v>Tarief 2023</v>
      </c>
      <c r="G20" s="232"/>
      <c r="J20" s="180"/>
      <c r="K20" s="180"/>
    </row>
    <row r="21" spans="1:17" ht="18" customHeight="1" x14ac:dyDescent="0.25">
      <c r="A21" s="231" t="s">
        <v>111</v>
      </c>
      <c r="B21" s="352" t="s">
        <v>112</v>
      </c>
      <c r="C21" s="371"/>
      <c r="D21" s="399"/>
      <c r="E21" s="414"/>
      <c r="F21" s="381" t="str">
        <f>"Tarief "&amp;Colofon!$B$21-1</f>
        <v>Tarief 2023</v>
      </c>
      <c r="G21" s="232"/>
      <c r="J21" s="180"/>
      <c r="K21" s="180"/>
    </row>
    <row r="22" spans="1:17" ht="18" customHeight="1" x14ac:dyDescent="0.25">
      <c r="A22" s="231" t="s">
        <v>113</v>
      </c>
      <c r="B22" s="352" t="s">
        <v>114</v>
      </c>
      <c r="C22" s="371"/>
      <c r="D22" s="398">
        <v>5.57E-2</v>
      </c>
      <c r="E22" s="411" t="s">
        <v>102</v>
      </c>
      <c r="F22" s="381" t="str">
        <f>"Tarief "&amp;Colofon!$B$21-1</f>
        <v>Tarief 2023</v>
      </c>
      <c r="G22" s="232"/>
      <c r="J22" s="180"/>
      <c r="K22" s="180"/>
    </row>
    <row r="23" spans="1:17" ht="18" customHeight="1" x14ac:dyDescent="0.25">
      <c r="A23" s="231" t="s">
        <v>115</v>
      </c>
      <c r="B23" s="352" t="s">
        <v>116</v>
      </c>
      <c r="C23" s="371"/>
      <c r="D23" s="399"/>
      <c r="E23" s="411"/>
      <c r="F23" s="381" t="str">
        <f>"Tarief "&amp;Colofon!$B$21-1</f>
        <v>Tarief 2023</v>
      </c>
      <c r="G23" s="232"/>
      <c r="J23" s="180"/>
      <c r="K23" s="180"/>
    </row>
    <row r="24" spans="1:17" ht="18" customHeight="1" x14ac:dyDescent="0.25">
      <c r="A24" s="231" t="s">
        <v>117</v>
      </c>
      <c r="B24" s="352" t="s">
        <v>118</v>
      </c>
      <c r="C24" s="371"/>
      <c r="D24" s="398">
        <v>1.09E-2</v>
      </c>
      <c r="E24" s="411" t="s">
        <v>102</v>
      </c>
      <c r="F24" s="381" t="str">
        <f>"Tarief "&amp;Colofon!$B$21-1</f>
        <v>Tarief 2023</v>
      </c>
      <c r="G24" s="232"/>
      <c r="J24" s="180"/>
      <c r="K24" s="180"/>
    </row>
    <row r="25" spans="1:17" ht="18" customHeight="1" x14ac:dyDescent="0.25">
      <c r="A25" s="231" t="s">
        <v>119</v>
      </c>
      <c r="B25" s="352" t="s">
        <v>120</v>
      </c>
      <c r="C25" s="371"/>
      <c r="D25" s="399"/>
      <c r="E25" s="411"/>
      <c r="F25" s="381" t="str">
        <f>"Tarief "&amp;Colofon!$B$21-1</f>
        <v>Tarief 2023</v>
      </c>
      <c r="G25" s="232"/>
      <c r="J25" s="180"/>
      <c r="K25" s="180"/>
    </row>
    <row r="26" spans="1:17" ht="18" customHeight="1" x14ac:dyDescent="0.25">
      <c r="A26" s="231" t="s">
        <v>121</v>
      </c>
      <c r="B26" s="352" t="s">
        <v>122</v>
      </c>
      <c r="C26" s="371"/>
      <c r="D26" s="398">
        <v>5.7999999999999996E-3</v>
      </c>
      <c r="E26" s="411" t="s">
        <v>102</v>
      </c>
      <c r="F26" s="381" t="str">
        <f>"Tarief "&amp;Colofon!$B$21-1</f>
        <v>Tarief 2023</v>
      </c>
      <c r="G26" s="232"/>
      <c r="J26" s="180"/>
      <c r="K26" s="180"/>
    </row>
    <row r="27" spans="1:17" x14ac:dyDescent="0.25">
      <c r="A27" s="231" t="s">
        <v>123</v>
      </c>
      <c r="B27" s="352" t="s">
        <v>124</v>
      </c>
      <c r="C27" s="371"/>
      <c r="D27" s="399"/>
      <c r="E27" s="411"/>
      <c r="F27" s="381" t="str">
        <f>"Tarief "&amp;Colofon!$B$21-1</f>
        <v>Tarief 2023</v>
      </c>
      <c r="G27" s="232"/>
      <c r="J27" s="180"/>
      <c r="K27" s="180"/>
    </row>
    <row r="28" spans="1:17" s="180" customFormat="1" ht="18" x14ac:dyDescent="0.35">
      <c r="A28" s="234" t="s">
        <v>77</v>
      </c>
      <c r="B28" s="366" t="s">
        <v>125</v>
      </c>
      <c r="C28" s="366"/>
      <c r="D28" s="396">
        <v>4.0000000000000001E-3</v>
      </c>
      <c r="E28" s="385" t="s">
        <v>126</v>
      </c>
      <c r="F28" s="381" t="s">
        <v>127</v>
      </c>
      <c r="G28" s="235"/>
      <c r="J28" s="225"/>
      <c r="K28" s="225"/>
      <c r="L28" s="225"/>
    </row>
    <row r="29" spans="1:17" s="180" customFormat="1" ht="18" x14ac:dyDescent="0.35">
      <c r="A29" s="234" t="s">
        <v>88</v>
      </c>
      <c r="B29" s="366" t="s">
        <v>128</v>
      </c>
      <c r="C29" s="366"/>
      <c r="D29" s="400">
        <v>8.3900000000000002E-2</v>
      </c>
      <c r="E29" s="385" t="s">
        <v>129</v>
      </c>
      <c r="F29" s="381"/>
      <c r="G29" s="235"/>
      <c r="J29" s="225"/>
      <c r="K29" s="225"/>
      <c r="L29" s="225"/>
    </row>
    <row r="30" spans="1:17" ht="18" customHeight="1" x14ac:dyDescent="0.25">
      <c r="A30" s="226" t="s">
        <v>406</v>
      </c>
      <c r="B30" s="226" t="s">
        <v>407</v>
      </c>
      <c r="C30" s="226"/>
      <c r="D30" s="401">
        <v>0.74</v>
      </c>
      <c r="E30" s="385"/>
      <c r="F30" s="381" t="str">
        <f>"Gemiddelde 1-1-"&amp;Colofon!$B$21-2&amp;" t/m 31-12-"&amp;Colofon!$B$21-2</f>
        <v>Gemiddelde 1-1-2022 t/m 31-12-2022</v>
      </c>
      <c r="G30" s="392"/>
      <c r="H30" s="190"/>
      <c r="I30" s="190"/>
      <c r="J30" s="190"/>
      <c r="K30" s="190"/>
      <c r="L30" s="190"/>
    </row>
    <row r="31" spans="1:17" ht="18" customHeight="1" x14ac:dyDescent="0.25">
      <c r="A31" s="226" t="s">
        <v>408</v>
      </c>
      <c r="B31" s="226" t="s">
        <v>409</v>
      </c>
      <c r="C31" s="226"/>
      <c r="D31" s="401">
        <v>0.82</v>
      </c>
      <c r="E31" s="385"/>
      <c r="F31" s="381" t="str">
        <f>"Gemiddelde 1-1-"&amp;Colofon!$B$21-2&amp;" t/m 31-12-"&amp;Colofon!$B$21-2</f>
        <v>Gemiddelde 1-1-2022 t/m 31-12-2022</v>
      </c>
      <c r="G31" s="392"/>
      <c r="H31" s="190"/>
      <c r="I31" s="190"/>
      <c r="J31" s="190"/>
      <c r="K31" s="190"/>
      <c r="L31" s="190"/>
    </row>
    <row r="32" spans="1:17" ht="18" customHeight="1" x14ac:dyDescent="0.25">
      <c r="A32" s="226" t="s">
        <v>410</v>
      </c>
      <c r="B32" s="226" t="s">
        <v>411</v>
      </c>
      <c r="C32" s="226"/>
      <c r="D32" s="401">
        <v>0.745</v>
      </c>
      <c r="E32" s="385"/>
      <c r="F32" s="381" t="str">
        <f>"Gemiddelde 1-1-"&amp;Colofon!$B$21-2&amp;" t/m 31-12-"&amp;Colofon!$B$21-2</f>
        <v>Gemiddelde 1-1-2022 t/m 31-12-2022</v>
      </c>
      <c r="G32" s="392"/>
      <c r="H32" s="190"/>
      <c r="I32" s="190"/>
      <c r="J32" s="190"/>
      <c r="K32" s="190"/>
      <c r="L32" s="190"/>
    </row>
    <row r="33" spans="1:7" x14ac:dyDescent="0.25">
      <c r="A33" s="226" t="s">
        <v>412</v>
      </c>
      <c r="B33" s="226" t="s">
        <v>413</v>
      </c>
      <c r="C33" s="226"/>
      <c r="D33" s="401">
        <v>0.83499999999999996</v>
      </c>
      <c r="E33" s="386"/>
      <c r="F33" s="381" t="str">
        <f>"Gemiddelde 1-1-"&amp;Colofon!$B$21-2&amp;" t/m 31-12-"&amp;Colofon!$B$21-2</f>
        <v>Gemiddelde 1-1-2022 t/m 31-12-2022</v>
      </c>
      <c r="G33" s="393"/>
    </row>
    <row r="37" spans="1:7" x14ac:dyDescent="0.25">
      <c r="C37" s="367"/>
      <c r="D37" s="367"/>
      <c r="E37" s="367"/>
      <c r="F37" s="367"/>
      <c r="G37" s="367"/>
    </row>
    <row r="38" spans="1:7" x14ac:dyDescent="0.25">
      <c r="C38" s="367"/>
      <c r="D38" s="367"/>
      <c r="E38" s="367"/>
      <c r="F38" s="367"/>
      <c r="G38" s="367"/>
    </row>
    <row r="39" spans="1:7" x14ac:dyDescent="0.25">
      <c r="C39" s="367"/>
      <c r="D39" s="367"/>
      <c r="E39" s="367"/>
      <c r="F39" s="367"/>
      <c r="G39" s="367"/>
    </row>
    <row r="40" spans="1:7" x14ac:dyDescent="0.25">
      <c r="C40" s="367"/>
      <c r="D40" s="367"/>
      <c r="E40" s="367"/>
      <c r="F40" s="367"/>
      <c r="G40" s="367"/>
    </row>
    <row r="41" spans="1:7" x14ac:dyDescent="0.25">
      <c r="C41" s="367"/>
      <c r="D41" s="367"/>
      <c r="E41" s="367"/>
      <c r="F41" s="367"/>
      <c r="G41" s="367"/>
    </row>
    <row r="42" spans="1:7" x14ac:dyDescent="0.25">
      <c r="C42" s="367"/>
      <c r="D42" s="367"/>
      <c r="E42" s="367"/>
      <c r="F42" s="367"/>
      <c r="G42" s="367"/>
    </row>
    <row r="43" spans="1:7" x14ac:dyDescent="0.25">
      <c r="C43" s="367"/>
      <c r="D43" s="367"/>
      <c r="E43" s="367"/>
      <c r="F43" s="367"/>
      <c r="G43" s="367"/>
    </row>
    <row r="44" spans="1:7" x14ac:dyDescent="0.25">
      <c r="C44" s="367"/>
      <c r="D44" s="367"/>
      <c r="E44" s="367"/>
      <c r="F44" s="367"/>
      <c r="G44" s="367"/>
    </row>
    <row r="45" spans="1:7" x14ac:dyDescent="0.25">
      <c r="C45" s="367"/>
      <c r="D45" s="367"/>
      <c r="E45" s="367"/>
      <c r="F45" s="367"/>
      <c r="G45" s="367"/>
    </row>
    <row r="46" spans="1:7" x14ac:dyDescent="0.25">
      <c r="C46" s="367"/>
      <c r="D46" s="367"/>
      <c r="E46" s="367"/>
      <c r="F46" s="367"/>
      <c r="G46" s="367"/>
    </row>
  </sheetData>
  <mergeCells count="6">
    <mergeCell ref="E26:E27"/>
    <mergeCell ref="H1:I1"/>
    <mergeCell ref="J1:K1"/>
    <mergeCell ref="E20:E21"/>
    <mergeCell ref="E22:E23"/>
    <mergeCell ref="E24:E25"/>
  </mergeCells>
  <phoneticPr fontId="46" type="noConversion"/>
  <pageMargins left="0.7" right="0.7" top="0.75" bottom="0.75" header="0.3" footer="0.3"/>
  <pageSetup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5808-71C9-4158-B661-8A3FA48DE011}">
  <sheetPr codeName="Sheet1"/>
  <dimension ref="A1:H34"/>
  <sheetViews>
    <sheetView showGridLines="0" zoomScaleNormal="100" workbookViewId="0">
      <selection activeCell="F3" sqref="F3"/>
    </sheetView>
  </sheetViews>
  <sheetFormatPr defaultRowHeight="15" x14ac:dyDescent="0.25"/>
  <cols>
    <col min="1" max="1" width="8" customWidth="1"/>
    <col min="2" max="2" width="15.7109375" customWidth="1"/>
    <col min="3" max="3" width="24.42578125" customWidth="1"/>
    <col min="4" max="4" width="44.28515625" customWidth="1"/>
    <col min="5" max="6" width="60.7109375" customWidth="1"/>
    <col min="7" max="7" width="42.28515625" bestFit="1" customWidth="1"/>
    <col min="8" max="8" width="183.7109375" customWidth="1"/>
  </cols>
  <sheetData>
    <row r="1" spans="1:8" ht="20.25" thickBot="1" x14ac:dyDescent="0.35">
      <c r="A1" s="272" t="s">
        <v>130</v>
      </c>
    </row>
    <row r="2" spans="1:8" ht="15.75" thickTop="1" x14ac:dyDescent="0.25"/>
    <row r="3" spans="1:8" x14ac:dyDescent="0.25">
      <c r="B3" s="273" t="s">
        <v>131</v>
      </c>
      <c r="C3" s="273" t="s">
        <v>90</v>
      </c>
      <c r="D3" s="273" t="s">
        <v>29</v>
      </c>
      <c r="E3" s="274" t="s">
        <v>132</v>
      </c>
      <c r="F3" s="274" t="s">
        <v>71</v>
      </c>
      <c r="G3" s="273" t="s">
        <v>133</v>
      </c>
    </row>
    <row r="4" spans="1:8" x14ac:dyDescent="0.25">
      <c r="B4" s="277">
        <v>0</v>
      </c>
      <c r="C4" s="278" t="s">
        <v>134</v>
      </c>
      <c r="D4" s="279" t="s">
        <v>135</v>
      </c>
      <c r="E4" s="280" t="s">
        <v>135</v>
      </c>
      <c r="F4" s="280" t="s">
        <v>136</v>
      </c>
      <c r="G4" s="281">
        <v>0</v>
      </c>
    </row>
    <row r="5" spans="1:8" x14ac:dyDescent="0.25">
      <c r="B5" s="277">
        <v>1</v>
      </c>
      <c r="C5" s="278" t="s">
        <v>19</v>
      </c>
      <c r="D5" s="279" t="s">
        <v>137</v>
      </c>
      <c r="E5" s="280" t="s">
        <v>138</v>
      </c>
      <c r="F5" s="280" t="s">
        <v>139</v>
      </c>
      <c r="G5" s="291">
        <v>198.0607</v>
      </c>
    </row>
    <row r="6" spans="1:8" x14ac:dyDescent="0.25">
      <c r="B6" s="277">
        <v>2</v>
      </c>
      <c r="C6" s="278" t="s">
        <v>140</v>
      </c>
      <c r="D6" s="279" t="s">
        <v>141</v>
      </c>
      <c r="E6" s="280" t="s">
        <v>142</v>
      </c>
      <c r="F6" s="280" t="s">
        <v>143</v>
      </c>
      <c r="G6" s="291" t="e">
        <f>ROUND($D$23,4)</f>
        <v>#REF!</v>
      </c>
      <c r="H6" s="257" t="s">
        <v>144</v>
      </c>
    </row>
    <row r="7" spans="1:8" ht="30" x14ac:dyDescent="0.25">
      <c r="B7" s="277">
        <v>3</v>
      </c>
      <c r="C7" s="278" t="s">
        <v>145</v>
      </c>
      <c r="D7" s="279" t="s">
        <v>146</v>
      </c>
      <c r="E7" s="280" t="s">
        <v>147</v>
      </c>
      <c r="F7" s="280" t="s">
        <v>148</v>
      </c>
      <c r="G7" s="291" t="e">
        <f>ROUND(($D$20/1000)*($D$22*3.6/1000)*$D$28,4)</f>
        <v>#REF!</v>
      </c>
    </row>
    <row r="8" spans="1:8" ht="30" x14ac:dyDescent="0.25">
      <c r="B8" s="277">
        <v>4</v>
      </c>
      <c r="C8" s="278" t="s">
        <v>145</v>
      </c>
      <c r="D8" s="279" t="s">
        <v>149</v>
      </c>
      <c r="E8" s="280" t="s">
        <v>150</v>
      </c>
      <c r="F8" s="280" t="s">
        <v>151</v>
      </c>
      <c r="G8" s="291" t="e">
        <f>ROUND(D29*3.6/1000*$D$22/1000*$D$20*(100%-$D$27),4)</f>
        <v>#REF!</v>
      </c>
    </row>
    <row r="9" spans="1:8" ht="30" x14ac:dyDescent="0.25">
      <c r="B9" s="277">
        <v>5</v>
      </c>
      <c r="C9" s="278" t="s">
        <v>140</v>
      </c>
      <c r="D9" s="279" t="s">
        <v>152</v>
      </c>
      <c r="E9" s="280" t="s">
        <v>153</v>
      </c>
      <c r="F9" s="280" t="s">
        <v>154</v>
      </c>
      <c r="G9" s="291" t="e">
        <f>ROUND($D$23*D24,4)</f>
        <v>#REF!</v>
      </c>
      <c r="H9" s="257"/>
    </row>
    <row r="10" spans="1:8" ht="30" x14ac:dyDescent="0.25">
      <c r="B10" s="277">
        <v>6</v>
      </c>
      <c r="C10" s="278" t="s">
        <v>140</v>
      </c>
      <c r="D10" s="279" t="s">
        <v>155</v>
      </c>
      <c r="E10" s="280" t="s">
        <v>156</v>
      </c>
      <c r="F10" s="280" t="s">
        <v>157</v>
      </c>
      <c r="G10" s="282" t="s">
        <v>158</v>
      </c>
      <c r="H10" s="257" t="s">
        <v>159</v>
      </c>
    </row>
    <row r="11" spans="1:8" ht="30" x14ac:dyDescent="0.25">
      <c r="B11" s="277">
        <v>7</v>
      </c>
      <c r="C11" s="278" t="s">
        <v>140</v>
      </c>
      <c r="D11" s="279" t="s">
        <v>160</v>
      </c>
      <c r="E11" s="280" t="s">
        <v>161</v>
      </c>
      <c r="F11" s="280" t="s">
        <v>162</v>
      </c>
      <c r="G11" s="282" t="s">
        <v>158</v>
      </c>
      <c r="H11" s="257" t="s">
        <v>159</v>
      </c>
    </row>
    <row r="12" spans="1:8" ht="45" x14ac:dyDescent="0.25">
      <c r="B12" s="277">
        <v>8</v>
      </c>
      <c r="C12" s="278" t="s">
        <v>140</v>
      </c>
      <c r="D12" s="279" t="s">
        <v>163</v>
      </c>
      <c r="E12" s="280" t="s">
        <v>164</v>
      </c>
      <c r="F12" s="280" t="s">
        <v>165</v>
      </c>
      <c r="G12" s="291" t="e">
        <f>ROUND($D$23*$D$25,4)</f>
        <v>#REF!</v>
      </c>
      <c r="H12" s="257" t="s">
        <v>166</v>
      </c>
    </row>
    <row r="13" spans="1:8" ht="60" x14ac:dyDescent="0.25">
      <c r="B13" s="277">
        <v>9</v>
      </c>
      <c r="C13" s="278" t="s">
        <v>140</v>
      </c>
      <c r="D13" s="279" t="s">
        <v>167</v>
      </c>
      <c r="E13" s="280" t="s">
        <v>168</v>
      </c>
      <c r="F13" s="280" t="s">
        <v>169</v>
      </c>
      <c r="G13" s="282" t="s">
        <v>158</v>
      </c>
      <c r="H13" s="257" t="s">
        <v>159</v>
      </c>
    </row>
    <row r="14" spans="1:8" ht="45" x14ac:dyDescent="0.25">
      <c r="B14" s="277">
        <v>10</v>
      </c>
      <c r="C14" s="278" t="s">
        <v>140</v>
      </c>
      <c r="D14" s="279" t="s">
        <v>170</v>
      </c>
      <c r="E14" s="280" t="s">
        <v>171</v>
      </c>
      <c r="F14" s="280" t="s">
        <v>172</v>
      </c>
      <c r="G14" s="291" t="e">
        <f>ROUND($D$23*$D$26*(100%-$D$24),4)</f>
        <v>#REF!</v>
      </c>
    </row>
    <row r="15" spans="1:8" x14ac:dyDescent="0.25">
      <c r="D15" s="275"/>
      <c r="E15" s="1"/>
      <c r="F15" s="1"/>
    </row>
    <row r="16" spans="1:8" x14ac:dyDescent="0.25">
      <c r="D16" s="275"/>
      <c r="E16" s="1"/>
      <c r="F16" s="1"/>
    </row>
    <row r="18" spans="1:8" ht="18" thickBot="1" x14ac:dyDescent="0.35">
      <c r="A18" s="276" t="s">
        <v>173</v>
      </c>
    </row>
    <row r="19" spans="1:8" ht="15.75" thickTop="1" x14ac:dyDescent="0.25">
      <c r="A19" s="417" t="s">
        <v>174</v>
      </c>
      <c r="B19" s="417"/>
      <c r="C19" s="417"/>
      <c r="D19" s="295" t="s">
        <v>70</v>
      </c>
      <c r="E19" s="273" t="s">
        <v>90</v>
      </c>
      <c r="F19" s="273" t="s">
        <v>175</v>
      </c>
    </row>
    <row r="20" spans="1:8" ht="15.75" thickBot="1" x14ac:dyDescent="0.3">
      <c r="A20" s="416" t="s">
        <v>87</v>
      </c>
      <c r="B20" s="416"/>
      <c r="C20" s="416"/>
      <c r="D20" s="294" t="e">
        <f>Correctiebedragen!#REF!</f>
        <v>#REF!</v>
      </c>
      <c r="E20" s="283" t="s">
        <v>176</v>
      </c>
      <c r="F20" s="415" t="s">
        <v>177</v>
      </c>
      <c r="G20" s="415"/>
      <c r="H20" s="415"/>
    </row>
    <row r="21" spans="1:8" ht="15.75" thickTop="1" x14ac:dyDescent="0.25">
      <c r="A21" s="416" t="s">
        <v>178</v>
      </c>
      <c r="B21" s="416"/>
      <c r="C21" s="416"/>
      <c r="D21" s="284">
        <v>0.9</v>
      </c>
      <c r="E21" s="283"/>
      <c r="F21" s="415" t="s">
        <v>179</v>
      </c>
      <c r="G21" s="415"/>
      <c r="H21" s="415"/>
    </row>
    <row r="22" spans="1:8" ht="15.75" thickBot="1" x14ac:dyDescent="0.3">
      <c r="A22" s="416" t="s">
        <v>180</v>
      </c>
      <c r="B22" s="416"/>
      <c r="C22" s="416"/>
      <c r="D22" s="293" t="e">
        <f>Correctiebedragen!#REF!</f>
        <v>#REF!</v>
      </c>
      <c r="E22" s="283" t="s">
        <v>181</v>
      </c>
      <c r="F22" s="415" t="s">
        <v>182</v>
      </c>
      <c r="G22" s="415"/>
      <c r="H22" s="415"/>
    </row>
    <row r="23" spans="1:8" ht="15.75" thickTop="1" x14ac:dyDescent="0.25">
      <c r="A23" s="416" t="s">
        <v>183</v>
      </c>
      <c r="B23" s="416"/>
      <c r="C23" s="416"/>
      <c r="D23" s="286" t="e">
        <f>D20/1000*D22*(3.6/1000)/D21</f>
        <v>#REF!</v>
      </c>
      <c r="E23" s="283" t="s">
        <v>184</v>
      </c>
      <c r="F23" s="415" t="s">
        <v>185</v>
      </c>
      <c r="G23" s="415"/>
      <c r="H23" s="415"/>
    </row>
    <row r="24" spans="1:8" x14ac:dyDescent="0.25">
      <c r="A24" s="416" t="s">
        <v>186</v>
      </c>
      <c r="B24" s="416"/>
      <c r="C24" s="416"/>
      <c r="D24" s="284">
        <v>0.3</v>
      </c>
      <c r="E24" s="283"/>
      <c r="F24" s="415" t="s">
        <v>187</v>
      </c>
      <c r="G24" s="415"/>
      <c r="H24" s="415"/>
    </row>
    <row r="25" spans="1:8" ht="29.25" customHeight="1" x14ac:dyDescent="0.25">
      <c r="A25" s="418" t="s">
        <v>188</v>
      </c>
      <c r="B25" s="418"/>
      <c r="C25" s="418"/>
      <c r="D25" s="284">
        <v>0.1</v>
      </c>
      <c r="E25" s="283"/>
      <c r="F25" s="415" t="s">
        <v>189</v>
      </c>
      <c r="G25" s="415"/>
      <c r="H25" s="415"/>
    </row>
    <row r="26" spans="1:8" ht="29.25" customHeight="1" x14ac:dyDescent="0.25">
      <c r="A26" s="418" t="s">
        <v>190</v>
      </c>
      <c r="B26" s="418"/>
      <c r="C26" s="418"/>
      <c r="D26" s="284">
        <v>0.5</v>
      </c>
      <c r="E26" s="283"/>
      <c r="F26" s="415" t="s">
        <v>191</v>
      </c>
      <c r="G26" s="415"/>
      <c r="H26" s="415"/>
    </row>
    <row r="27" spans="1:8" x14ac:dyDescent="0.25">
      <c r="A27" s="416" t="s">
        <v>192</v>
      </c>
      <c r="B27" s="416"/>
      <c r="C27" s="416"/>
      <c r="D27" s="284">
        <v>0</v>
      </c>
      <c r="E27" s="283"/>
      <c r="F27" s="415" t="s">
        <v>193</v>
      </c>
      <c r="G27" s="415"/>
      <c r="H27" s="415"/>
    </row>
    <row r="28" spans="1:8" ht="15.75" thickBot="1" x14ac:dyDescent="0.3">
      <c r="A28" s="416" t="s">
        <v>194</v>
      </c>
      <c r="B28" s="416"/>
      <c r="C28" s="416"/>
      <c r="D28" s="293" t="e">
        <f>Correctiebedragen!#REF!</f>
        <v>#REF!</v>
      </c>
      <c r="E28" s="283" t="s">
        <v>195</v>
      </c>
      <c r="F28" s="415" t="s">
        <v>196</v>
      </c>
      <c r="G28" s="415"/>
      <c r="H28" s="415"/>
    </row>
    <row r="29" spans="1:8" ht="15.75" thickTop="1" x14ac:dyDescent="0.25">
      <c r="A29" s="416" t="s">
        <v>197</v>
      </c>
      <c r="B29" s="416"/>
      <c r="C29" s="416"/>
      <c r="D29" s="285">
        <v>3.48</v>
      </c>
      <c r="E29" s="283" t="s">
        <v>195</v>
      </c>
      <c r="F29" s="415" t="s">
        <v>198</v>
      </c>
      <c r="G29" s="415"/>
      <c r="H29" s="415"/>
    </row>
    <row r="33" spans="1:1" ht="18" thickBot="1" x14ac:dyDescent="0.35">
      <c r="A33" s="276" t="s">
        <v>199</v>
      </c>
    </row>
    <row r="34" spans="1:1" ht="15.75" thickTop="1" x14ac:dyDescent="0.25"/>
  </sheetData>
  <mergeCells count="21">
    <mergeCell ref="A24:C24"/>
    <mergeCell ref="A25:C25"/>
    <mergeCell ref="A26:C26"/>
    <mergeCell ref="A27:C27"/>
    <mergeCell ref="A28:C28"/>
    <mergeCell ref="F28:H28"/>
    <mergeCell ref="F29:H29"/>
    <mergeCell ref="A29:C29"/>
    <mergeCell ref="A19:C19"/>
    <mergeCell ref="F20:H20"/>
    <mergeCell ref="F21:H21"/>
    <mergeCell ref="F22:H22"/>
    <mergeCell ref="F23:H23"/>
    <mergeCell ref="F24:H24"/>
    <mergeCell ref="F25:H25"/>
    <mergeCell ref="F26:H26"/>
    <mergeCell ref="F27:H27"/>
    <mergeCell ref="A20:C20"/>
    <mergeCell ref="A21:C21"/>
    <mergeCell ref="A22:C22"/>
    <mergeCell ref="A23:C23"/>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9B185-9B9B-41B3-AC3E-999DF14DBE8E}">
  <sheetPr codeName="Sheet92">
    <tabColor theme="7"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200</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0.124</v>
      </c>
      <c r="D5" s="113" t="str">
        <f>CONCATENATE("Euro/",$C$9)</f>
        <v>Euro/kWh</v>
      </c>
      <c r="E5" s="424"/>
      <c r="F5" s="425"/>
      <c r="G5" s="425"/>
      <c r="H5" s="425"/>
      <c r="I5" s="425"/>
      <c r="J5" s="425"/>
      <c r="K5" s="425"/>
      <c r="L5" s="425"/>
      <c r="M5" s="426"/>
      <c r="N5" s="26"/>
    </row>
    <row r="6" spans="1:14" x14ac:dyDescent="0.2">
      <c r="B6" s="4" t="s">
        <v>203</v>
      </c>
      <c r="C6" s="114">
        <f>ROUND((C5-C7)/C8*1000,0)</f>
        <v>1072</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4.8000000000000001E-2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7.0900000000000005E-2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6</v>
      </c>
      <c r="D12" s="296"/>
      <c r="E12" s="424" t="str">
        <f>"Correctiebedrag = "&amp;IFERROR(INDEX(Correctiebedragen!$A$1:$M$256,MATCH('1'!C12,Correctiebedragen!$A$1:$A$256,0),9),"")</f>
        <v>Correctiebedrag = 2/3 x LT_e x LT_PIF_PV</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v>6</v>
      </c>
      <c r="D16" s="31"/>
      <c r="E16" s="419" t="str">
        <f>IFERROR(INDEX(Correctiebedragen!$A$1:$M$256,MATCH('1'!C16,Correctiebedragen!$A$1:$A$256,0),9),"")</f>
        <v>2/3 x LT_e x LT_PIF_PV</v>
      </c>
      <c r="F16" s="420"/>
      <c r="G16" s="420"/>
      <c r="H16" s="420"/>
      <c r="I16" s="420"/>
      <c r="J16" s="420"/>
      <c r="K16" s="420"/>
      <c r="L16" s="420"/>
      <c r="M16" s="421"/>
      <c r="N16" s="243"/>
    </row>
    <row r="17" spans="2:14" x14ac:dyDescent="0.2">
      <c r="B17" s="6" t="s">
        <v>211</v>
      </c>
      <c r="C17" s="27">
        <v>8</v>
      </c>
      <c r="D17" s="31"/>
      <c r="E17" s="419" t="str">
        <f>IFERROR(INDEX(Correctiebedragen!$A$1:$M$256,MATCH('1'!C17,Correctiebedragen!$A$1:$A$256,0),9),"")</f>
        <v>2/3 x LT_e x LT_PIF_PV + EB3_e + ODE3_e</v>
      </c>
      <c r="F17" s="420"/>
      <c r="G17" s="420"/>
      <c r="H17" s="420"/>
      <c r="I17" s="420"/>
      <c r="J17" s="420"/>
      <c r="K17" s="420"/>
      <c r="L17" s="420"/>
      <c r="M17" s="421"/>
      <c r="N17" s="243"/>
    </row>
    <row r="18" spans="2:14" x14ac:dyDescent="0.2">
      <c r="B18" s="6" t="s">
        <v>212</v>
      </c>
      <c r="C18" s="186">
        <v>1</v>
      </c>
      <c r="D18" s="31"/>
      <c r="E18" s="419"/>
      <c r="F18" s="420"/>
      <c r="G18" s="420"/>
      <c r="H18" s="420"/>
      <c r="I18" s="420"/>
      <c r="J18" s="420"/>
      <c r="K18" s="420"/>
      <c r="L18" s="420"/>
      <c r="M18" s="421"/>
      <c r="N18" s="243"/>
    </row>
    <row r="19" spans="2:14" x14ac:dyDescent="0.2">
      <c r="B19" s="6" t="s">
        <v>213</v>
      </c>
      <c r="C19" s="186">
        <v>0</v>
      </c>
      <c r="D19" s="31"/>
      <c r="E19" s="419"/>
      <c r="F19" s="420"/>
      <c r="G19" s="420"/>
      <c r="H19" s="420"/>
      <c r="I19" s="420"/>
      <c r="J19" s="420"/>
      <c r="K19" s="420"/>
      <c r="L19" s="420"/>
      <c r="M19" s="421"/>
      <c r="N19" s="243"/>
    </row>
    <row r="20" spans="2:14" x14ac:dyDescent="0.2">
      <c r="B20" s="6" t="s">
        <v>49</v>
      </c>
      <c r="C20" s="260">
        <f>IFERROR(ROUND(INDEX(Correctiebedragen!$A$1:$K$7,MATCH('1'!C16,Correctiebedragen!$A$1:$A$7,0),8),decimalen),"n.v.t.")</f>
        <v>4.8000000000000001E-2</v>
      </c>
      <c r="D20" s="31"/>
      <c r="E20" s="419"/>
      <c r="F20" s="420"/>
      <c r="G20" s="420"/>
      <c r="H20" s="420"/>
      <c r="I20" s="420"/>
      <c r="J20" s="420"/>
      <c r="K20" s="420"/>
      <c r="L20" s="420"/>
      <c r="M20" s="421"/>
      <c r="N20" s="243"/>
    </row>
    <row r="21" spans="2:14" x14ac:dyDescent="0.2">
      <c r="B21" s="6" t="s">
        <v>50</v>
      </c>
      <c r="C21" s="260">
        <f>IFERROR(ROUND(INDEX(Correctiebedragen!$A$1:$K$7,MATCH('1'!C17,Correctiebedragen!$A$1:$A$7,0),8),decimalen),"n.v.t.")</f>
        <v>8.2000000000000003E-2</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60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60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900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757</v>
      </c>
      <c r="D47" s="32" t="str">
        <f>CONCATENATE("Euro/",$C$10)</f>
        <v>Euro/kW</v>
      </c>
    </row>
    <row r="48" spans="2:13" x14ac:dyDescent="0.2">
      <c r="B48" s="6" t="s">
        <v>245</v>
      </c>
      <c r="C48" s="44">
        <f>IF(C99&lt;&gt;0,((C30*C46+SUM(C35,C37)*C47)+C99)/1000000,((C30*C46+SUM(C35,C37)*C47)*(1+C98*C87))/1000000)</f>
        <v>4.6420000000000003E-2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34.5</v>
      </c>
      <c r="D50" s="32" t="str">
        <f>CONCATENATE("Euro/",$C$10,"/jaar")</f>
        <v>Euro/kW/jaar</v>
      </c>
      <c r="E50" s="424"/>
      <c r="F50" s="425"/>
      <c r="G50" s="425"/>
      <c r="H50" s="425"/>
      <c r="I50" s="425"/>
      <c r="J50" s="425"/>
      <c r="K50" s="425"/>
      <c r="L50" s="425"/>
      <c r="M50" s="426"/>
    </row>
    <row r="51" spans="2:13" x14ac:dyDescent="0.2">
      <c r="B51" s="6" t="s">
        <v>249</v>
      </c>
      <c r="C51" s="46">
        <f>(C49*C30+C50*SUM(C35,C37))/1000</f>
        <v>2.0699999999999998</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5.3999999999999999E-2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8.8900000000000007E-2</v>
      </c>
      <c r="D76" s="34" t="s">
        <v>282</v>
      </c>
      <c r="E76" s="299"/>
      <c r="F76" s="300"/>
      <c r="G76" s="300"/>
      <c r="H76" s="300"/>
      <c r="I76" s="300"/>
      <c r="J76" s="300"/>
      <c r="K76" s="300"/>
      <c r="L76" s="300"/>
      <c r="M76" s="301"/>
    </row>
    <row r="77" spans="2:13" x14ac:dyDescent="0.2">
      <c r="B77" s="6" t="s">
        <v>283</v>
      </c>
      <c r="C77" s="49">
        <v>845</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0.06</v>
      </c>
      <c r="D85" s="34"/>
      <c r="E85" s="419"/>
      <c r="F85" s="420"/>
      <c r="G85" s="420"/>
      <c r="H85" s="420"/>
      <c r="I85" s="420"/>
      <c r="J85" s="420"/>
      <c r="K85" s="420"/>
      <c r="L85" s="420"/>
      <c r="M85" s="421"/>
    </row>
    <row r="86" spans="2:15" x14ac:dyDescent="0.2">
      <c r="B86" s="6" t="s">
        <v>293</v>
      </c>
      <c r="C86" s="51">
        <v>0.05</v>
      </c>
      <c r="D86" s="34"/>
      <c r="E86" s="419"/>
      <c r="F86" s="420"/>
      <c r="G86" s="420"/>
      <c r="H86" s="420"/>
      <c r="I86" s="420"/>
      <c r="J86" s="420"/>
      <c r="K86" s="420"/>
      <c r="L86" s="420"/>
      <c r="M86" s="421"/>
    </row>
    <row r="87" spans="2:15" x14ac:dyDescent="0.2">
      <c r="B87" s="14" t="s">
        <v>294</v>
      </c>
      <c r="C87" s="41">
        <f>100%-C88</f>
        <v>0.7</v>
      </c>
      <c r="D87" s="34"/>
      <c r="E87" s="419"/>
      <c r="F87" s="420"/>
      <c r="G87" s="420"/>
      <c r="H87" s="420"/>
      <c r="I87" s="420"/>
      <c r="J87" s="420"/>
      <c r="K87" s="420"/>
      <c r="L87" s="420"/>
      <c r="M87" s="421"/>
    </row>
    <row r="88" spans="2:15" x14ac:dyDescent="0.2">
      <c r="B88" s="6" t="s">
        <v>295</v>
      </c>
      <c r="C88" s="52">
        <v>0.3</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v>12</v>
      </c>
      <c r="D97" s="179">
        <v>-900</v>
      </c>
      <c r="E97" s="424" t="s">
        <v>305</v>
      </c>
      <c r="F97" s="425"/>
      <c r="G97" s="425"/>
      <c r="H97" s="425"/>
      <c r="I97" s="425"/>
      <c r="J97" s="425"/>
      <c r="K97" s="425"/>
      <c r="L97" s="425"/>
      <c r="M97" s="426"/>
    </row>
    <row r="98" spans="1:44" x14ac:dyDescent="0.2">
      <c r="B98" s="3" t="s">
        <v>306</v>
      </c>
      <c r="C98" s="262"/>
      <c r="D98" s="252"/>
      <c r="E98" s="419"/>
      <c r="F98" s="420"/>
      <c r="G98" s="420"/>
      <c r="H98" s="420"/>
      <c r="I98" s="420"/>
      <c r="J98" s="420"/>
      <c r="K98" s="420"/>
      <c r="L98" s="420"/>
      <c r="M98" s="421"/>
    </row>
    <row r="99" spans="1:44" x14ac:dyDescent="0.2">
      <c r="B99" s="3" t="s">
        <v>307</v>
      </c>
      <c r="C99" s="253">
        <v>1000</v>
      </c>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-46420</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54000</v>
      </c>
      <c r="F111" s="78">
        <f t="shared" ref="F111:AR111" si="2">IF(F108&lt;=$C$94,$C$37*$C$39,IF(AND(F108&gt;$C$94,F108&lt;=$C$91),$C$37*$C$77,0))*IF($C$41=0,1,$C$42/$C$41)</f>
        <v>54000</v>
      </c>
      <c r="G111" s="78">
        <f t="shared" si="2"/>
        <v>54000</v>
      </c>
      <c r="H111" s="78">
        <f t="shared" si="2"/>
        <v>54000</v>
      </c>
      <c r="I111" s="78">
        <f t="shared" si="2"/>
        <v>54000</v>
      </c>
      <c r="J111" s="78">
        <f t="shared" si="2"/>
        <v>54000</v>
      </c>
      <c r="K111" s="78">
        <f t="shared" si="2"/>
        <v>54000</v>
      </c>
      <c r="L111" s="78">
        <f t="shared" si="2"/>
        <v>54000</v>
      </c>
      <c r="M111" s="78">
        <f t="shared" si="2"/>
        <v>54000</v>
      </c>
      <c r="N111" s="78">
        <f t="shared" si="2"/>
        <v>54000</v>
      </c>
      <c r="O111" s="78">
        <f t="shared" si="2"/>
        <v>54000</v>
      </c>
      <c r="P111" s="78">
        <f t="shared" si="2"/>
        <v>54000</v>
      </c>
      <c r="Q111" s="78">
        <f t="shared" si="2"/>
        <v>54000</v>
      </c>
      <c r="R111" s="78">
        <f t="shared" si="2"/>
        <v>54000</v>
      </c>
      <c r="S111" s="78">
        <f t="shared" si="2"/>
        <v>54000</v>
      </c>
      <c r="T111" s="78">
        <f t="shared" si="2"/>
        <v>50700</v>
      </c>
      <c r="U111" s="78">
        <f t="shared" si="2"/>
        <v>50700</v>
      </c>
      <c r="V111" s="78">
        <f t="shared" si="2"/>
        <v>50700</v>
      </c>
      <c r="W111" s="78">
        <f t="shared" si="2"/>
        <v>50700</v>
      </c>
      <c r="X111" s="78">
        <f t="shared" si="2"/>
        <v>50700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54000</v>
      </c>
      <c r="F114" s="84">
        <f t="shared" ref="F114:AR114" si="5">SUM(F111:F113)</f>
        <v>54000</v>
      </c>
      <c r="G114" s="84">
        <f t="shared" si="5"/>
        <v>54000</v>
      </c>
      <c r="H114" s="84">
        <f t="shared" si="5"/>
        <v>54000</v>
      </c>
      <c r="I114" s="84">
        <f t="shared" si="5"/>
        <v>54000</v>
      </c>
      <c r="J114" s="84">
        <f t="shared" si="5"/>
        <v>54000</v>
      </c>
      <c r="K114" s="84">
        <f t="shared" si="5"/>
        <v>54000</v>
      </c>
      <c r="L114" s="84">
        <f t="shared" si="5"/>
        <v>54000</v>
      </c>
      <c r="M114" s="84">
        <f t="shared" si="5"/>
        <v>54000</v>
      </c>
      <c r="N114" s="84">
        <f t="shared" si="5"/>
        <v>54000</v>
      </c>
      <c r="O114" s="84">
        <f t="shared" si="5"/>
        <v>54000</v>
      </c>
      <c r="P114" s="84">
        <f t="shared" si="5"/>
        <v>54000</v>
      </c>
      <c r="Q114" s="84">
        <f t="shared" si="5"/>
        <v>54000</v>
      </c>
      <c r="R114" s="84">
        <f t="shared" si="5"/>
        <v>54000</v>
      </c>
      <c r="S114" s="84">
        <f t="shared" si="5"/>
        <v>54000</v>
      </c>
      <c r="T114" s="84">
        <f t="shared" si="5"/>
        <v>50700</v>
      </c>
      <c r="U114" s="84">
        <f t="shared" si="5"/>
        <v>50700</v>
      </c>
      <c r="V114" s="84">
        <f t="shared" si="5"/>
        <v>50700</v>
      </c>
      <c r="W114" s="84">
        <f t="shared" si="5"/>
        <v>50700</v>
      </c>
      <c r="X114" s="84">
        <f t="shared" si="5"/>
        <v>50700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-2226.6</v>
      </c>
      <c r="F116" s="78">
        <f t="shared" si="6"/>
        <v>-2271.1320000000001</v>
      </c>
      <c r="G116" s="78">
        <f t="shared" si="6"/>
        <v>-2316.5546399999998</v>
      </c>
      <c r="H116" s="78">
        <f t="shared" si="6"/>
        <v>-2362.8857327999999</v>
      </c>
      <c r="I116" s="78">
        <f t="shared" si="6"/>
        <v>-2410.1434474559996</v>
      </c>
      <c r="J116" s="78">
        <f t="shared" si="6"/>
        <v>-2458.34631640512</v>
      </c>
      <c r="K116" s="78">
        <f t="shared" si="6"/>
        <v>-2507.5132427332223</v>
      </c>
      <c r="L116" s="78">
        <f t="shared" si="6"/>
        <v>-2557.6635075878862</v>
      </c>
      <c r="M116" s="78">
        <f t="shared" si="6"/>
        <v>-2608.8167777396443</v>
      </c>
      <c r="N116" s="78">
        <f t="shared" si="6"/>
        <v>-2660.9931132944371</v>
      </c>
      <c r="O116" s="78">
        <f t="shared" si="6"/>
        <v>-2714.212975560326</v>
      </c>
      <c r="P116" s="78">
        <f t="shared" si="6"/>
        <v>-3887.5341126267185</v>
      </c>
      <c r="Q116" s="78">
        <f t="shared" si="6"/>
        <v>-2823.867179772963</v>
      </c>
      <c r="R116" s="78">
        <f t="shared" si="6"/>
        <v>-2880.3445233684224</v>
      </c>
      <c r="S116" s="78">
        <f t="shared" si="6"/>
        <v>-2937.9514138357908</v>
      </c>
      <c r="T116" s="78">
        <f t="shared" si="6"/>
        <v>-2983.8304821147444</v>
      </c>
      <c r="U116" s="78">
        <f t="shared" si="6"/>
        <v>-3043.5070917570397</v>
      </c>
      <c r="V116" s="78">
        <f t="shared" si="6"/>
        <v>-3104.3772335921808</v>
      </c>
      <c r="W116" s="78">
        <f t="shared" si="6"/>
        <v>-3166.4647782640241</v>
      </c>
      <c r="X116" s="78">
        <f t="shared" si="6"/>
        <v>-3229.7940738293046</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0.1196476952770151</v>
      </c>
      <c r="U118" s="85">
        <f t="shared" si="8"/>
        <v>0.12204064918255542</v>
      </c>
      <c r="V118" s="85">
        <f t="shared" si="8"/>
        <v>0.12448146216620654</v>
      </c>
      <c r="W118" s="85">
        <f t="shared" si="8"/>
        <v>0.12697109140953067</v>
      </c>
      <c r="X118" s="85">
        <f t="shared" si="8"/>
        <v>0.12951051323772125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6066.1381505446661</v>
      </c>
      <c r="U123" s="81">
        <f t="shared" si="13"/>
        <v>6187.4609135555593</v>
      </c>
      <c r="V123" s="81">
        <f t="shared" si="13"/>
        <v>6311.2101318266714</v>
      </c>
      <c r="W123" s="81">
        <f t="shared" si="13"/>
        <v>6437.4343344632052</v>
      </c>
      <c r="X123" s="81">
        <f t="shared" si="13"/>
        <v>6566.1830211524675</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6066.1381505446661</v>
      </c>
      <c r="U126" s="78">
        <f t="shared" si="15"/>
        <v>6187.4609135555593</v>
      </c>
      <c r="V126" s="78">
        <f t="shared" si="15"/>
        <v>6311.2101318266714</v>
      </c>
      <c r="W126" s="78">
        <f t="shared" si="15"/>
        <v>6437.4343344632052</v>
      </c>
      <c r="X126" s="78">
        <f t="shared" si="15"/>
        <v>6566.1830211524675</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-2226.6</v>
      </c>
      <c r="F127" s="81">
        <f t="shared" si="16"/>
        <v>-2271.1320000000001</v>
      </c>
      <c r="G127" s="81">
        <f t="shared" si="16"/>
        <v>-2316.5546399999998</v>
      </c>
      <c r="H127" s="81">
        <f t="shared" si="16"/>
        <v>-2362.8857327999999</v>
      </c>
      <c r="I127" s="81">
        <f t="shared" si="16"/>
        <v>-2410.1434474559996</v>
      </c>
      <c r="J127" s="81">
        <f t="shared" si="16"/>
        <v>-2458.34631640512</v>
      </c>
      <c r="K127" s="81">
        <f t="shared" si="16"/>
        <v>-2507.5132427332223</v>
      </c>
      <c r="L127" s="81">
        <f t="shared" si="16"/>
        <v>-2557.6635075878862</v>
      </c>
      <c r="M127" s="81">
        <f t="shared" si="16"/>
        <v>-2608.8167777396443</v>
      </c>
      <c r="N127" s="81">
        <f t="shared" si="16"/>
        <v>-2660.9931132944371</v>
      </c>
      <c r="O127" s="81">
        <f t="shared" si="16"/>
        <v>-2714.212975560326</v>
      </c>
      <c r="P127" s="81">
        <f t="shared" si="16"/>
        <v>-3887.5341126267185</v>
      </c>
      <c r="Q127" s="81">
        <f t="shared" si="16"/>
        <v>-2823.867179772963</v>
      </c>
      <c r="R127" s="81">
        <f t="shared" si="16"/>
        <v>-2880.3445233684224</v>
      </c>
      <c r="S127" s="81">
        <f t="shared" si="16"/>
        <v>-2937.9514138357908</v>
      </c>
      <c r="T127" s="81">
        <f t="shared" si="16"/>
        <v>-2983.8304821147444</v>
      </c>
      <c r="U127" s="81">
        <f t="shared" si="16"/>
        <v>-3043.5070917570397</v>
      </c>
      <c r="V127" s="81">
        <f t="shared" si="16"/>
        <v>-3104.3772335921808</v>
      </c>
      <c r="W127" s="81">
        <f t="shared" si="16"/>
        <v>-3166.4647782640241</v>
      </c>
      <c r="X127" s="81">
        <f t="shared" si="16"/>
        <v>-3229.7940738293046</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-2226.6</v>
      </c>
      <c r="F128" s="90">
        <f t="shared" ref="F128:AR128" si="17">SUM(F126:F127)</f>
        <v>-2271.1320000000001</v>
      </c>
      <c r="G128" s="90">
        <f t="shared" si="17"/>
        <v>-2316.5546399999998</v>
      </c>
      <c r="H128" s="90">
        <f t="shared" si="17"/>
        <v>-2362.8857327999999</v>
      </c>
      <c r="I128" s="90">
        <f t="shared" si="17"/>
        <v>-2410.1434474559996</v>
      </c>
      <c r="J128" s="90">
        <f t="shared" si="17"/>
        <v>-2458.34631640512</v>
      </c>
      <c r="K128" s="90">
        <f t="shared" si="17"/>
        <v>-2507.5132427332223</v>
      </c>
      <c r="L128" s="90">
        <f t="shared" si="17"/>
        <v>-2557.6635075878862</v>
      </c>
      <c r="M128" s="90">
        <f t="shared" si="17"/>
        <v>-2608.8167777396443</v>
      </c>
      <c r="N128" s="90">
        <f t="shared" si="17"/>
        <v>-2660.9931132944371</v>
      </c>
      <c r="O128" s="90">
        <f t="shared" si="17"/>
        <v>-2714.212975560326</v>
      </c>
      <c r="P128" s="90">
        <f t="shared" si="17"/>
        <v>-3887.5341126267185</v>
      </c>
      <c r="Q128" s="90">
        <f t="shared" si="17"/>
        <v>-2823.867179772963</v>
      </c>
      <c r="R128" s="90">
        <f t="shared" si="17"/>
        <v>-2880.3445233684224</v>
      </c>
      <c r="S128" s="90">
        <f t="shared" si="17"/>
        <v>-2937.9514138357908</v>
      </c>
      <c r="T128" s="90">
        <f t="shared" si="17"/>
        <v>3082.3076684299217</v>
      </c>
      <c r="U128" s="90">
        <f t="shared" si="17"/>
        <v>3143.9538217985196</v>
      </c>
      <c r="V128" s="90">
        <f t="shared" si="17"/>
        <v>3206.8328982344906</v>
      </c>
      <c r="W128" s="90">
        <f t="shared" si="17"/>
        <v>3270.9695561991812</v>
      </c>
      <c r="X128" s="90">
        <f t="shared" si="17"/>
        <v>3336.3889473231629</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-3094.6666666666665</v>
      </c>
      <c r="F130" s="78">
        <f t="shared" si="18"/>
        <v>-3094.6666666666665</v>
      </c>
      <c r="G130" s="78">
        <f t="shared" si="18"/>
        <v>-3094.6666666666665</v>
      </c>
      <c r="H130" s="78">
        <f t="shared" si="18"/>
        <v>-3094.6666666666665</v>
      </c>
      <c r="I130" s="78">
        <f t="shared" si="18"/>
        <v>-3094.6666666666665</v>
      </c>
      <c r="J130" s="78">
        <f t="shared" si="18"/>
        <v>-3094.6666666666665</v>
      </c>
      <c r="K130" s="78">
        <f t="shared" si="18"/>
        <v>-3094.6666666666665</v>
      </c>
      <c r="L130" s="78">
        <f t="shared" si="18"/>
        <v>-3094.6666666666665</v>
      </c>
      <c r="M130" s="78">
        <f t="shared" si="18"/>
        <v>-3094.6666666666665</v>
      </c>
      <c r="N130" s="78">
        <f t="shared" si="18"/>
        <v>-3094.6666666666665</v>
      </c>
      <c r="O130" s="78">
        <f t="shared" si="18"/>
        <v>-3094.6666666666665</v>
      </c>
      <c r="P130" s="78">
        <f t="shared" si="18"/>
        <v>-3094.6666666666665</v>
      </c>
      <c r="Q130" s="78">
        <f t="shared" si="18"/>
        <v>-3094.6666666666665</v>
      </c>
      <c r="R130" s="78">
        <f t="shared" si="18"/>
        <v>-3094.6666666666665</v>
      </c>
      <c r="S130" s="78">
        <f t="shared" si="18"/>
        <v>-3094.6666666666665</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-1949.6399999999996</v>
      </c>
      <c r="F131" s="81">
        <f t="shared" si="19"/>
        <v>-1865.8780768821634</v>
      </c>
      <c r="G131" s="81">
        <f t="shared" si="19"/>
        <v>-1777.0904383772577</v>
      </c>
      <c r="H131" s="81">
        <f t="shared" si="19"/>
        <v>-1682.9755415620571</v>
      </c>
      <c r="I131" s="81">
        <f t="shared" si="19"/>
        <v>-1583.2137509379452</v>
      </c>
      <c r="J131" s="81">
        <f t="shared" si="19"/>
        <v>-1477.4662528763859</v>
      </c>
      <c r="K131" s="81">
        <f t="shared" si="19"/>
        <v>-1365.3739049311332</v>
      </c>
      <c r="L131" s="81">
        <f t="shared" si="19"/>
        <v>-1246.5560161091651</v>
      </c>
      <c r="M131" s="81">
        <f t="shared" si="19"/>
        <v>-1120.6090539578793</v>
      </c>
      <c r="N131" s="81">
        <f t="shared" si="19"/>
        <v>-987.10527407751624</v>
      </c>
      <c r="O131" s="81">
        <f t="shared" si="19"/>
        <v>-845.59126740433146</v>
      </c>
      <c r="P131" s="81">
        <f t="shared" si="19"/>
        <v>-695.58642033075557</v>
      </c>
      <c r="Q131" s="81">
        <f t="shared" si="19"/>
        <v>-536.58128243276497</v>
      </c>
      <c r="R131" s="81">
        <f t="shared" si="19"/>
        <v>-368.03583626089511</v>
      </c>
      <c r="S131" s="81">
        <f t="shared" si="19"/>
        <v>-189.37766331871302</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-1396.0320519639311</v>
      </c>
      <c r="F132" s="81">
        <f t="shared" si="20"/>
        <v>-1479.793975081767</v>
      </c>
      <c r="G132" s="81">
        <f t="shared" si="20"/>
        <v>-1568.581613586673</v>
      </c>
      <c r="H132" s="81">
        <f t="shared" si="20"/>
        <v>-1662.6965104018734</v>
      </c>
      <c r="I132" s="81">
        <f t="shared" si="20"/>
        <v>-1762.4583010259857</v>
      </c>
      <c r="J132" s="81">
        <f t="shared" si="20"/>
        <v>-1868.2057990875448</v>
      </c>
      <c r="K132" s="81">
        <f t="shared" si="20"/>
        <v>-1980.2981470327977</v>
      </c>
      <c r="L132" s="81">
        <f t="shared" si="20"/>
        <v>-2099.1160358547654</v>
      </c>
      <c r="M132" s="81">
        <f t="shared" si="20"/>
        <v>-2225.0629980060512</v>
      </c>
      <c r="N132" s="81">
        <f t="shared" si="20"/>
        <v>-2358.5667778864145</v>
      </c>
      <c r="O132" s="81">
        <f t="shared" si="20"/>
        <v>-2500.0807845595991</v>
      </c>
      <c r="P132" s="81">
        <f t="shared" si="20"/>
        <v>-2650.0856316331751</v>
      </c>
      <c r="Q132" s="81">
        <f t="shared" si="20"/>
        <v>-2809.0907695311653</v>
      </c>
      <c r="R132" s="81">
        <f t="shared" si="20"/>
        <v>-2977.6362157030358</v>
      </c>
      <c r="S132" s="81">
        <f t="shared" si="20"/>
        <v>-3156.2943886452176</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-3345.6720519639307</v>
      </c>
      <c r="F133" s="90">
        <f t="shared" ref="F133:AR133" si="21">SUM(F131,F132)</f>
        <v>-3345.6720519639302</v>
      </c>
      <c r="G133" s="90">
        <f t="shared" si="21"/>
        <v>-3345.6720519639307</v>
      </c>
      <c r="H133" s="90">
        <f t="shared" si="21"/>
        <v>-3345.6720519639302</v>
      </c>
      <c r="I133" s="90">
        <f t="shared" si="21"/>
        <v>-3345.6720519639312</v>
      </c>
      <c r="J133" s="90">
        <f t="shared" si="21"/>
        <v>-3345.6720519639307</v>
      </c>
      <c r="K133" s="90">
        <f t="shared" si="21"/>
        <v>-3345.6720519639312</v>
      </c>
      <c r="L133" s="90">
        <f t="shared" si="21"/>
        <v>-3345.6720519639302</v>
      </c>
      <c r="M133" s="90">
        <f t="shared" si="21"/>
        <v>-3345.6720519639302</v>
      </c>
      <c r="N133" s="90">
        <f t="shared" si="21"/>
        <v>-3345.6720519639307</v>
      </c>
      <c r="O133" s="90">
        <f t="shared" si="21"/>
        <v>-3345.6720519639307</v>
      </c>
      <c r="P133" s="90">
        <f t="shared" si="21"/>
        <v>-3345.6720519639307</v>
      </c>
      <c r="Q133" s="90">
        <f t="shared" si="21"/>
        <v>-3345.6720519639302</v>
      </c>
      <c r="R133" s="90">
        <f t="shared" si="21"/>
        <v>-3345.6720519639307</v>
      </c>
      <c r="S133" s="90">
        <f t="shared" si="21"/>
        <v>-3345.6720519639307</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-7270.9066666666658</v>
      </c>
      <c r="F135" s="95">
        <f t="shared" ref="F135:AR135" si="22">F128+F130+F131</f>
        <v>-7231.67674354883</v>
      </c>
      <c r="G135" s="95">
        <f t="shared" si="22"/>
        <v>-7188.311745043924</v>
      </c>
      <c r="H135" s="95">
        <f t="shared" si="22"/>
        <v>-7140.5279410287239</v>
      </c>
      <c r="I135" s="95">
        <f t="shared" si="22"/>
        <v>-7088.0238650606116</v>
      </c>
      <c r="J135" s="95">
        <f t="shared" si="22"/>
        <v>-7030.4792359481726</v>
      </c>
      <c r="K135" s="95">
        <f t="shared" si="22"/>
        <v>-6967.5538143310223</v>
      </c>
      <c r="L135" s="95">
        <f t="shared" si="22"/>
        <v>-6898.886190363718</v>
      </c>
      <c r="M135" s="95">
        <f t="shared" si="22"/>
        <v>-6824.0924983641899</v>
      </c>
      <c r="N135" s="95">
        <f t="shared" si="22"/>
        <v>-6742.7650540386203</v>
      </c>
      <c r="O135" s="95">
        <f t="shared" si="22"/>
        <v>-6654.4709096313236</v>
      </c>
      <c r="P135" s="95">
        <f t="shared" si="22"/>
        <v>-7677.7871996241411</v>
      </c>
      <c r="Q135" s="95">
        <f t="shared" si="22"/>
        <v>-6455.115128872395</v>
      </c>
      <c r="R135" s="95">
        <f t="shared" si="22"/>
        <v>-6343.0470262959843</v>
      </c>
      <c r="S135" s="95">
        <f t="shared" si="22"/>
        <v>-6221.9957438211704</v>
      </c>
      <c r="T135" s="95">
        <f t="shared" si="22"/>
        <v>3082.3076684299217</v>
      </c>
      <c r="U135" s="95">
        <f t="shared" si="22"/>
        <v>3143.9538217985196</v>
      </c>
      <c r="V135" s="95">
        <f t="shared" si="22"/>
        <v>3206.8328982344906</v>
      </c>
      <c r="W135" s="95">
        <f t="shared" si="22"/>
        <v>3270.9695561991812</v>
      </c>
      <c r="X135" s="95">
        <f t="shared" si="22"/>
        <v>3336.3889473231629</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1381.4722666666664</v>
      </c>
      <c r="F136" s="97">
        <f t="shared" si="23"/>
        <v>1374.0185812742777</v>
      </c>
      <c r="G136" s="97">
        <f t="shared" si="23"/>
        <v>1365.7792315583456</v>
      </c>
      <c r="H136" s="97">
        <f t="shared" si="23"/>
        <v>1356.7003087954577</v>
      </c>
      <c r="I136" s="97">
        <f t="shared" si="23"/>
        <v>1346.7245343615161</v>
      </c>
      <c r="J136" s="97">
        <f t="shared" si="23"/>
        <v>1335.7910548301529</v>
      </c>
      <c r="K136" s="97">
        <f t="shared" si="23"/>
        <v>1323.8352247228943</v>
      </c>
      <c r="L136" s="97">
        <f t="shared" si="23"/>
        <v>1310.7883761691064</v>
      </c>
      <c r="M136" s="97">
        <f t="shared" si="23"/>
        <v>1296.5775746891961</v>
      </c>
      <c r="N136" s="97">
        <f t="shared" si="23"/>
        <v>1281.1253602673378</v>
      </c>
      <c r="O136" s="97">
        <f t="shared" si="23"/>
        <v>1264.3494728299515</v>
      </c>
      <c r="P136" s="97">
        <f t="shared" si="23"/>
        <v>1458.7795679285869</v>
      </c>
      <c r="Q136" s="97">
        <f t="shared" si="23"/>
        <v>1226.4718744857551</v>
      </c>
      <c r="R136" s="97">
        <f t="shared" si="23"/>
        <v>1205.1789349962371</v>
      </c>
      <c r="S136" s="97">
        <f t="shared" si="23"/>
        <v>1182.1791913260224</v>
      </c>
      <c r="T136" s="97">
        <f t="shared" si="23"/>
        <v>-585.63845700168508</v>
      </c>
      <c r="U136" s="97">
        <f t="shared" si="23"/>
        <v>-597.35122614171871</v>
      </c>
      <c r="V136" s="97">
        <f t="shared" si="23"/>
        <v>-609.29825066455317</v>
      </c>
      <c r="W136" s="97">
        <f t="shared" si="23"/>
        <v>-621.48421567784442</v>
      </c>
      <c r="X136" s="97">
        <f t="shared" si="23"/>
        <v>-633.91389999140097</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-4190.799785297264</v>
      </c>
      <c r="F138" s="101">
        <f t="shared" si="24"/>
        <v>-4242.7854706896533</v>
      </c>
      <c r="G138" s="101">
        <f t="shared" si="24"/>
        <v>-4296.4474604055849</v>
      </c>
      <c r="H138" s="101">
        <f t="shared" si="24"/>
        <v>-4351.8574759684725</v>
      </c>
      <c r="I138" s="101">
        <f t="shared" si="24"/>
        <v>-4409.0909650584144</v>
      </c>
      <c r="J138" s="101">
        <f t="shared" si="24"/>
        <v>-4468.2273135388969</v>
      </c>
      <c r="K138" s="101">
        <f t="shared" si="24"/>
        <v>-4529.3500699742599</v>
      </c>
      <c r="L138" s="101">
        <f t="shared" si="24"/>
        <v>-4592.5471833827105</v>
      </c>
      <c r="M138" s="101">
        <f t="shared" si="24"/>
        <v>-4657.9112550143782</v>
      </c>
      <c r="N138" s="101">
        <f t="shared" si="24"/>
        <v>-4725.53980499103</v>
      </c>
      <c r="O138" s="101">
        <f t="shared" si="24"/>
        <v>-4795.5355546943047</v>
      </c>
      <c r="P138" s="101">
        <f t="shared" si="24"/>
        <v>-5774.4265966620624</v>
      </c>
      <c r="Q138" s="101">
        <f t="shared" si="24"/>
        <v>-4943.0673572511387</v>
      </c>
      <c r="R138" s="101">
        <f t="shared" si="24"/>
        <v>-5020.8376403361153</v>
      </c>
      <c r="S138" s="101">
        <f t="shared" si="24"/>
        <v>-5101.4442744736989</v>
      </c>
      <c r="T138" s="101">
        <f t="shared" si="24"/>
        <v>2496.6692114282368</v>
      </c>
      <c r="U138" s="101">
        <f t="shared" si="24"/>
        <v>2546.602595656801</v>
      </c>
      <c r="V138" s="101">
        <f t="shared" si="24"/>
        <v>2597.5346475699375</v>
      </c>
      <c r="W138" s="101">
        <f t="shared" si="24"/>
        <v>2649.4853405213366</v>
      </c>
      <c r="X138" s="101">
        <f t="shared" si="24"/>
        <v>2702.4750473317617</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-46420</v>
      </c>
      <c r="E139" s="106">
        <f>E128+E136</f>
        <v>-845.12773333333348</v>
      </c>
      <c r="F139" s="106">
        <f t="shared" ref="F139:AR139" si="25">F128+F136</f>
        <v>-897.11341872572234</v>
      </c>
      <c r="G139" s="106">
        <f t="shared" si="25"/>
        <v>-950.77540844165424</v>
      </c>
      <c r="H139" s="106">
        <f t="shared" si="25"/>
        <v>-1006.1854240045423</v>
      </c>
      <c r="I139" s="106">
        <f t="shared" si="25"/>
        <v>-1063.4189130944835</v>
      </c>
      <c r="J139" s="106">
        <f t="shared" si="25"/>
        <v>-1122.5552615749671</v>
      </c>
      <c r="K139" s="106">
        <f t="shared" si="25"/>
        <v>-1183.6780180103281</v>
      </c>
      <c r="L139" s="106">
        <f t="shared" si="25"/>
        <v>-1246.8751314187798</v>
      </c>
      <c r="M139" s="106">
        <f t="shared" si="25"/>
        <v>-1312.2392030504482</v>
      </c>
      <c r="N139" s="106">
        <f t="shared" si="25"/>
        <v>-1379.8677530270993</v>
      </c>
      <c r="O139" s="106">
        <f t="shared" si="25"/>
        <v>-1449.8635027303744</v>
      </c>
      <c r="P139" s="106">
        <f t="shared" si="25"/>
        <v>-2428.7545446981317</v>
      </c>
      <c r="Q139" s="106">
        <f t="shared" si="25"/>
        <v>-1597.395305287208</v>
      </c>
      <c r="R139" s="106">
        <f t="shared" si="25"/>
        <v>-1675.1655883721853</v>
      </c>
      <c r="S139" s="106">
        <f t="shared" si="25"/>
        <v>-1755.7722225097684</v>
      </c>
      <c r="T139" s="106">
        <f t="shared" si="25"/>
        <v>2496.6692114282368</v>
      </c>
      <c r="U139" s="106">
        <f t="shared" si="25"/>
        <v>2546.602595656801</v>
      </c>
      <c r="V139" s="106">
        <f t="shared" si="25"/>
        <v>2597.5346475699375</v>
      </c>
      <c r="W139" s="106">
        <f t="shared" si="25"/>
        <v>2649.4853405213366</v>
      </c>
      <c r="X139" s="106">
        <f t="shared" si="25"/>
        <v>2702.4750473317617</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-13926</v>
      </c>
      <c r="E140" s="106">
        <f>E138</f>
        <v>-4190.799785297264</v>
      </c>
      <c r="F140" s="106">
        <f t="shared" ref="F140:AR140" si="26">F138</f>
        <v>-4242.7854706896533</v>
      </c>
      <c r="G140" s="106">
        <f t="shared" si="26"/>
        <v>-4296.4474604055849</v>
      </c>
      <c r="H140" s="106">
        <f t="shared" si="26"/>
        <v>-4351.8574759684725</v>
      </c>
      <c r="I140" s="106">
        <f t="shared" si="26"/>
        <v>-4409.0909650584144</v>
      </c>
      <c r="J140" s="106">
        <f t="shared" si="26"/>
        <v>-4468.2273135388969</v>
      </c>
      <c r="K140" s="106">
        <f t="shared" si="26"/>
        <v>-4529.3500699742599</v>
      </c>
      <c r="L140" s="106">
        <f t="shared" si="26"/>
        <v>-4592.5471833827105</v>
      </c>
      <c r="M140" s="106">
        <f t="shared" si="26"/>
        <v>-4657.9112550143782</v>
      </c>
      <c r="N140" s="106">
        <f t="shared" si="26"/>
        <v>-4725.53980499103</v>
      </c>
      <c r="O140" s="106">
        <f t="shared" si="26"/>
        <v>-4795.5355546943047</v>
      </c>
      <c r="P140" s="106">
        <f t="shared" si="26"/>
        <v>-5774.4265966620624</v>
      </c>
      <c r="Q140" s="106">
        <f t="shared" si="26"/>
        <v>-4943.0673572511387</v>
      </c>
      <c r="R140" s="106">
        <f t="shared" si="26"/>
        <v>-5020.8376403361153</v>
      </c>
      <c r="S140" s="106">
        <f t="shared" si="26"/>
        <v>-5101.4442744736989</v>
      </c>
      <c r="T140" s="106">
        <f t="shared" si="26"/>
        <v>2496.6692114282368</v>
      </c>
      <c r="U140" s="106">
        <f t="shared" si="26"/>
        <v>2546.602595656801</v>
      </c>
      <c r="V140" s="106">
        <f t="shared" si="26"/>
        <v>2597.5346475699375</v>
      </c>
      <c r="W140" s="106">
        <f t="shared" si="26"/>
        <v>2649.4853405213366</v>
      </c>
      <c r="X140" s="106">
        <f t="shared" si="26"/>
        <v>2702.4750473317617</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54000</v>
      </c>
      <c r="F141" s="108">
        <f t="shared" si="27"/>
        <v>54000</v>
      </c>
      <c r="G141" s="108">
        <f t="shared" si="27"/>
        <v>54000</v>
      </c>
      <c r="H141" s="108">
        <f t="shared" si="27"/>
        <v>54000</v>
      </c>
      <c r="I141" s="108">
        <f t="shared" si="27"/>
        <v>54000</v>
      </c>
      <c r="J141" s="108">
        <f t="shared" si="27"/>
        <v>54000</v>
      </c>
      <c r="K141" s="108">
        <f t="shared" si="27"/>
        <v>54000</v>
      </c>
      <c r="L141" s="108">
        <f t="shared" si="27"/>
        <v>54000</v>
      </c>
      <c r="M141" s="108">
        <f t="shared" si="27"/>
        <v>54000</v>
      </c>
      <c r="N141" s="108">
        <f t="shared" si="27"/>
        <v>54000</v>
      </c>
      <c r="O141" s="108">
        <f t="shared" si="27"/>
        <v>54000</v>
      </c>
      <c r="P141" s="108">
        <f t="shared" si="27"/>
        <v>54000</v>
      </c>
      <c r="Q141" s="108">
        <f t="shared" si="27"/>
        <v>54000</v>
      </c>
      <c r="R141" s="108">
        <f t="shared" si="27"/>
        <v>54000</v>
      </c>
      <c r="S141" s="108">
        <f t="shared" si="27"/>
        <v>54000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46420</v>
      </c>
      <c r="E142" s="124">
        <f>D142-($C$5*E114+E128+E131)</f>
        <v>43900.24</v>
      </c>
      <c r="F142" s="124">
        <f t="shared" ref="F142:AR142" si="28">E142-($C$5*F114+F128+F131)</f>
        <v>41341.250076882163</v>
      </c>
      <c r="G142" s="124">
        <f t="shared" si="28"/>
        <v>38738.895155259423</v>
      </c>
      <c r="H142" s="124">
        <f t="shared" si="28"/>
        <v>36088.756429621477</v>
      </c>
      <c r="I142" s="124">
        <f t="shared" si="28"/>
        <v>33386.113628015424</v>
      </c>
      <c r="J142" s="124">
        <f t="shared" si="28"/>
        <v>30625.926197296929</v>
      </c>
      <c r="K142" s="124">
        <f t="shared" si="28"/>
        <v>27802.813344961287</v>
      </c>
      <c r="L142" s="124">
        <f t="shared" si="28"/>
        <v>24911.032868658338</v>
      </c>
      <c r="M142" s="124">
        <f t="shared" si="28"/>
        <v>21944.458700355863</v>
      </c>
      <c r="N142" s="124">
        <f t="shared" si="28"/>
        <v>18896.557087727815</v>
      </c>
      <c r="O142" s="124">
        <f t="shared" si="28"/>
        <v>15760.361330692473</v>
      </c>
      <c r="P142" s="124">
        <f t="shared" si="28"/>
        <v>13647.481863649948</v>
      </c>
      <c r="Q142" s="124">
        <f t="shared" si="28"/>
        <v>10311.930325855676</v>
      </c>
      <c r="R142" s="124">
        <f t="shared" si="28"/>
        <v>6864.310685484993</v>
      </c>
      <c r="S142" s="124">
        <f t="shared" si="28"/>
        <v>3295.6397626394969</v>
      </c>
      <c r="T142" s="124">
        <f t="shared" si="28"/>
        <v>-6073.467905790425</v>
      </c>
      <c r="U142" s="124">
        <f t="shared" si="28"/>
        <v>-15504.221727588945</v>
      </c>
      <c r="V142" s="124">
        <f t="shared" si="28"/>
        <v>-24997.854625823435</v>
      </c>
      <c r="W142" s="124">
        <f t="shared" si="28"/>
        <v>-34555.624182022613</v>
      </c>
      <c r="X142" s="124">
        <f t="shared" si="28"/>
        <v>-44178.813129345777</v>
      </c>
      <c r="Y142" s="124">
        <f t="shared" si="28"/>
        <v>-44178.813129345777</v>
      </c>
      <c r="Z142" s="124">
        <f t="shared" si="28"/>
        <v>-44178.813129345777</v>
      </c>
      <c r="AA142" s="124">
        <f t="shared" si="28"/>
        <v>-44178.813129345777</v>
      </c>
      <c r="AB142" s="124">
        <f t="shared" si="28"/>
        <v>-44178.813129345777</v>
      </c>
      <c r="AC142" s="124">
        <f t="shared" si="28"/>
        <v>-44178.813129345777</v>
      </c>
      <c r="AD142" s="124">
        <f t="shared" si="28"/>
        <v>-44178.813129345777</v>
      </c>
      <c r="AE142" s="124">
        <f t="shared" si="28"/>
        <v>-44178.813129345777</v>
      </c>
      <c r="AF142" s="124">
        <f t="shared" si="28"/>
        <v>-44178.813129345777</v>
      </c>
      <c r="AG142" s="124">
        <f t="shared" si="28"/>
        <v>-44178.813129345777</v>
      </c>
      <c r="AH142" s="124">
        <f t="shared" si="28"/>
        <v>-44178.813129345777</v>
      </c>
      <c r="AI142" s="124">
        <f t="shared" si="28"/>
        <v>-44178.813129345777</v>
      </c>
      <c r="AJ142" s="124">
        <f t="shared" si="28"/>
        <v>-44178.813129345777</v>
      </c>
      <c r="AK142" s="124">
        <f t="shared" si="28"/>
        <v>-44178.813129345777</v>
      </c>
      <c r="AL142" s="124">
        <f t="shared" si="28"/>
        <v>-44178.813129345777</v>
      </c>
      <c r="AM142" s="124">
        <f t="shared" si="28"/>
        <v>-44178.813129345777</v>
      </c>
      <c r="AN142" s="124">
        <f t="shared" si="28"/>
        <v>-44178.813129345777</v>
      </c>
      <c r="AO142" s="124">
        <f t="shared" si="28"/>
        <v>-44178.813129345777</v>
      </c>
      <c r="AP142" s="124">
        <f t="shared" si="28"/>
        <v>-44178.813129345777</v>
      </c>
      <c r="AQ142" s="124">
        <f t="shared" si="28"/>
        <v>-44178.813129345777</v>
      </c>
      <c r="AR142" s="124">
        <f t="shared" si="28"/>
        <v>-44178.813129345777</v>
      </c>
    </row>
    <row r="143" spans="1:45" x14ac:dyDescent="0.2">
      <c r="B143" s="5" t="s">
        <v>350</v>
      </c>
      <c r="C143" s="195"/>
      <c r="D143" s="196"/>
      <c r="E143" s="197">
        <f>IF(E108&gt;$C$92,"",(-$C$89*(E135+$C$5*E114)+E128+$C$5*E114)/-E133)</f>
        <v>1.3685239304847527</v>
      </c>
      <c r="F143" s="197">
        <f>IF(F108&gt;$C$92,"",(-$C$89*(F135+$C$5*F114)+F128+$C$5*F114)/-F133)</f>
        <v>1.3529857412704593</v>
      </c>
      <c r="G143" s="197">
        <f>IF(G108&gt;$C$92,"",(-$C$89*(G135+$C$5*G114)+G128+$C$5*G114)/-G133)</f>
        <v>1.3369465154041846</v>
      </c>
      <c r="H143" s="197">
        <f>IF(H108&gt;$C$92,"",(-$C$89*(H135+$C$5*H114)+H128+$C$5*H114)/-H133)</f>
        <v>1.3203848157808276</v>
      </c>
      <c r="I143" s="197">
        <f t="shared" ref="I143:AR143" si="29">IF(I108&gt;$C$92,"",(-$C$89*(I135+$C$5*I114)+I128+$C$5*I114)/-I133)</f>
        <v>1.3032780915708604</v>
      </c>
      <c r="J143" s="197">
        <f t="shared" si="29"/>
        <v>1.2856026148469029</v>
      </c>
      <c r="K143" s="197">
        <f t="shared" si="29"/>
        <v>1.2673334134768874</v>
      </c>
      <c r="L143" s="197">
        <f t="shared" si="29"/>
        <v>1.2484442000611995</v>
      </c>
      <c r="M143" s="197">
        <f t="shared" si="29"/>
        <v>1.2289072966778269</v>
      </c>
      <c r="N143" s="197">
        <f t="shared" si="29"/>
        <v>1.2086935551854554</v>
      </c>
      <c r="O143" s="197">
        <f t="shared" si="29"/>
        <v>1.1877722728194244</v>
      </c>
      <c r="P143" s="197">
        <f t="shared" si="29"/>
        <v>0.89518799475393318</v>
      </c>
      <c r="Q143" s="197">
        <f t="shared" si="29"/>
        <v>1.143675959652618</v>
      </c>
      <c r="R143" s="197">
        <f t="shared" si="29"/>
        <v>1.1204309189322266</v>
      </c>
      <c r="S143" s="197">
        <f t="shared" si="29"/>
        <v>1.0963381110043644</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-42380.37332992813</v>
      </c>
    </row>
    <row r="147" spans="2:45" x14ac:dyDescent="0.2">
      <c r="B147" s="79" t="s">
        <v>354</v>
      </c>
      <c r="C147" s="216" t="str">
        <f>$C$9</f>
        <v>kWh</v>
      </c>
      <c r="D147" s="126">
        <f>(1-$C$89)*NPV($C$86,E141:AR141)</f>
        <v>454006.24259001907</v>
      </c>
      <c r="E147" s="131"/>
      <c r="F147" s="127"/>
    </row>
    <row r="148" spans="2:45" x14ac:dyDescent="0.2">
      <c r="B148" s="79" t="s">
        <v>355</v>
      </c>
      <c r="C148" s="80" t="s">
        <v>288</v>
      </c>
      <c r="D148" s="126">
        <f>$C$48*1000000</f>
        <v>46420</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1.2243003621281281</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4.9% / 2.8%</v>
      </c>
      <c r="E150" s="131"/>
      <c r="F150" s="127"/>
      <c r="G150" s="112"/>
    </row>
    <row r="151" spans="2:45" x14ac:dyDescent="0.2">
      <c r="B151" s="79" t="s">
        <v>358</v>
      </c>
      <c r="C151" s="80"/>
      <c r="D151" s="132">
        <f>IFERROR(IRR(D139:AR139),"n.v.t.")</f>
        <v>-0.11192814177359489</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32493.999999999996</v>
      </c>
      <c r="F153" s="134"/>
    </row>
    <row r="154" spans="2:45" x14ac:dyDescent="0.2">
      <c r="B154" s="135" t="s">
        <v>361</v>
      </c>
      <c r="C154" s="80" t="s">
        <v>288</v>
      </c>
      <c r="D154" s="126">
        <f>$C$88*D148-C82</f>
        <v>13926</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900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t="str">
        <f>IF(OR($C12=25,$C12=24,$C12=23),ROUND((VLOOKUP(1,Correctiebedragen!$A$3:$J$66,8)+$D155*VLOOKUP($C12-9,Correctiebedragen!$A$3:$J$66,8))/(1+$D155),decimalen),IF(C16&gt;0,"netlevering: " &amp; C161 &amp; ", niet-netlevering: " &amp; C162,ROUND(VLOOKUP($C12,Correctiebedragen!$A$3:$J$66,8),decimalen)))</f>
        <v>netlevering: 0.048, niet-netlevering: 0.082</v>
      </c>
      <c r="D160"/>
    </row>
    <row r="161" spans="2:20" x14ac:dyDescent="0.2">
      <c r="B161" s="248" t="s">
        <v>366</v>
      </c>
      <c r="C161" s="246">
        <f>IFERROR(ROUND(INDEX(Correctiebedragen!$A$1:$K$256,MATCH('1'!C16,Correctiebedragen!$A$1:$A$256,0),8),decimalen),"n.v.t.")</f>
        <v>4.8000000000000001E-2</v>
      </c>
    </row>
    <row r="162" spans="2:20" customFormat="1" ht="15" x14ac:dyDescent="0.25">
      <c r="B162" s="248" t="s">
        <v>367</v>
      </c>
      <c r="C162" s="250">
        <f>IFERROR(ROUND(INDEX(Correctiebedragen!$A$1:$K$256,MATCH('1'!C17,Correctiebedragen!$A$1:$A$256,0),8),decimalen),"n.v.t.")</f>
        <v>8.2000000000000003E-2</v>
      </c>
    </row>
    <row r="163" spans="2:20" customFormat="1" ht="15" x14ac:dyDescent="0.25">
      <c r="B163" s="248" t="str">
        <f>"Voorlopig correctiebedrag "&amp;Colofon!$B$21</f>
        <v>Voorlopig correctiebedrag 2024</v>
      </c>
      <c r="C163" s="270" t="str">
        <f>IF(OR($C12=25,$C12=24,$C12=23),ROUND((VLOOKUP(1,Correctiebedragen!$A$3:$J$66,4)+$D155*VLOOKUP($C12-9,Correctiebedragen!$A$3:$J$66,4))/(1+$D155),decimalen),IF(C16&gt;0,"netlevering: " &amp; C164 &amp; ", niet-netlevering: " &amp; C165,ROUND(VLOOKUP($C12,Correctiebedragen!$A$3:$J$66,4),decimalen)))</f>
        <v>netlevering: 0.122, niet-netlevering: 0.153</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f>IFERROR(ROUND(INDEX(Correctiebedragen!$A$1:$K$256,MATCH('1'!C16,Correctiebedragen!$A$1:$A$256,0),4),decimalen),"n.v.t.")</f>
        <v>0.122</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f>IFERROR(ROUND(INDEX(Correctiebedragen!$A$1:$K$256,MATCH('1'!C17,Correctiebedragen!$A$1:$A$256,0),4),decimalen),"n.v.t.")</f>
        <v>0.153</v>
      </c>
    </row>
    <row r="166" spans="2:20" customFormat="1" ht="15" x14ac:dyDescent="0.25">
      <c r="B166" s="248" t="str">
        <f>"Voorlopig correctiebedrag "&amp;Colofon!$B$21&amp;" excl. negatieve uurblokken elektriciteit (NUE)"</f>
        <v>Voorlopig correctiebedrag 2024 excl. negatieve uurblokken elektriciteit (NUE)</v>
      </c>
      <c r="C166" s="250" t="str">
        <f>IF(OR($C12=25,$C12=24,$C12=23),ROUND((VLOOKUP(1,Correctiebedragen!$A$3:$J$66,4)+$D155*VLOOKUP($C12-9,Correctiebedragen!$A$3:$J$66,4))/(1+$D155),decimalen),IF(C16&gt;0,"netlevering: " &amp; C167 &amp; ", niet-netlevering: " &amp; C168,ROUND(VLOOKUP($C12,Correctiebedragen!$A$3:$J$66,6),decimalen)))</f>
        <v>netlevering: 0.128, niet-netlevering: 0.159</v>
      </c>
    </row>
    <row r="167" spans="2:20" customFormat="1" ht="15" x14ac:dyDescent="0.25">
      <c r="B167" s="248" t="str">
        <f>"Voorlopig correctiebedrag "&amp;Colofon!$B$21&amp;" netlevering excl. NUE"</f>
        <v>Voorlopig correctiebedrag 2024 netlevering excl. NUE</v>
      </c>
      <c r="C167" s="250">
        <f>IFERROR(ROUND(INDEX(Correctiebedragen!$A$1:$K$256,MATCH('1'!C16,Correctiebedragen!$A$1:$A$256,0),6),decimalen),"n.v.t.")</f>
        <v>0.128</v>
      </c>
    </row>
    <row r="168" spans="2:20" customFormat="1" ht="15" x14ac:dyDescent="0.25">
      <c r="B168" s="248" t="str">
        <f>"Voorlopig correctiebedrag "&amp;Colofon!$B$21&amp;" niet-netlevering excl. NUE"</f>
        <v>Voorlopig correctiebedrag 2024 niet-netlevering excl. NUE</v>
      </c>
      <c r="C168" s="250">
        <f>IFERROR(ROUND(INDEX(Correctiebedragen!$A$1:$K$256,MATCH('1'!C17,Correctiebedragen!$A$1:$A$256,0),6),decimalen),"n.v.t.")</f>
        <v>0.159</v>
      </c>
    </row>
    <row r="169" spans="2:20" customFormat="1" ht="15" x14ac:dyDescent="0.25">
      <c r="B169" s="249" t="str">
        <f>"Voorlopige GvO-waarde "&amp;Colofon!$B$21</f>
        <v>Voorlopige GvO-waarde 2024</v>
      </c>
      <c r="C169" s="250" t="str">
        <f>IF(C16&gt;0,"netlevering: " &amp; C170 &amp; ", niet-netlevering: " &amp;C171, INDEX(Correctiebedragen!$A$1:$Q$256,MATCH(C12,Correctiebedragen!$A$1:$A$256,0),12))</f>
        <v>netlevering: 0.004, niet-netlevering: 0</v>
      </c>
    </row>
    <row r="170" spans="2:20" customFormat="1" ht="15" x14ac:dyDescent="0.25">
      <c r="B170" s="249" t="str">
        <f>"Voorlopige GvO-waarde "&amp;Colofon!$B$21&amp;" netlevering"</f>
        <v>Voorlopige GvO-waarde 2024 netlevering</v>
      </c>
      <c r="C170" s="250">
        <f>IFERROR(ROUND(INDEX(Correctiebedragen!$A$1:$Q$256,MATCH(C16,Correctiebedragen!$A$1:$A$256,0),12),decimalen),"n.v.t.")</f>
        <v>4.0000000000000001E-3</v>
      </c>
    </row>
    <row r="171" spans="2:20" customFormat="1" ht="15" x14ac:dyDescent="0.25">
      <c r="B171" s="249" t="str">
        <f>"Voorlopige GvO-waarde "&amp;Colofon!$B$21&amp;" niet-netlevering"</f>
        <v>Voorlopige GvO-waarde 2024 niet-netlevering</v>
      </c>
      <c r="C171" s="250">
        <f>IFERROR(ROUND(INDEX(Correctiebedragen!$A$1:$Q$256,MATCH(C17,Correctiebedragen!$A$1:$A$256,0),12),decimalen),"n.v.t.")</f>
        <v>0</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810000</v>
      </c>
      <c r="E174" s="28"/>
    </row>
    <row r="175" spans="2:20" customFormat="1" ht="26.25" x14ac:dyDescent="0.25">
      <c r="B175" s="256" t="s">
        <v>370</v>
      </c>
      <c r="C175" s="271">
        <f>IF(C95=0,SUM(E114:INDEX(E114:AR114,1,C91)),SUM(E114:INDEX(E114:AR114,1,C95)))</f>
        <v>1063500</v>
      </c>
      <c r="D175" s="257"/>
    </row>
    <row r="176" spans="2:20" customFormat="1" ht="15" x14ac:dyDescent="0.25">
      <c r="B176" s="251" t="s">
        <v>51</v>
      </c>
      <c r="C176" s="269">
        <f>C175/C174</f>
        <v>1.3129629629629629</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93" priority="4" operator="containsText" text="Pas op">
      <formula>NOT(ISERROR(SEARCH("Pas op",G1)))</formula>
    </cfRule>
  </conditionalFormatting>
  <conditionalFormatting sqref="G186">
    <cfRule type="containsText" dxfId="92" priority="3" operator="containsText" text="Pas op">
      <formula>NOT(ISERROR(SEARCH("Pas op",G186)))</formula>
    </cfRule>
  </conditionalFormatting>
  <conditionalFormatting sqref="G162 G165:G170">
    <cfRule type="containsText" dxfId="91" priority="2" operator="containsText" text="Pas op">
      <formula>NOT(ISERROR(SEARCH("Pas op",G162)))</formula>
    </cfRule>
  </conditionalFormatting>
  <conditionalFormatting sqref="G100">
    <cfRule type="containsText" dxfId="90" priority="1" operator="containsText" text="Pas op">
      <formula>NOT(ISERROR(SEARCH("Pas op",G100)))</formula>
    </cfRule>
  </conditionalFormatting>
  <dataValidations count="3">
    <dataValidation type="list" allowBlank="1" showInputMessage="1" showErrorMessage="1" sqref="C10" xr:uid="{BB0CD7F8-05FF-4B4F-A8E7-D08E0887ED73}">
      <formula1>INDIRECT("lst_vermogenseenheid")</formula1>
    </dataValidation>
    <dataValidation type="list" allowBlank="1" showInputMessage="1" showErrorMessage="1" sqref="C9" xr:uid="{0B196210-A7F3-4DBD-BEB9-AFA0E4651BC6}">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43998517-0AD7-4874-B335-351B814AD924}">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E7C19B1-3C52-4DF0-87B4-ACFE9C2F3A40}">
          <x14:formula1>
            <xm:f>'ETS correctie methodes'!$B$4:$B$14</xm:f>
          </x14:formula1>
          <xm:sqref>C13</xm:sqref>
        </x14:dataValidation>
        <x14:dataValidation type="list" allowBlank="1" showInputMessage="1" showErrorMessage="1" xr:uid="{3EEDF0D4-5CB5-49F3-A1F3-5A5A157A5B33}">
          <x14:formula1>
            <xm:f>Colofon!$A$51:$A$56</xm:f>
          </x14:formula1>
          <xm:sqref>C11</xm:sqref>
        </x14:dataValidation>
        <x14:dataValidation type="list" allowBlank="1" showInputMessage="1" showErrorMessage="1" xr:uid="{5CFCA8F5-4133-43C7-A7A2-2833CDDAB870}">
          <x14:formula1>
            <xm:f>Correctiebedragen!$A$3:$A$7</xm:f>
          </x14:formula1>
          <xm:sqref>C12 C16:C17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D8EB-E4CD-4797-B124-FAA527EA9C4C}">
  <sheetPr codeName="Sheet93">
    <tabColor theme="7"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371</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0.109</v>
      </c>
      <c r="D5" s="113" t="str">
        <f>CONCATENATE("Euro/",$C$9)</f>
        <v>Euro/kWh</v>
      </c>
      <c r="E5" s="424"/>
      <c r="F5" s="425"/>
      <c r="G5" s="425"/>
      <c r="H5" s="425"/>
      <c r="I5" s="425"/>
      <c r="J5" s="425"/>
      <c r="K5" s="425"/>
      <c r="L5" s="425"/>
      <c r="M5" s="426"/>
      <c r="N5" s="26"/>
    </row>
    <row r="6" spans="1:14" x14ac:dyDescent="0.2">
      <c r="B6" s="4" t="s">
        <v>203</v>
      </c>
      <c r="C6" s="114">
        <f>ROUND((C5-C7)/C8*1000,0)</f>
        <v>551</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7.0000000000000007E-2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7.0800000000000002E-2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6</v>
      </c>
      <c r="D12" s="296"/>
      <c r="E12" s="424" t="str">
        <f>"Correctiebedrag = "&amp;IFERROR(INDEX(Correctiebedragen!$A$1:$M$256,MATCH('2'!C12,Correctiebedragen!$A$1:$A$256,0),9),"")</f>
        <v>Correctiebedrag = 2/3 x LT_e x LT_PIF_PV</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v>6</v>
      </c>
      <c r="D16" s="31"/>
      <c r="E16" s="419" t="str">
        <f>IFERROR(INDEX(Correctiebedragen!$A$1:$M$256,MATCH('2'!C16,Correctiebedragen!$A$1:$A$256,0),9),"")</f>
        <v>2/3 x LT_e x LT_PIF_PV</v>
      </c>
      <c r="F16" s="420"/>
      <c r="G16" s="420"/>
      <c r="H16" s="420"/>
      <c r="I16" s="420"/>
      <c r="J16" s="420"/>
      <c r="K16" s="420"/>
      <c r="L16" s="420"/>
      <c r="M16" s="421"/>
      <c r="N16" s="243"/>
    </row>
    <row r="17" spans="2:14" x14ac:dyDescent="0.2">
      <c r="B17" s="6" t="s">
        <v>211</v>
      </c>
      <c r="C17" s="27">
        <v>8</v>
      </c>
      <c r="D17" s="31"/>
      <c r="E17" s="419" t="str">
        <f>IFERROR(INDEX(Correctiebedragen!$A$1:$M$256,MATCH('2'!C17,Correctiebedragen!$A$1:$A$256,0),9),"")</f>
        <v>2/3 x LT_e x LT_PIF_PV + EB3_e + ODE3_e</v>
      </c>
      <c r="F17" s="420"/>
      <c r="G17" s="420"/>
      <c r="H17" s="420"/>
      <c r="I17" s="420"/>
      <c r="J17" s="420"/>
      <c r="K17" s="420"/>
      <c r="L17" s="420"/>
      <c r="M17" s="421"/>
      <c r="N17" s="243"/>
    </row>
    <row r="18" spans="2:14" x14ac:dyDescent="0.2">
      <c r="B18" s="6" t="s">
        <v>212</v>
      </c>
      <c r="C18" s="186">
        <v>0.35</v>
      </c>
      <c r="D18" s="31"/>
      <c r="E18" s="419"/>
      <c r="F18" s="420"/>
      <c r="G18" s="420"/>
      <c r="H18" s="420"/>
      <c r="I18" s="420"/>
      <c r="J18" s="420"/>
      <c r="K18" s="420"/>
      <c r="L18" s="420"/>
      <c r="M18" s="421"/>
      <c r="N18" s="243"/>
    </row>
    <row r="19" spans="2:14" x14ac:dyDescent="0.2">
      <c r="B19" s="6" t="s">
        <v>213</v>
      </c>
      <c r="C19" s="186">
        <v>0.65</v>
      </c>
      <c r="D19" s="31"/>
      <c r="E19" s="419"/>
      <c r="F19" s="420"/>
      <c r="G19" s="420"/>
      <c r="H19" s="420"/>
      <c r="I19" s="420"/>
      <c r="J19" s="420"/>
      <c r="K19" s="420"/>
      <c r="L19" s="420"/>
      <c r="M19" s="421"/>
      <c r="N19" s="243"/>
    </row>
    <row r="20" spans="2:14" x14ac:dyDescent="0.2">
      <c r="B20" s="6" t="s">
        <v>49</v>
      </c>
      <c r="C20" s="260">
        <f>IFERROR(ROUND(INDEX(Correctiebedragen!$A$1:$K$7,MATCH('2'!C16,Correctiebedragen!$A$1:$A$7,0),8),decimalen),"n.v.t.")</f>
        <v>4.8000000000000001E-2</v>
      </c>
      <c r="D20" s="31"/>
      <c r="E20" s="419"/>
      <c r="F20" s="420"/>
      <c r="G20" s="420"/>
      <c r="H20" s="420"/>
      <c r="I20" s="420"/>
      <c r="J20" s="420"/>
      <c r="K20" s="420"/>
      <c r="L20" s="420"/>
      <c r="M20" s="421"/>
      <c r="N20" s="243"/>
    </row>
    <row r="21" spans="2:14" x14ac:dyDescent="0.2">
      <c r="B21" s="6" t="s">
        <v>50</v>
      </c>
      <c r="C21" s="260">
        <f>IFERROR(ROUND(INDEX(Correctiebedragen!$A$1:$K$7,MATCH('2'!C17,Correctiebedragen!$A$1:$A$7,0),8),decimalen),"n.v.t.")</f>
        <v>8.2000000000000003E-2</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150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150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840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668</v>
      </c>
      <c r="D47" s="32" t="str">
        <f>CONCATENATE("Euro/",$C$10)</f>
        <v>Euro/kW</v>
      </c>
    </row>
    <row r="48" spans="2:13" x14ac:dyDescent="0.2">
      <c r="B48" s="6" t="s">
        <v>245</v>
      </c>
      <c r="C48" s="44">
        <f>IF(C99&lt;&gt;0,((C30*C46+SUM(C35,C37)*C47)+C99)/1000000,((C30*C46+SUM(C35,C37)*C47)*(1+C98*C87))/1000000)</f>
        <v>0.1012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26.9</v>
      </c>
      <c r="D50" s="32" t="str">
        <f>CONCATENATE("Euro/",$C$10,"/jaar")</f>
        <v>Euro/kW/jaar</v>
      </c>
      <c r="E50" s="424"/>
      <c r="F50" s="425"/>
      <c r="G50" s="425"/>
      <c r="H50" s="425"/>
      <c r="I50" s="425"/>
      <c r="J50" s="425"/>
      <c r="K50" s="425"/>
      <c r="L50" s="425"/>
      <c r="M50" s="426"/>
    </row>
    <row r="51" spans="2:13" x14ac:dyDescent="0.2">
      <c r="B51" s="6" t="s">
        <v>249</v>
      </c>
      <c r="C51" s="46">
        <f>(C49*C30+C50*SUM(C35,C37))/1000</f>
        <v>4.0350000000000001</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5.3999999999999999E-2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8.8900000000000007E-2</v>
      </c>
      <c r="D76" s="34" t="s">
        <v>282</v>
      </c>
      <c r="E76" s="299"/>
      <c r="F76" s="300"/>
      <c r="G76" s="300"/>
      <c r="H76" s="300"/>
      <c r="I76" s="300"/>
      <c r="J76" s="300"/>
      <c r="K76" s="300"/>
      <c r="L76" s="300"/>
      <c r="M76" s="301"/>
    </row>
    <row r="77" spans="2:13" x14ac:dyDescent="0.2">
      <c r="B77" s="6" t="s">
        <v>283</v>
      </c>
      <c r="C77" s="49">
        <v>785</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5.7500000000000002E-2</v>
      </c>
      <c r="D85" s="34"/>
      <c r="E85" s="419"/>
      <c r="F85" s="420"/>
      <c r="G85" s="420"/>
      <c r="H85" s="420"/>
      <c r="I85" s="420"/>
      <c r="J85" s="420"/>
      <c r="K85" s="420"/>
      <c r="L85" s="420"/>
      <c r="M85" s="421"/>
    </row>
    <row r="86" spans="2:15" x14ac:dyDescent="0.2">
      <c r="B86" s="6" t="s">
        <v>293</v>
      </c>
      <c r="C86" s="51">
        <v>0.05</v>
      </c>
      <c r="D86" s="34"/>
      <c r="E86" s="419"/>
      <c r="F86" s="420"/>
      <c r="G86" s="420"/>
      <c r="H86" s="420"/>
      <c r="I86" s="420"/>
      <c r="J86" s="420"/>
      <c r="K86" s="420"/>
      <c r="L86" s="420"/>
      <c r="M86" s="421"/>
    </row>
    <row r="87" spans="2:15" x14ac:dyDescent="0.2">
      <c r="B87" s="14" t="s">
        <v>294</v>
      </c>
      <c r="C87" s="41">
        <f>100%-C88</f>
        <v>0.7</v>
      </c>
      <c r="D87" s="34"/>
      <c r="E87" s="419"/>
      <c r="F87" s="420"/>
      <c r="G87" s="420"/>
      <c r="H87" s="420"/>
      <c r="I87" s="420"/>
      <c r="J87" s="420"/>
      <c r="K87" s="420"/>
      <c r="L87" s="420"/>
      <c r="M87" s="421"/>
    </row>
    <row r="88" spans="2:15" x14ac:dyDescent="0.2">
      <c r="B88" s="6" t="s">
        <v>295</v>
      </c>
      <c r="C88" s="52">
        <v>0.3</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v>12</v>
      </c>
      <c r="D97" s="179">
        <v>-2250</v>
      </c>
      <c r="E97" s="424" t="s">
        <v>305</v>
      </c>
      <c r="F97" s="425"/>
      <c r="G97" s="425"/>
      <c r="H97" s="425"/>
      <c r="I97" s="425"/>
      <c r="J97" s="425"/>
      <c r="K97" s="425"/>
      <c r="L97" s="425"/>
      <c r="M97" s="426"/>
    </row>
    <row r="98" spans="1:44" x14ac:dyDescent="0.2">
      <c r="B98" s="3" t="s">
        <v>306</v>
      </c>
      <c r="C98" s="262"/>
      <c r="D98" s="252"/>
      <c r="E98" s="419"/>
      <c r="F98" s="420"/>
      <c r="G98" s="420"/>
      <c r="H98" s="420"/>
      <c r="I98" s="420"/>
      <c r="J98" s="420"/>
      <c r="K98" s="420"/>
      <c r="L98" s="420"/>
      <c r="M98" s="421"/>
    </row>
    <row r="99" spans="1:44" x14ac:dyDescent="0.2">
      <c r="B99" s="3" t="s">
        <v>307</v>
      </c>
      <c r="C99" s="253">
        <v>1000</v>
      </c>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-101200</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126000</v>
      </c>
      <c r="F111" s="78">
        <f t="shared" ref="F111:AR111" si="2">IF(F108&lt;=$C$94,$C$37*$C$39,IF(AND(F108&gt;$C$94,F108&lt;=$C$91),$C$37*$C$77,0))*IF($C$41=0,1,$C$42/$C$41)</f>
        <v>126000</v>
      </c>
      <c r="G111" s="78">
        <f t="shared" si="2"/>
        <v>126000</v>
      </c>
      <c r="H111" s="78">
        <f t="shared" si="2"/>
        <v>126000</v>
      </c>
      <c r="I111" s="78">
        <f t="shared" si="2"/>
        <v>126000</v>
      </c>
      <c r="J111" s="78">
        <f t="shared" si="2"/>
        <v>126000</v>
      </c>
      <c r="K111" s="78">
        <f t="shared" si="2"/>
        <v>126000</v>
      </c>
      <c r="L111" s="78">
        <f t="shared" si="2"/>
        <v>126000</v>
      </c>
      <c r="M111" s="78">
        <f t="shared" si="2"/>
        <v>126000</v>
      </c>
      <c r="N111" s="78">
        <f t="shared" si="2"/>
        <v>126000</v>
      </c>
      <c r="O111" s="78">
        <f t="shared" si="2"/>
        <v>126000</v>
      </c>
      <c r="P111" s="78">
        <f t="shared" si="2"/>
        <v>126000</v>
      </c>
      <c r="Q111" s="78">
        <f t="shared" si="2"/>
        <v>126000</v>
      </c>
      <c r="R111" s="78">
        <f t="shared" si="2"/>
        <v>126000</v>
      </c>
      <c r="S111" s="78">
        <f t="shared" si="2"/>
        <v>126000</v>
      </c>
      <c r="T111" s="78">
        <f t="shared" si="2"/>
        <v>117750</v>
      </c>
      <c r="U111" s="78">
        <f t="shared" si="2"/>
        <v>117750</v>
      </c>
      <c r="V111" s="78">
        <f t="shared" si="2"/>
        <v>117750</v>
      </c>
      <c r="W111" s="78">
        <f t="shared" si="2"/>
        <v>117750</v>
      </c>
      <c r="X111" s="78">
        <f t="shared" si="2"/>
        <v>117750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126000</v>
      </c>
      <c r="F114" s="84">
        <f t="shared" ref="F114:AR114" si="5">SUM(F111:F113)</f>
        <v>126000</v>
      </c>
      <c r="G114" s="84">
        <f t="shared" si="5"/>
        <v>126000</v>
      </c>
      <c r="H114" s="84">
        <f t="shared" si="5"/>
        <v>126000</v>
      </c>
      <c r="I114" s="84">
        <f t="shared" si="5"/>
        <v>126000</v>
      </c>
      <c r="J114" s="84">
        <f t="shared" si="5"/>
        <v>126000</v>
      </c>
      <c r="K114" s="84">
        <f t="shared" si="5"/>
        <v>126000</v>
      </c>
      <c r="L114" s="84">
        <f t="shared" si="5"/>
        <v>126000</v>
      </c>
      <c r="M114" s="84">
        <f t="shared" si="5"/>
        <v>126000</v>
      </c>
      <c r="N114" s="84">
        <f t="shared" si="5"/>
        <v>126000</v>
      </c>
      <c r="O114" s="84">
        <f t="shared" si="5"/>
        <v>126000</v>
      </c>
      <c r="P114" s="84">
        <f t="shared" si="5"/>
        <v>126000</v>
      </c>
      <c r="Q114" s="84">
        <f t="shared" si="5"/>
        <v>126000</v>
      </c>
      <c r="R114" s="84">
        <f t="shared" si="5"/>
        <v>126000</v>
      </c>
      <c r="S114" s="84">
        <f t="shared" si="5"/>
        <v>126000</v>
      </c>
      <c r="T114" s="84">
        <f t="shared" si="5"/>
        <v>117750</v>
      </c>
      <c r="U114" s="84">
        <f t="shared" si="5"/>
        <v>117750</v>
      </c>
      <c r="V114" s="84">
        <f t="shared" si="5"/>
        <v>117750</v>
      </c>
      <c r="W114" s="84">
        <f t="shared" si="5"/>
        <v>117750</v>
      </c>
      <c r="X114" s="84">
        <f t="shared" si="5"/>
        <v>117750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-4400.3999999999996</v>
      </c>
      <c r="F116" s="78">
        <f t="shared" si="6"/>
        <v>-4488.4079999999994</v>
      </c>
      <c r="G116" s="78">
        <f t="shared" si="6"/>
        <v>-4578.17616</v>
      </c>
      <c r="H116" s="78">
        <f t="shared" si="6"/>
        <v>-4669.7396831999995</v>
      </c>
      <c r="I116" s="78">
        <f t="shared" si="6"/>
        <v>-4763.1344768639992</v>
      </c>
      <c r="J116" s="78">
        <f t="shared" si="6"/>
        <v>-4858.3971664012797</v>
      </c>
      <c r="K116" s="78">
        <f t="shared" si="6"/>
        <v>-4955.5651097293057</v>
      </c>
      <c r="L116" s="78">
        <f t="shared" si="6"/>
        <v>-5054.6764119238906</v>
      </c>
      <c r="M116" s="78">
        <f t="shared" si="6"/>
        <v>-5155.7699401623686</v>
      </c>
      <c r="N116" s="78">
        <f t="shared" si="6"/>
        <v>-5258.885338965616</v>
      </c>
      <c r="O116" s="78">
        <f t="shared" si="6"/>
        <v>-5364.0630457449288</v>
      </c>
      <c r="P116" s="78">
        <f t="shared" si="6"/>
        <v>-8268.9365005477939</v>
      </c>
      <c r="Q116" s="78">
        <f t="shared" si="6"/>
        <v>-5580.7711927930241</v>
      </c>
      <c r="R116" s="78">
        <f t="shared" si="6"/>
        <v>-5692.3866166488842</v>
      </c>
      <c r="S116" s="78">
        <f t="shared" si="6"/>
        <v>-5806.2343489818622</v>
      </c>
      <c r="T116" s="78">
        <f t="shared" si="6"/>
        <v>-5890.1591359670938</v>
      </c>
      <c r="U116" s="78">
        <f t="shared" si="6"/>
        <v>-6007.9623186864364</v>
      </c>
      <c r="V116" s="78">
        <f t="shared" si="6"/>
        <v>-6128.1215650601662</v>
      </c>
      <c r="W116" s="78">
        <f t="shared" si="6"/>
        <v>-6250.6839963613684</v>
      </c>
      <c r="X116" s="78">
        <f t="shared" si="6"/>
        <v>-6375.6976762885961</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0.1196476952770151</v>
      </c>
      <c r="U118" s="85">
        <f t="shared" si="8"/>
        <v>0.12204064918255542</v>
      </c>
      <c r="V118" s="85">
        <f t="shared" si="8"/>
        <v>0.12448146216620654</v>
      </c>
      <c r="W118" s="85">
        <f t="shared" si="8"/>
        <v>0.12697109140953067</v>
      </c>
      <c r="X118" s="85">
        <f t="shared" si="8"/>
        <v>0.12951051323772125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14088.516118868529</v>
      </c>
      <c r="U123" s="81">
        <f t="shared" si="13"/>
        <v>14370.2864412459</v>
      </c>
      <c r="V123" s="81">
        <f t="shared" si="13"/>
        <v>14657.692170070819</v>
      </c>
      <c r="W123" s="81">
        <f t="shared" si="13"/>
        <v>14950.846013472235</v>
      </c>
      <c r="X123" s="81">
        <f t="shared" si="13"/>
        <v>15249.862933741677</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14088.516118868529</v>
      </c>
      <c r="U126" s="78">
        <f t="shared" si="15"/>
        <v>14370.2864412459</v>
      </c>
      <c r="V126" s="78">
        <f t="shared" si="15"/>
        <v>14657.692170070819</v>
      </c>
      <c r="W126" s="78">
        <f t="shared" si="15"/>
        <v>14950.846013472235</v>
      </c>
      <c r="X126" s="78">
        <f t="shared" si="15"/>
        <v>15249.862933741677</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-4400.3999999999996</v>
      </c>
      <c r="F127" s="81">
        <f t="shared" si="16"/>
        <v>-4488.4079999999994</v>
      </c>
      <c r="G127" s="81">
        <f t="shared" si="16"/>
        <v>-4578.17616</v>
      </c>
      <c r="H127" s="81">
        <f t="shared" si="16"/>
        <v>-4669.7396831999995</v>
      </c>
      <c r="I127" s="81">
        <f t="shared" si="16"/>
        <v>-4763.1344768639992</v>
      </c>
      <c r="J127" s="81">
        <f t="shared" si="16"/>
        <v>-4858.3971664012797</v>
      </c>
      <c r="K127" s="81">
        <f t="shared" si="16"/>
        <v>-4955.5651097293057</v>
      </c>
      <c r="L127" s="81">
        <f t="shared" si="16"/>
        <v>-5054.6764119238906</v>
      </c>
      <c r="M127" s="81">
        <f t="shared" si="16"/>
        <v>-5155.7699401623686</v>
      </c>
      <c r="N127" s="81">
        <f t="shared" si="16"/>
        <v>-5258.885338965616</v>
      </c>
      <c r="O127" s="81">
        <f t="shared" si="16"/>
        <v>-5364.0630457449288</v>
      </c>
      <c r="P127" s="81">
        <f t="shared" si="16"/>
        <v>-8268.9365005477939</v>
      </c>
      <c r="Q127" s="81">
        <f t="shared" si="16"/>
        <v>-5580.7711927930241</v>
      </c>
      <c r="R127" s="81">
        <f t="shared" si="16"/>
        <v>-5692.3866166488842</v>
      </c>
      <c r="S127" s="81">
        <f t="shared" si="16"/>
        <v>-5806.2343489818622</v>
      </c>
      <c r="T127" s="81">
        <f t="shared" si="16"/>
        <v>-5890.1591359670938</v>
      </c>
      <c r="U127" s="81">
        <f t="shared" si="16"/>
        <v>-6007.9623186864364</v>
      </c>
      <c r="V127" s="81">
        <f t="shared" si="16"/>
        <v>-6128.1215650601662</v>
      </c>
      <c r="W127" s="81">
        <f t="shared" si="16"/>
        <v>-6250.6839963613684</v>
      </c>
      <c r="X127" s="81">
        <f t="shared" si="16"/>
        <v>-6375.6976762885961</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-4400.3999999999996</v>
      </c>
      <c r="F128" s="90">
        <f t="shared" ref="F128:AR128" si="17">SUM(F126:F127)</f>
        <v>-4488.4079999999994</v>
      </c>
      <c r="G128" s="90">
        <f t="shared" si="17"/>
        <v>-4578.17616</v>
      </c>
      <c r="H128" s="90">
        <f t="shared" si="17"/>
        <v>-4669.7396831999995</v>
      </c>
      <c r="I128" s="90">
        <f t="shared" si="17"/>
        <v>-4763.1344768639992</v>
      </c>
      <c r="J128" s="90">
        <f t="shared" si="17"/>
        <v>-4858.3971664012797</v>
      </c>
      <c r="K128" s="90">
        <f t="shared" si="17"/>
        <v>-4955.5651097293057</v>
      </c>
      <c r="L128" s="90">
        <f t="shared" si="17"/>
        <v>-5054.6764119238906</v>
      </c>
      <c r="M128" s="90">
        <f t="shared" si="17"/>
        <v>-5155.7699401623686</v>
      </c>
      <c r="N128" s="90">
        <f t="shared" si="17"/>
        <v>-5258.885338965616</v>
      </c>
      <c r="O128" s="90">
        <f t="shared" si="17"/>
        <v>-5364.0630457449288</v>
      </c>
      <c r="P128" s="90">
        <f t="shared" si="17"/>
        <v>-8268.9365005477939</v>
      </c>
      <c r="Q128" s="90">
        <f t="shared" si="17"/>
        <v>-5580.7711927930241</v>
      </c>
      <c r="R128" s="90">
        <f t="shared" si="17"/>
        <v>-5692.3866166488842</v>
      </c>
      <c r="S128" s="90">
        <f t="shared" si="17"/>
        <v>-5806.2343489818622</v>
      </c>
      <c r="T128" s="90">
        <f t="shared" si="17"/>
        <v>8198.3569829014341</v>
      </c>
      <c r="U128" s="90">
        <f t="shared" si="17"/>
        <v>8362.3241225594647</v>
      </c>
      <c r="V128" s="90">
        <f t="shared" si="17"/>
        <v>8529.5706050106528</v>
      </c>
      <c r="W128" s="90">
        <f t="shared" si="17"/>
        <v>8700.1620171108661</v>
      </c>
      <c r="X128" s="90">
        <f t="shared" si="17"/>
        <v>8874.1652574530817</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-6746.666666666667</v>
      </c>
      <c r="F130" s="78">
        <f t="shared" si="18"/>
        <v>-6746.666666666667</v>
      </c>
      <c r="G130" s="78">
        <f t="shared" si="18"/>
        <v>-6746.666666666667</v>
      </c>
      <c r="H130" s="78">
        <f t="shared" si="18"/>
        <v>-6746.666666666667</v>
      </c>
      <c r="I130" s="78">
        <f t="shared" si="18"/>
        <v>-6746.666666666667</v>
      </c>
      <c r="J130" s="78">
        <f t="shared" si="18"/>
        <v>-6746.666666666667</v>
      </c>
      <c r="K130" s="78">
        <f t="shared" si="18"/>
        <v>-6746.666666666667</v>
      </c>
      <c r="L130" s="78">
        <f t="shared" si="18"/>
        <v>-6746.666666666667</v>
      </c>
      <c r="M130" s="78">
        <f t="shared" si="18"/>
        <v>-6746.666666666667</v>
      </c>
      <c r="N130" s="78">
        <f t="shared" si="18"/>
        <v>-6746.666666666667</v>
      </c>
      <c r="O130" s="78">
        <f t="shared" si="18"/>
        <v>-6746.666666666667</v>
      </c>
      <c r="P130" s="78">
        <f t="shared" si="18"/>
        <v>-6746.666666666667</v>
      </c>
      <c r="Q130" s="78">
        <f t="shared" si="18"/>
        <v>-6746.666666666667</v>
      </c>
      <c r="R130" s="78">
        <f t="shared" si="18"/>
        <v>-6746.666666666667</v>
      </c>
      <c r="S130" s="78">
        <f t="shared" si="18"/>
        <v>-6746.666666666667</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-4073.3</v>
      </c>
      <c r="F131" s="81">
        <f t="shared" si="19"/>
        <v>-3894.9403322048665</v>
      </c>
      <c r="G131" s="81">
        <f t="shared" si="19"/>
        <v>-3706.3249835115098</v>
      </c>
      <c r="H131" s="81">
        <f t="shared" si="19"/>
        <v>-3506.8642522682871</v>
      </c>
      <c r="I131" s="81">
        <f t="shared" si="19"/>
        <v>-3295.9345289785779</v>
      </c>
      <c r="J131" s="81">
        <f t="shared" si="19"/>
        <v>-3072.8763465997108</v>
      </c>
      <c r="K131" s="81">
        <f t="shared" si="19"/>
        <v>-2836.9923187340596</v>
      </c>
      <c r="L131" s="81">
        <f t="shared" si="19"/>
        <v>-2587.544959266133</v>
      </c>
      <c r="M131" s="81">
        <f t="shared" si="19"/>
        <v>-2323.7543766288004</v>
      </c>
      <c r="N131" s="81">
        <f t="shared" si="19"/>
        <v>-2044.7958354898215</v>
      </c>
      <c r="O131" s="81">
        <f t="shared" si="19"/>
        <v>-1749.7971782353509</v>
      </c>
      <c r="P131" s="81">
        <f t="shared" si="19"/>
        <v>-1437.8360981887486</v>
      </c>
      <c r="Q131" s="81">
        <f t="shared" si="19"/>
        <v>-1107.9372560394668</v>
      </c>
      <c r="R131" s="81">
        <f t="shared" si="19"/>
        <v>-759.06923046660097</v>
      </c>
      <c r="S131" s="81">
        <f t="shared" si="19"/>
        <v>-390.14129342329551</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-3101.9072660023485</v>
      </c>
      <c r="F132" s="81">
        <f t="shared" si="20"/>
        <v>-3280.2669337974839</v>
      </c>
      <c r="G132" s="81">
        <f t="shared" si="20"/>
        <v>-3468.8822824908393</v>
      </c>
      <c r="H132" s="81">
        <f t="shared" si="20"/>
        <v>-3668.3430137340624</v>
      </c>
      <c r="I132" s="81">
        <f t="shared" si="20"/>
        <v>-3879.2727370237708</v>
      </c>
      <c r="J132" s="81">
        <f t="shared" si="20"/>
        <v>-4102.3309194026378</v>
      </c>
      <c r="K132" s="81">
        <f t="shared" si="20"/>
        <v>-4338.2149472682895</v>
      </c>
      <c r="L132" s="81">
        <f t="shared" si="20"/>
        <v>-4587.6623067362161</v>
      </c>
      <c r="M132" s="81">
        <f t="shared" si="20"/>
        <v>-4851.4528893735478</v>
      </c>
      <c r="N132" s="81">
        <f t="shared" si="20"/>
        <v>-5130.4114305125267</v>
      </c>
      <c r="O132" s="81">
        <f t="shared" si="20"/>
        <v>-5425.410087766998</v>
      </c>
      <c r="P132" s="81">
        <f t="shared" si="20"/>
        <v>-5737.3711678135996</v>
      </c>
      <c r="Q132" s="81">
        <f t="shared" si="20"/>
        <v>-6067.2700099628828</v>
      </c>
      <c r="R132" s="81">
        <f t="shared" si="20"/>
        <v>-6416.1380355357478</v>
      </c>
      <c r="S132" s="81">
        <f t="shared" si="20"/>
        <v>-6785.0659725790538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-7175.2072660023487</v>
      </c>
      <c r="F133" s="90">
        <f t="shared" ref="F133:AR133" si="21">SUM(F131,F132)</f>
        <v>-7175.2072660023505</v>
      </c>
      <c r="G133" s="90">
        <f t="shared" si="21"/>
        <v>-7175.2072660023496</v>
      </c>
      <c r="H133" s="90">
        <f t="shared" si="21"/>
        <v>-7175.2072660023496</v>
      </c>
      <c r="I133" s="90">
        <f t="shared" si="21"/>
        <v>-7175.2072660023487</v>
      </c>
      <c r="J133" s="90">
        <f t="shared" si="21"/>
        <v>-7175.2072660023487</v>
      </c>
      <c r="K133" s="90">
        <f t="shared" si="21"/>
        <v>-7175.2072660023496</v>
      </c>
      <c r="L133" s="90">
        <f t="shared" si="21"/>
        <v>-7175.2072660023496</v>
      </c>
      <c r="M133" s="90">
        <f t="shared" si="21"/>
        <v>-7175.2072660023478</v>
      </c>
      <c r="N133" s="90">
        <f t="shared" si="21"/>
        <v>-7175.2072660023478</v>
      </c>
      <c r="O133" s="90">
        <f t="shared" si="21"/>
        <v>-7175.2072660023487</v>
      </c>
      <c r="P133" s="90">
        <f t="shared" si="21"/>
        <v>-7175.2072660023478</v>
      </c>
      <c r="Q133" s="90">
        <f t="shared" si="21"/>
        <v>-7175.2072660023496</v>
      </c>
      <c r="R133" s="90">
        <f t="shared" si="21"/>
        <v>-7175.2072660023487</v>
      </c>
      <c r="S133" s="90">
        <f t="shared" si="21"/>
        <v>-7175.2072660023496</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-15220.366666666665</v>
      </c>
      <c r="F135" s="95">
        <f t="shared" ref="F135:AR135" si="22">F128+F130+F131</f>
        <v>-15130.014998871535</v>
      </c>
      <c r="G135" s="95">
        <f t="shared" si="22"/>
        <v>-15031.167810178176</v>
      </c>
      <c r="H135" s="95">
        <f t="shared" si="22"/>
        <v>-14923.270602134953</v>
      </c>
      <c r="I135" s="95">
        <f t="shared" si="22"/>
        <v>-14805.735672509243</v>
      </c>
      <c r="J135" s="95">
        <f t="shared" si="22"/>
        <v>-14677.940179667658</v>
      </c>
      <c r="K135" s="95">
        <f t="shared" si="22"/>
        <v>-14539.224095130032</v>
      </c>
      <c r="L135" s="95">
        <f t="shared" si="22"/>
        <v>-14388.888037856692</v>
      </c>
      <c r="M135" s="95">
        <f t="shared" si="22"/>
        <v>-14226.190983457836</v>
      </c>
      <c r="N135" s="95">
        <f t="shared" si="22"/>
        <v>-14050.347841122104</v>
      </c>
      <c r="O135" s="95">
        <f t="shared" si="22"/>
        <v>-13860.526890646946</v>
      </c>
      <c r="P135" s="95">
        <f t="shared" si="22"/>
        <v>-16453.439265403209</v>
      </c>
      <c r="Q135" s="95">
        <f t="shared" si="22"/>
        <v>-13435.375115499159</v>
      </c>
      <c r="R135" s="95">
        <f t="shared" si="22"/>
        <v>-13198.122513782153</v>
      </c>
      <c r="S135" s="95">
        <f t="shared" si="22"/>
        <v>-12943.042309071825</v>
      </c>
      <c r="T135" s="95">
        <f t="shared" si="22"/>
        <v>8198.3569829014341</v>
      </c>
      <c r="U135" s="95">
        <f t="shared" si="22"/>
        <v>8362.3241225594647</v>
      </c>
      <c r="V135" s="95">
        <f t="shared" si="22"/>
        <v>8529.5706050106528</v>
      </c>
      <c r="W135" s="95">
        <f t="shared" si="22"/>
        <v>8700.1620171108661</v>
      </c>
      <c r="X135" s="95">
        <f t="shared" si="22"/>
        <v>8874.1652574530817</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2891.8696666666665</v>
      </c>
      <c r="F136" s="97">
        <f t="shared" si="23"/>
        <v>2874.7028497855918</v>
      </c>
      <c r="G136" s="97">
        <f t="shared" si="23"/>
        <v>2855.9218839338537</v>
      </c>
      <c r="H136" s="97">
        <f t="shared" si="23"/>
        <v>2835.4214144056409</v>
      </c>
      <c r="I136" s="97">
        <f t="shared" si="23"/>
        <v>2813.0897777767564</v>
      </c>
      <c r="J136" s="97">
        <f t="shared" si="23"/>
        <v>2788.8086341368548</v>
      </c>
      <c r="K136" s="97">
        <f t="shared" si="23"/>
        <v>2762.4525780747063</v>
      </c>
      <c r="L136" s="97">
        <f t="shared" si="23"/>
        <v>2733.8887271927715</v>
      </c>
      <c r="M136" s="97">
        <f t="shared" si="23"/>
        <v>2702.9762868569887</v>
      </c>
      <c r="N136" s="97">
        <f t="shared" si="23"/>
        <v>2669.5660898131996</v>
      </c>
      <c r="O136" s="97">
        <f t="shared" si="23"/>
        <v>2633.5001092229199</v>
      </c>
      <c r="P136" s="97">
        <f t="shared" si="23"/>
        <v>3126.1534604266099</v>
      </c>
      <c r="Q136" s="97">
        <f t="shared" si="23"/>
        <v>2552.7212719448403</v>
      </c>
      <c r="R136" s="97">
        <f t="shared" si="23"/>
        <v>2507.6432776186093</v>
      </c>
      <c r="S136" s="97">
        <f t="shared" si="23"/>
        <v>2459.1780387236468</v>
      </c>
      <c r="T136" s="97">
        <f t="shared" si="23"/>
        <v>-1557.6878267512725</v>
      </c>
      <c r="U136" s="97">
        <f t="shared" si="23"/>
        <v>-1588.8415832862984</v>
      </c>
      <c r="V136" s="97">
        <f t="shared" si="23"/>
        <v>-1620.6184149520241</v>
      </c>
      <c r="W136" s="97">
        <f t="shared" si="23"/>
        <v>-1653.0307832510646</v>
      </c>
      <c r="X136" s="97">
        <f t="shared" si="23"/>
        <v>-1686.0913989160856</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-8683.7375993356836</v>
      </c>
      <c r="F138" s="101">
        <f t="shared" si="24"/>
        <v>-8788.9124162167591</v>
      </c>
      <c r="G138" s="101">
        <f t="shared" si="24"/>
        <v>-8897.4615420684968</v>
      </c>
      <c r="H138" s="101">
        <f t="shared" si="24"/>
        <v>-9009.5255347967086</v>
      </c>
      <c r="I138" s="101">
        <f t="shared" si="24"/>
        <v>-9125.251965089592</v>
      </c>
      <c r="J138" s="101">
        <f t="shared" si="24"/>
        <v>-9244.795798266774</v>
      </c>
      <c r="K138" s="101">
        <f t="shared" si="24"/>
        <v>-9368.31979765695</v>
      </c>
      <c r="L138" s="101">
        <f t="shared" si="24"/>
        <v>-9495.9949507334677</v>
      </c>
      <c r="M138" s="101">
        <f t="shared" si="24"/>
        <v>-9628.0009193077276</v>
      </c>
      <c r="N138" s="101">
        <f t="shared" si="24"/>
        <v>-9764.5265151547646</v>
      </c>
      <c r="O138" s="101">
        <f t="shared" si="24"/>
        <v>-9905.770202524358</v>
      </c>
      <c r="P138" s="101">
        <f t="shared" si="24"/>
        <v>-12317.990306123531</v>
      </c>
      <c r="Q138" s="101">
        <f t="shared" si="24"/>
        <v>-10203.257186850533</v>
      </c>
      <c r="R138" s="101">
        <f t="shared" si="24"/>
        <v>-10359.950605032624</v>
      </c>
      <c r="S138" s="101">
        <f t="shared" si="24"/>
        <v>-10522.263576260564</v>
      </c>
      <c r="T138" s="101">
        <f t="shared" si="24"/>
        <v>6640.6691561501611</v>
      </c>
      <c r="U138" s="101">
        <f t="shared" si="24"/>
        <v>6773.4825392731664</v>
      </c>
      <c r="V138" s="101">
        <f t="shared" si="24"/>
        <v>6908.9521900586287</v>
      </c>
      <c r="W138" s="101">
        <f t="shared" si="24"/>
        <v>7047.1312338598018</v>
      </c>
      <c r="X138" s="101">
        <f t="shared" si="24"/>
        <v>7188.0738585369963</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-101200</v>
      </c>
      <c r="E139" s="106">
        <f>E128+E136</f>
        <v>-1508.5303333333331</v>
      </c>
      <c r="F139" s="106">
        <f t="shared" ref="F139:AR139" si="25">F128+F136</f>
        <v>-1613.7051502144077</v>
      </c>
      <c r="G139" s="106">
        <f t="shared" si="25"/>
        <v>-1722.2542760661463</v>
      </c>
      <c r="H139" s="106">
        <f t="shared" si="25"/>
        <v>-1834.3182687943586</v>
      </c>
      <c r="I139" s="106">
        <f t="shared" si="25"/>
        <v>-1950.0446990872429</v>
      </c>
      <c r="J139" s="106">
        <f t="shared" si="25"/>
        <v>-2069.5885322644249</v>
      </c>
      <c r="K139" s="106">
        <f t="shared" si="25"/>
        <v>-2193.1125316545995</v>
      </c>
      <c r="L139" s="106">
        <f t="shared" si="25"/>
        <v>-2320.787684731119</v>
      </c>
      <c r="M139" s="106">
        <f t="shared" si="25"/>
        <v>-2452.7936533053798</v>
      </c>
      <c r="N139" s="106">
        <f t="shared" si="25"/>
        <v>-2589.3192491524164</v>
      </c>
      <c r="O139" s="106">
        <f t="shared" si="25"/>
        <v>-2730.5629365220088</v>
      </c>
      <c r="P139" s="106">
        <f t="shared" si="25"/>
        <v>-5142.7830401211841</v>
      </c>
      <c r="Q139" s="106">
        <f t="shared" si="25"/>
        <v>-3028.0499208481838</v>
      </c>
      <c r="R139" s="106">
        <f t="shared" si="25"/>
        <v>-3184.7433390302749</v>
      </c>
      <c r="S139" s="106">
        <f t="shared" si="25"/>
        <v>-3347.0563102582155</v>
      </c>
      <c r="T139" s="106">
        <f t="shared" si="25"/>
        <v>6640.6691561501611</v>
      </c>
      <c r="U139" s="106">
        <f t="shared" si="25"/>
        <v>6773.4825392731664</v>
      </c>
      <c r="V139" s="106">
        <f t="shared" si="25"/>
        <v>6908.9521900586287</v>
      </c>
      <c r="W139" s="106">
        <f t="shared" si="25"/>
        <v>7047.1312338598018</v>
      </c>
      <c r="X139" s="106">
        <f t="shared" si="25"/>
        <v>7188.0738585369963</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-30360</v>
      </c>
      <c r="E140" s="106">
        <f>E138</f>
        <v>-8683.7375993356836</v>
      </c>
      <c r="F140" s="106">
        <f t="shared" ref="F140:AR140" si="26">F138</f>
        <v>-8788.9124162167591</v>
      </c>
      <c r="G140" s="106">
        <f t="shared" si="26"/>
        <v>-8897.4615420684968</v>
      </c>
      <c r="H140" s="106">
        <f t="shared" si="26"/>
        <v>-9009.5255347967086</v>
      </c>
      <c r="I140" s="106">
        <f t="shared" si="26"/>
        <v>-9125.251965089592</v>
      </c>
      <c r="J140" s="106">
        <f t="shared" si="26"/>
        <v>-9244.795798266774</v>
      </c>
      <c r="K140" s="106">
        <f t="shared" si="26"/>
        <v>-9368.31979765695</v>
      </c>
      <c r="L140" s="106">
        <f t="shared" si="26"/>
        <v>-9495.9949507334677</v>
      </c>
      <c r="M140" s="106">
        <f t="shared" si="26"/>
        <v>-9628.0009193077276</v>
      </c>
      <c r="N140" s="106">
        <f t="shared" si="26"/>
        <v>-9764.5265151547646</v>
      </c>
      <c r="O140" s="106">
        <f t="shared" si="26"/>
        <v>-9905.770202524358</v>
      </c>
      <c r="P140" s="106">
        <f t="shared" si="26"/>
        <v>-12317.990306123531</v>
      </c>
      <c r="Q140" s="106">
        <f t="shared" si="26"/>
        <v>-10203.257186850533</v>
      </c>
      <c r="R140" s="106">
        <f t="shared" si="26"/>
        <v>-10359.950605032624</v>
      </c>
      <c r="S140" s="106">
        <f t="shared" si="26"/>
        <v>-10522.263576260564</v>
      </c>
      <c r="T140" s="106">
        <f t="shared" si="26"/>
        <v>6640.6691561501611</v>
      </c>
      <c r="U140" s="106">
        <f t="shared" si="26"/>
        <v>6773.4825392731664</v>
      </c>
      <c r="V140" s="106">
        <f t="shared" si="26"/>
        <v>6908.9521900586287</v>
      </c>
      <c r="W140" s="106">
        <f t="shared" si="26"/>
        <v>7047.1312338598018</v>
      </c>
      <c r="X140" s="106">
        <f t="shared" si="26"/>
        <v>7188.0738585369963</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126000</v>
      </c>
      <c r="F141" s="108">
        <f t="shared" si="27"/>
        <v>126000</v>
      </c>
      <c r="G141" s="108">
        <f t="shared" si="27"/>
        <v>126000</v>
      </c>
      <c r="H141" s="108">
        <f t="shared" si="27"/>
        <v>126000</v>
      </c>
      <c r="I141" s="108">
        <f t="shared" si="27"/>
        <v>126000</v>
      </c>
      <c r="J141" s="108">
        <f t="shared" si="27"/>
        <v>126000</v>
      </c>
      <c r="K141" s="108">
        <f t="shared" si="27"/>
        <v>126000</v>
      </c>
      <c r="L141" s="108">
        <f t="shared" si="27"/>
        <v>126000</v>
      </c>
      <c r="M141" s="108">
        <f t="shared" si="27"/>
        <v>126000</v>
      </c>
      <c r="N141" s="108">
        <f t="shared" si="27"/>
        <v>126000</v>
      </c>
      <c r="O141" s="108">
        <f t="shared" si="27"/>
        <v>126000</v>
      </c>
      <c r="P141" s="108">
        <f t="shared" si="27"/>
        <v>126000</v>
      </c>
      <c r="Q141" s="108">
        <f t="shared" si="27"/>
        <v>126000</v>
      </c>
      <c r="R141" s="108">
        <f t="shared" si="27"/>
        <v>126000</v>
      </c>
      <c r="S141" s="108">
        <f t="shared" si="27"/>
        <v>126000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101200</v>
      </c>
      <c r="E142" s="124">
        <f>D142-($C$5*E114+E128+E131)</f>
        <v>95939.7</v>
      </c>
      <c r="F142" s="124">
        <f t="shared" ref="F142:AR142" si="28">E142-($C$5*F114+F128+F131)</f>
        <v>90589.048332204868</v>
      </c>
      <c r="G142" s="124">
        <f t="shared" si="28"/>
        <v>85139.549475716369</v>
      </c>
      <c r="H142" s="124">
        <f t="shared" si="28"/>
        <v>79582.153411184656</v>
      </c>
      <c r="I142" s="124">
        <f t="shared" si="28"/>
        <v>73907.222417027238</v>
      </c>
      <c r="J142" s="124">
        <f t="shared" si="28"/>
        <v>68104.495930028235</v>
      </c>
      <c r="K142" s="124">
        <f t="shared" si="28"/>
        <v>62163.053358491597</v>
      </c>
      <c r="L142" s="124">
        <f t="shared" si="28"/>
        <v>56071.274729681623</v>
      </c>
      <c r="M142" s="124">
        <f t="shared" si="28"/>
        <v>49816.799046472792</v>
      </c>
      <c r="N142" s="124">
        <f t="shared" si="28"/>
        <v>43386.480220928228</v>
      </c>
      <c r="O142" s="124">
        <f t="shared" si="28"/>
        <v>36766.340444908506</v>
      </c>
      <c r="P142" s="124">
        <f t="shared" si="28"/>
        <v>32739.113043645048</v>
      </c>
      <c r="Q142" s="124">
        <f t="shared" si="28"/>
        <v>25693.821492477538</v>
      </c>
      <c r="R142" s="124">
        <f t="shared" si="28"/>
        <v>18411.277339593023</v>
      </c>
      <c r="S142" s="124">
        <f t="shared" si="28"/>
        <v>10873.652981998181</v>
      </c>
      <c r="T142" s="124">
        <f t="shared" si="28"/>
        <v>-10159.454000903253</v>
      </c>
      <c r="U142" s="124">
        <f t="shared" si="28"/>
        <v>-31356.528123462718</v>
      </c>
      <c r="V142" s="124">
        <f t="shared" si="28"/>
        <v>-52720.848728473371</v>
      </c>
      <c r="W142" s="124">
        <f t="shared" si="28"/>
        <v>-74255.760745584237</v>
      </c>
      <c r="X142" s="124">
        <f t="shared" si="28"/>
        <v>-95964.676003037312</v>
      </c>
      <c r="Y142" s="124">
        <f t="shared" si="28"/>
        <v>-95964.676003037312</v>
      </c>
      <c r="Z142" s="124">
        <f t="shared" si="28"/>
        <v>-95964.676003037312</v>
      </c>
      <c r="AA142" s="124">
        <f t="shared" si="28"/>
        <v>-95964.676003037312</v>
      </c>
      <c r="AB142" s="124">
        <f t="shared" si="28"/>
        <v>-95964.676003037312</v>
      </c>
      <c r="AC142" s="124">
        <f t="shared" si="28"/>
        <v>-95964.676003037312</v>
      </c>
      <c r="AD142" s="124">
        <f t="shared" si="28"/>
        <v>-95964.676003037312</v>
      </c>
      <c r="AE142" s="124">
        <f t="shared" si="28"/>
        <v>-95964.676003037312</v>
      </c>
      <c r="AF142" s="124">
        <f t="shared" si="28"/>
        <v>-95964.676003037312</v>
      </c>
      <c r="AG142" s="124">
        <f t="shared" si="28"/>
        <v>-95964.676003037312</v>
      </c>
      <c r="AH142" s="124">
        <f t="shared" si="28"/>
        <v>-95964.676003037312</v>
      </c>
      <c r="AI142" s="124">
        <f t="shared" si="28"/>
        <v>-95964.676003037312</v>
      </c>
      <c r="AJ142" s="124">
        <f t="shared" si="28"/>
        <v>-95964.676003037312</v>
      </c>
      <c r="AK142" s="124">
        <f t="shared" si="28"/>
        <v>-95964.676003037312</v>
      </c>
      <c r="AL142" s="124">
        <f t="shared" si="28"/>
        <v>-95964.676003037312</v>
      </c>
      <c r="AM142" s="124">
        <f t="shared" si="28"/>
        <v>-95964.676003037312</v>
      </c>
      <c r="AN142" s="124">
        <f t="shared" si="28"/>
        <v>-95964.676003037312</v>
      </c>
      <c r="AO142" s="124">
        <f t="shared" si="28"/>
        <v>-95964.676003037312</v>
      </c>
      <c r="AP142" s="124">
        <f t="shared" si="28"/>
        <v>-95964.676003037312</v>
      </c>
      <c r="AQ142" s="124">
        <f t="shared" si="28"/>
        <v>-95964.676003037312</v>
      </c>
      <c r="AR142" s="124">
        <f t="shared" si="28"/>
        <v>-95964.676003037312</v>
      </c>
    </row>
    <row r="143" spans="1:45" x14ac:dyDescent="0.2">
      <c r="B143" s="5" t="s">
        <v>350</v>
      </c>
      <c r="C143" s="195"/>
      <c r="D143" s="196"/>
      <c r="E143" s="197">
        <f>IF(E108&gt;$C$92,"",(-$C$89*(E135+$C$5*E114)+E128+$C$5*E114)/-E133)</f>
        <v>1.3401716926324005</v>
      </c>
      <c r="F143" s="197">
        <f>IF(F108&gt;$C$92,"",(-$C$89*(F135+$C$5*F114)+F128+$C$5*F114)/-F133)</f>
        <v>1.3255136050006442</v>
      </c>
      <c r="G143" s="197">
        <f>IF(G108&gt;$C$92,"",(-$C$89*(G135+$C$5*G114)+G128+$C$5*G114)/-G133)</f>
        <v>1.3103852439892396</v>
      </c>
      <c r="H143" s="197">
        <f>IF(H108&gt;$C$92,"",(-$C$89*(H135+$C$5*H114)+H128+$C$5*H114)/-H133)</f>
        <v>1.2947670202120403</v>
      </c>
      <c r="I143" s="197">
        <f t="shared" ref="I143:AR143" si="29">IF(I108&gt;$C$92,"",(-$C$89*(I135+$C$5*I114)+I128+$C$5*I114)/-I133)</f>
        <v>1.27863836691986</v>
      </c>
      <c r="J143" s="197">
        <f t="shared" si="29"/>
        <v>1.2619776867826318</v>
      </c>
      <c r="K143" s="197">
        <f t="shared" si="29"/>
        <v>1.2447622956711499</v>
      </c>
      <c r="L143" s="197">
        <f t="shared" si="29"/>
        <v>1.2269683632670685</v>
      </c>
      <c r="M143" s="197">
        <f t="shared" si="29"/>
        <v>1.208570850319989</v>
      </c>
      <c r="N143" s="197">
        <f t="shared" si="29"/>
        <v>1.189543442360093</v>
      </c>
      <c r="O143" s="197">
        <f t="shared" si="29"/>
        <v>1.1698584796637765</v>
      </c>
      <c r="P143" s="197">
        <f t="shared" si="29"/>
        <v>0.83367026736936889</v>
      </c>
      <c r="Q143" s="197">
        <f t="shared" si="29"/>
        <v>1.1283980767377548</v>
      </c>
      <c r="R143" s="197">
        <f t="shared" si="29"/>
        <v>1.106559903654653</v>
      </c>
      <c r="S143" s="197">
        <f t="shared" si="29"/>
        <v>1.0839385402277015</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-84664.216479987997</v>
      </c>
    </row>
    <row r="147" spans="2:45" x14ac:dyDescent="0.2">
      <c r="B147" s="79" t="s">
        <v>354</v>
      </c>
      <c r="C147" s="216" t="str">
        <f>$C$9</f>
        <v>kWh</v>
      </c>
      <c r="D147" s="126">
        <f>(1-$C$89)*NPV($C$86,E141:AR141)</f>
        <v>1059347.8993767111</v>
      </c>
      <c r="E147" s="131"/>
      <c r="F147" s="127"/>
    </row>
    <row r="148" spans="2:45" x14ac:dyDescent="0.2">
      <c r="B148" s="79" t="s">
        <v>355</v>
      </c>
      <c r="C148" s="80" t="s">
        <v>288</v>
      </c>
      <c r="D148" s="126">
        <f>$C$48*1000000</f>
        <v>101200</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1.2002482556538916</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4.8% / 2.7%</v>
      </c>
      <c r="E150" s="131"/>
      <c r="F150" s="127"/>
      <c r="G150" s="112"/>
    </row>
    <row r="151" spans="2:45" x14ac:dyDescent="0.2">
      <c r="B151" s="79" t="s">
        <v>358</v>
      </c>
      <c r="C151" s="80"/>
      <c r="D151" s="132">
        <f>IFERROR(IRR(D139:AR139),"n.v.t.")</f>
        <v>-9.2401270916283362E-2</v>
      </c>
      <c r="E151" s="131"/>
      <c r="F151" s="128"/>
      <c r="G151" s="112"/>
    </row>
    <row r="152" spans="2:45" x14ac:dyDescent="0.2">
      <c r="B152" s="79" t="s">
        <v>359</v>
      </c>
      <c r="C152" s="80"/>
      <c r="D152" s="132" t="str">
        <f>IFERROR(IRR(D140:AR140),"n.v.t.")</f>
        <v>n.v.t.</v>
      </c>
      <c r="G152" s="112"/>
    </row>
    <row r="153" spans="2:45" x14ac:dyDescent="0.2">
      <c r="B153" s="133" t="s">
        <v>360</v>
      </c>
      <c r="C153" s="80" t="s">
        <v>288</v>
      </c>
      <c r="D153" s="126">
        <f>D148*$C$87-C81</f>
        <v>70840</v>
      </c>
      <c r="F153" s="134"/>
    </row>
    <row r="154" spans="2:45" x14ac:dyDescent="0.2">
      <c r="B154" s="135" t="s">
        <v>361</v>
      </c>
      <c r="C154" s="80" t="s">
        <v>288</v>
      </c>
      <c r="D154" s="126">
        <f>$C$88*D148-C82</f>
        <v>30360</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840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t="str">
        <f>IF(OR($C12=25,$C12=24,$C12=23),ROUND((VLOOKUP(1,Correctiebedragen!$A$3:$J$66,8)+$D155*VLOOKUP($C12-9,Correctiebedragen!$A$3:$J$66,8))/(1+$D155),decimalen),IF(C16&gt;0,"netlevering: " &amp; C161 &amp; ", niet-netlevering: " &amp; C162,ROUND(VLOOKUP($C12,Correctiebedragen!$A$3:$J$66,8),decimalen)))</f>
        <v>netlevering: 0.048, niet-netlevering: 0.082</v>
      </c>
      <c r="D160"/>
    </row>
    <row r="161" spans="2:20" x14ac:dyDescent="0.2">
      <c r="B161" s="248" t="s">
        <v>366</v>
      </c>
      <c r="C161" s="246">
        <f>IFERROR(ROUND(INDEX(Correctiebedragen!$A$1:$K$256,MATCH('2'!C16,Correctiebedragen!$A$1:$A$256,0),8),decimalen),"n.v.t.")</f>
        <v>4.8000000000000001E-2</v>
      </c>
    </row>
    <row r="162" spans="2:20" customFormat="1" ht="15" x14ac:dyDescent="0.25">
      <c r="B162" s="248" t="s">
        <v>367</v>
      </c>
      <c r="C162" s="250">
        <f>IFERROR(ROUND(INDEX(Correctiebedragen!$A$1:$K$256,MATCH('2'!C17,Correctiebedragen!$A$1:$A$256,0),8),decimalen),"n.v.t.")</f>
        <v>8.2000000000000003E-2</v>
      </c>
    </row>
    <row r="163" spans="2:20" customFormat="1" ht="15" x14ac:dyDescent="0.25">
      <c r="B163" s="248" t="str">
        <f>"Voorlopig correctiebedrag "&amp;Colofon!$B$21</f>
        <v>Voorlopig correctiebedrag 2024</v>
      </c>
      <c r="C163" s="270" t="str">
        <f>IF(OR($C12=25,$C12=24,$C12=23),ROUND((VLOOKUP(1,Correctiebedragen!$A$3:$J$66,4)+$D155*VLOOKUP($C12-9,Correctiebedragen!$A$3:$J$66,4))/(1+$D155),decimalen),IF(C16&gt;0,"netlevering: " &amp; C164 &amp; ", niet-netlevering: " &amp; C165,ROUND(VLOOKUP($C12,Correctiebedragen!$A$3:$J$66,4),decimalen)))</f>
        <v>netlevering: 0.122, niet-netlevering: 0.153</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f>IFERROR(ROUND(INDEX(Correctiebedragen!$A$1:$K$256,MATCH('2'!C16,Correctiebedragen!$A$1:$A$256,0),4),decimalen),"n.v.t.")</f>
        <v>0.122</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384">
        <f>IFERROR(ROUND(INDEX(Correctiebedragen!$A$1:$K$256,MATCH('2'!C17,Correctiebedragen!$A$1:$A$256,0),4),decimalen),"n.v.t.")</f>
        <v>0.153</v>
      </c>
    </row>
    <row r="166" spans="2:20" customFormat="1" ht="15" x14ac:dyDescent="0.25">
      <c r="B166" s="248" t="str">
        <f>"Voorlopig correctiebedrag "&amp;Colofon!$B$21&amp;" excl. negatieve uurblokken elektriciteit (NUE)"</f>
        <v>Voorlopig correctiebedrag 2024 excl. negatieve uurblokken elektriciteit (NUE)</v>
      </c>
      <c r="C166" s="250" t="str">
        <f>IF(OR($C12=25,$C12=24,$C12=23),ROUND((VLOOKUP(1,Correctiebedragen!$A$3:$J$66,4)+$D155*VLOOKUP($C12-9,Correctiebedragen!$A$3:$J$66,4))/(1+$D155),decimalen),IF(C16&gt;0,"netlevering: " &amp; C167 &amp; ", niet-netlevering: " &amp; C168,ROUND(VLOOKUP($C12,Correctiebedragen!$A$3:$J$66,6),decimalen)))</f>
        <v>netlevering: 0.128, niet-netlevering: 0.159</v>
      </c>
    </row>
    <row r="167" spans="2:20" customFormat="1" ht="15" x14ac:dyDescent="0.25">
      <c r="B167" s="248" t="str">
        <f>"Voorlopig correctiebedrag "&amp;Colofon!$B$21&amp;" netlevering excl. NUE"</f>
        <v>Voorlopig correctiebedrag 2024 netlevering excl. NUE</v>
      </c>
      <c r="C167" s="250">
        <f>IFERROR(ROUND(INDEX(Correctiebedragen!$A$1:$K$256,MATCH('2'!C16,Correctiebedragen!$A$1:$A$256,0),6),decimalen),"n.v.t.")</f>
        <v>0.128</v>
      </c>
    </row>
    <row r="168" spans="2:20" customFormat="1" ht="15" x14ac:dyDescent="0.25">
      <c r="B168" s="248" t="str">
        <f>"Voorlopig correctiebedrag "&amp;Colofon!$B$21&amp;" niet-netlevering excl. NUE"</f>
        <v>Voorlopig correctiebedrag 2024 niet-netlevering excl. NUE</v>
      </c>
      <c r="C168" s="250">
        <f>IFERROR(ROUND(INDEX(Correctiebedragen!$A$1:$K$256,MATCH('2'!C17,Correctiebedragen!$A$1:$A$256,0),6),decimalen),"n.v.t.")</f>
        <v>0.159</v>
      </c>
    </row>
    <row r="169" spans="2:20" customFormat="1" ht="15" x14ac:dyDescent="0.25">
      <c r="B169" s="249" t="str">
        <f>"Voorlopige GvO-waarde "&amp;Colofon!$B$21</f>
        <v>Voorlopige GvO-waarde 2024</v>
      </c>
      <c r="C169" s="250" t="str">
        <f>IF(C16&gt;0,"netlevering: " &amp; C170 &amp; ", niet-netlevering: " &amp;C171, INDEX(Correctiebedragen!$A$1:$Q$256,MATCH(C12,Correctiebedragen!$A$1:$A$256,0),12))</f>
        <v>netlevering: 0.004, niet-netlevering: 0</v>
      </c>
    </row>
    <row r="170" spans="2:20" customFormat="1" ht="15" x14ac:dyDescent="0.25">
      <c r="B170" s="249" t="str">
        <f>"Voorlopige GvO-waarde "&amp;Colofon!$B$21&amp;" netlevering"</f>
        <v>Voorlopige GvO-waarde 2024 netlevering</v>
      </c>
      <c r="C170" s="250">
        <f>IFERROR(ROUND(INDEX(Correctiebedragen!$A$1:$Q$256,MATCH(C16,Correctiebedragen!$A$1:$A$256,0),12),decimalen),"n.v.t.")</f>
        <v>4.0000000000000001E-3</v>
      </c>
    </row>
    <row r="171" spans="2:20" customFormat="1" ht="15" x14ac:dyDescent="0.25">
      <c r="B171" s="249" t="str">
        <f>"Voorlopige GvO-waarde "&amp;Colofon!$B$21&amp;" niet-netlevering"</f>
        <v>Voorlopige GvO-waarde 2024 niet-netlevering</v>
      </c>
      <c r="C171" s="250">
        <f>IFERROR(ROUND(INDEX(Correctiebedragen!$A$1:$Q$256,MATCH(C17,Correctiebedragen!$A$1:$A$256,0),12),decimalen),"n.v.t.")</f>
        <v>0</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1890000</v>
      </c>
      <c r="E174" s="28"/>
    </row>
    <row r="175" spans="2:20" customFormat="1" ht="26.25" x14ac:dyDescent="0.25">
      <c r="B175" s="256" t="s">
        <v>370</v>
      </c>
      <c r="C175" s="271">
        <f>IF(C95=0,SUM(E114:INDEX(E114:AR114,1,C91)),SUM(E114:INDEX(E114:AR114,1,C95)))</f>
        <v>2478750</v>
      </c>
      <c r="D175" s="257"/>
    </row>
    <row r="176" spans="2:20" customFormat="1" ht="15" x14ac:dyDescent="0.25">
      <c r="B176" s="251" t="s">
        <v>51</v>
      </c>
      <c r="C176" s="269">
        <f>C175/C174</f>
        <v>1.3115079365079365</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89" priority="5" operator="containsText" text="Pas op">
      <formula>NOT(ISERROR(SEARCH("Pas op",G1)))</formula>
    </cfRule>
  </conditionalFormatting>
  <conditionalFormatting sqref="G186">
    <cfRule type="containsText" dxfId="88" priority="4" operator="containsText" text="Pas op">
      <formula>NOT(ISERROR(SEARCH("Pas op",G186)))</formula>
    </cfRule>
  </conditionalFormatting>
  <conditionalFormatting sqref="G162 G165 G169:G170">
    <cfRule type="containsText" dxfId="87" priority="3" operator="containsText" text="Pas op">
      <formula>NOT(ISERROR(SEARCH("Pas op",G162)))</formula>
    </cfRule>
  </conditionalFormatting>
  <conditionalFormatting sqref="G100">
    <cfRule type="containsText" dxfId="86" priority="2" operator="containsText" text="Pas op">
      <formula>NOT(ISERROR(SEARCH("Pas op",G100)))</formula>
    </cfRule>
  </conditionalFormatting>
  <conditionalFormatting sqref="G166:G168">
    <cfRule type="containsText" dxfId="85" priority="1" operator="containsText" text="Pas op">
      <formula>NOT(ISERROR(SEARCH("Pas op",G166)))</formula>
    </cfRule>
  </conditionalFormatting>
  <dataValidations count="3">
    <dataValidation type="list" allowBlank="1" showInputMessage="1" showErrorMessage="1" sqref="C10" xr:uid="{B1177E2D-55C9-4025-AFF5-77AB84901AF1}">
      <formula1>INDIRECT("lst_vermogenseenheid")</formula1>
    </dataValidation>
    <dataValidation type="list" allowBlank="1" showInputMessage="1" showErrorMessage="1" sqref="C9" xr:uid="{97CFB630-5588-40A8-A742-773C22040918}">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F697CD23-53FF-423B-9EA2-1C0002C66535}">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17A745C-969F-4BDB-AAD1-ABED35B58E9A}">
          <x14:formula1>
            <xm:f>'ETS correctie methodes'!$B$4:$B$14</xm:f>
          </x14:formula1>
          <xm:sqref>C13</xm:sqref>
        </x14:dataValidation>
        <x14:dataValidation type="list" allowBlank="1" showInputMessage="1" showErrorMessage="1" xr:uid="{E2576BF2-5AFA-4BE8-A2D5-FE6AC7181372}">
          <x14:formula1>
            <xm:f>Colofon!$A$51:$A$56</xm:f>
          </x14:formula1>
          <xm:sqref>C11</xm:sqref>
        </x14:dataValidation>
        <x14:dataValidation type="list" allowBlank="1" showInputMessage="1" showErrorMessage="1" xr:uid="{8701C797-CE7F-465E-91D1-7575657A1649}">
          <x14:formula1>
            <xm:f>Correctiebedragen!$A$3:$A$7</xm:f>
          </x14:formula1>
          <xm:sqref>C12 C16:C17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9A8C-9F1B-402B-A2F5-32EDD3E4F1B8}">
  <sheetPr codeName="Sheet94">
    <tabColor theme="7"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372</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8.1000000000000003E-2</v>
      </c>
      <c r="D5" s="113" t="str">
        <f>CONCATENATE("Euro/",$C$9)</f>
        <v>Euro/kWh</v>
      </c>
      <c r="E5" s="424"/>
      <c r="F5" s="425"/>
      <c r="G5" s="425"/>
      <c r="H5" s="425"/>
      <c r="I5" s="425"/>
      <c r="J5" s="425"/>
      <c r="K5" s="425"/>
      <c r="L5" s="425"/>
      <c r="M5" s="426"/>
      <c r="N5" s="26"/>
    </row>
    <row r="6" spans="1:14" x14ac:dyDescent="0.2">
      <c r="B6" s="4" t="s">
        <v>203</v>
      </c>
      <c r="C6" s="114">
        <f>ROUND((C5-C7)/C8*1000,0)</f>
        <v>184</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6.8000000000000005E-2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7.0800000000000002E-2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6</v>
      </c>
      <c r="D12" s="296"/>
      <c r="E12" s="424" t="str">
        <f>"Correctiebedrag = "&amp;IFERROR(INDEX(Correctiebedragen!$A$1:$M$256,MATCH('3'!C12,Correctiebedragen!$A$1:$A$256,0),9),"")</f>
        <v>Correctiebedrag = 2/3 x LT_e x LT_PIF_PV</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v>6</v>
      </c>
      <c r="D16" s="31"/>
      <c r="E16" s="419" t="str">
        <f>IFERROR(INDEX(Correctiebedragen!$A$1:$M$256,MATCH('3'!C16,Correctiebedragen!$A$1:$A$256,0),9),"")</f>
        <v>2/3 x LT_e x LT_PIF_PV</v>
      </c>
      <c r="F16" s="420"/>
      <c r="G16" s="420"/>
      <c r="H16" s="420"/>
      <c r="I16" s="420"/>
      <c r="J16" s="420"/>
      <c r="K16" s="420"/>
      <c r="L16" s="420"/>
      <c r="M16" s="421"/>
      <c r="N16" s="243"/>
    </row>
    <row r="17" spans="2:14" x14ac:dyDescent="0.2">
      <c r="B17" s="6" t="s">
        <v>211</v>
      </c>
      <c r="C17" s="27">
        <v>8</v>
      </c>
      <c r="D17" s="31"/>
      <c r="E17" s="419" t="str">
        <f>IFERROR(INDEX(Correctiebedragen!$A$1:$M$256,MATCH('3'!C17,Correctiebedragen!$A$1:$A$256,0),9),"")</f>
        <v>2/3 x LT_e x LT_PIF_PV + EB3_e + ODE3_e</v>
      </c>
      <c r="F17" s="420"/>
      <c r="G17" s="420"/>
      <c r="H17" s="420"/>
      <c r="I17" s="420"/>
      <c r="J17" s="420"/>
      <c r="K17" s="420"/>
      <c r="L17" s="420"/>
      <c r="M17" s="421"/>
      <c r="N17" s="243"/>
    </row>
    <row r="18" spans="2:14" x14ac:dyDescent="0.2">
      <c r="B18" s="6" t="s">
        <v>212</v>
      </c>
      <c r="C18" s="186">
        <v>0.4</v>
      </c>
      <c r="D18" s="31"/>
      <c r="E18" s="419"/>
      <c r="F18" s="420"/>
      <c r="G18" s="420"/>
      <c r="H18" s="420"/>
      <c r="I18" s="420"/>
      <c r="J18" s="420"/>
      <c r="K18" s="420"/>
      <c r="L18" s="420"/>
      <c r="M18" s="421"/>
      <c r="N18" s="243"/>
    </row>
    <row r="19" spans="2:14" x14ac:dyDescent="0.2">
      <c r="B19" s="6" t="s">
        <v>213</v>
      </c>
      <c r="C19" s="186">
        <v>0.6</v>
      </c>
      <c r="D19" s="31"/>
      <c r="E19" s="419"/>
      <c r="F19" s="420"/>
      <c r="G19" s="420"/>
      <c r="H19" s="420"/>
      <c r="I19" s="420"/>
      <c r="J19" s="420"/>
      <c r="K19" s="420"/>
      <c r="L19" s="420"/>
      <c r="M19" s="421"/>
      <c r="N19" s="243"/>
    </row>
    <row r="20" spans="2:14" x14ac:dyDescent="0.2">
      <c r="B20" s="6" t="s">
        <v>49</v>
      </c>
      <c r="C20" s="260">
        <f>IFERROR(ROUND(INDEX(Correctiebedragen!$A$1:$K$7,MATCH('3'!C16,Correctiebedragen!$A$1:$A$7,0),8),decimalen),"n.v.t.")</f>
        <v>4.8000000000000001E-2</v>
      </c>
      <c r="D20" s="31"/>
      <c r="E20" s="419"/>
      <c r="F20" s="420"/>
      <c r="G20" s="420"/>
      <c r="H20" s="420"/>
      <c r="I20" s="420"/>
      <c r="J20" s="420"/>
      <c r="K20" s="420"/>
      <c r="L20" s="420"/>
      <c r="M20" s="421"/>
      <c r="N20" s="243"/>
    </row>
    <row r="21" spans="2:14" x14ac:dyDescent="0.2">
      <c r="B21" s="6" t="s">
        <v>50</v>
      </c>
      <c r="C21" s="260">
        <f>IFERROR(ROUND(INDEX(Correctiebedragen!$A$1:$K$7,MATCH('3'!C17,Correctiebedragen!$A$1:$A$7,0),8),decimalen),"n.v.t.")</f>
        <v>8.2000000000000003E-2</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2500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37">
        <v>2500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840</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559</v>
      </c>
      <c r="D47" s="32" t="str">
        <f>CONCATENATE("Euro/",$C$10)</f>
        <v>Euro/kW</v>
      </c>
    </row>
    <row r="48" spans="2:13" x14ac:dyDescent="0.2">
      <c r="B48" s="6" t="s">
        <v>245</v>
      </c>
      <c r="C48" s="44">
        <f>IF(C99&lt;&gt;0,((C30*C46+SUM(C35,C37)*C47)+C99)/1000000,((C30*C46+SUM(C35,C37)*C47)*(1+C98*C87))/1000000)</f>
        <v>1.40798125</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16.100000000000001</v>
      </c>
      <c r="D50" s="32" t="str">
        <f>CONCATENATE("Euro/",$C$10,"/jaar")</f>
        <v>Euro/kW/jaar</v>
      </c>
      <c r="E50" s="424"/>
      <c r="F50" s="425"/>
      <c r="G50" s="425"/>
      <c r="H50" s="425"/>
      <c r="I50" s="425"/>
      <c r="J50" s="425"/>
      <c r="K50" s="425"/>
      <c r="L50" s="425"/>
      <c r="M50" s="426"/>
    </row>
    <row r="51" spans="2:13" x14ac:dyDescent="0.2">
      <c r="B51" s="6" t="s">
        <v>249</v>
      </c>
      <c r="C51" s="46">
        <f>(C49*C30+C50*SUM(C35,C37))/1000</f>
        <v>40.25</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5.3999999999999999E-2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8.8900000000000007E-2</v>
      </c>
      <c r="D76" s="34" t="s">
        <v>282</v>
      </c>
      <c r="E76" s="299"/>
      <c r="F76" s="300"/>
      <c r="G76" s="300"/>
      <c r="H76" s="300"/>
      <c r="I76" s="300"/>
      <c r="J76" s="300"/>
      <c r="K76" s="300"/>
      <c r="L76" s="300"/>
      <c r="M76" s="301"/>
    </row>
    <row r="77" spans="2:13" x14ac:dyDescent="0.2">
      <c r="B77" s="6" t="s">
        <v>283</v>
      </c>
      <c r="C77" s="49">
        <v>785</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0.75</v>
      </c>
      <c r="D87" s="34"/>
      <c r="E87" s="419"/>
      <c r="F87" s="420"/>
      <c r="G87" s="420"/>
      <c r="H87" s="420"/>
      <c r="I87" s="420"/>
      <c r="J87" s="420"/>
      <c r="K87" s="420"/>
      <c r="L87" s="420"/>
      <c r="M87" s="421"/>
    </row>
    <row r="88" spans="2:15" x14ac:dyDescent="0.2">
      <c r="B88" s="6" t="s">
        <v>295</v>
      </c>
      <c r="C88" s="52">
        <v>0.25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v>12</v>
      </c>
      <c r="D97" s="179">
        <v>-35000</v>
      </c>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-1407981.25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2100000</v>
      </c>
      <c r="F111" s="78">
        <f t="shared" ref="F111:AR111" si="2">IF(F108&lt;=$C$94,$C$37*$C$39,IF(AND(F108&gt;$C$94,F108&lt;=$C$91),$C$37*$C$77,0))*IF($C$41=0,1,$C$42/$C$41)</f>
        <v>2100000</v>
      </c>
      <c r="G111" s="78">
        <f t="shared" si="2"/>
        <v>2100000</v>
      </c>
      <c r="H111" s="78">
        <f t="shared" si="2"/>
        <v>2100000</v>
      </c>
      <c r="I111" s="78">
        <f t="shared" si="2"/>
        <v>2100000</v>
      </c>
      <c r="J111" s="78">
        <f t="shared" si="2"/>
        <v>2100000</v>
      </c>
      <c r="K111" s="78">
        <f t="shared" si="2"/>
        <v>2100000</v>
      </c>
      <c r="L111" s="78">
        <f t="shared" si="2"/>
        <v>2100000</v>
      </c>
      <c r="M111" s="78">
        <f t="shared" si="2"/>
        <v>2100000</v>
      </c>
      <c r="N111" s="78">
        <f t="shared" si="2"/>
        <v>2100000</v>
      </c>
      <c r="O111" s="78">
        <f t="shared" si="2"/>
        <v>2100000</v>
      </c>
      <c r="P111" s="78">
        <f t="shared" si="2"/>
        <v>2100000</v>
      </c>
      <c r="Q111" s="78">
        <f t="shared" si="2"/>
        <v>2100000</v>
      </c>
      <c r="R111" s="78">
        <f t="shared" si="2"/>
        <v>2100000</v>
      </c>
      <c r="S111" s="78">
        <f t="shared" si="2"/>
        <v>2100000</v>
      </c>
      <c r="T111" s="78">
        <f t="shared" si="2"/>
        <v>1962500</v>
      </c>
      <c r="U111" s="78">
        <f t="shared" si="2"/>
        <v>1962500</v>
      </c>
      <c r="V111" s="78">
        <f t="shared" si="2"/>
        <v>1962500</v>
      </c>
      <c r="W111" s="78">
        <f t="shared" si="2"/>
        <v>1962500</v>
      </c>
      <c r="X111" s="78">
        <f t="shared" si="2"/>
        <v>1962500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2100000</v>
      </c>
      <c r="F114" s="84">
        <f t="shared" ref="F114:AR114" si="5">SUM(F111:F113)</f>
        <v>2100000</v>
      </c>
      <c r="G114" s="84">
        <f t="shared" si="5"/>
        <v>2100000</v>
      </c>
      <c r="H114" s="84">
        <f t="shared" si="5"/>
        <v>2100000</v>
      </c>
      <c r="I114" s="84">
        <f t="shared" si="5"/>
        <v>2100000</v>
      </c>
      <c r="J114" s="84">
        <f t="shared" si="5"/>
        <v>2100000</v>
      </c>
      <c r="K114" s="84">
        <f t="shared" si="5"/>
        <v>2100000</v>
      </c>
      <c r="L114" s="84">
        <f t="shared" si="5"/>
        <v>2100000</v>
      </c>
      <c r="M114" s="84">
        <f t="shared" si="5"/>
        <v>2100000</v>
      </c>
      <c r="N114" s="84">
        <f t="shared" si="5"/>
        <v>2100000</v>
      </c>
      <c r="O114" s="84">
        <f t="shared" si="5"/>
        <v>2100000</v>
      </c>
      <c r="P114" s="84">
        <f t="shared" si="5"/>
        <v>2100000</v>
      </c>
      <c r="Q114" s="84">
        <f t="shared" si="5"/>
        <v>2100000</v>
      </c>
      <c r="R114" s="84">
        <f t="shared" si="5"/>
        <v>2100000</v>
      </c>
      <c r="S114" s="84">
        <f t="shared" si="5"/>
        <v>2100000</v>
      </c>
      <c r="T114" s="84">
        <f t="shared" si="5"/>
        <v>1962500</v>
      </c>
      <c r="U114" s="84">
        <f t="shared" si="5"/>
        <v>1962500</v>
      </c>
      <c r="V114" s="84">
        <f t="shared" si="5"/>
        <v>1962500</v>
      </c>
      <c r="W114" s="84">
        <f t="shared" si="5"/>
        <v>1962500</v>
      </c>
      <c r="X114" s="84">
        <f t="shared" si="5"/>
        <v>1962500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-46340</v>
      </c>
      <c r="F116" s="78">
        <f t="shared" si="6"/>
        <v>-47266.8</v>
      </c>
      <c r="G116" s="78">
        <f t="shared" si="6"/>
        <v>-48212.135999999999</v>
      </c>
      <c r="H116" s="78">
        <f t="shared" si="6"/>
        <v>-49176.378719999993</v>
      </c>
      <c r="I116" s="78">
        <f t="shared" si="6"/>
        <v>-50159.906294399996</v>
      </c>
      <c r="J116" s="78">
        <f t="shared" si="6"/>
        <v>-51163.104420288</v>
      </c>
      <c r="K116" s="78">
        <f t="shared" si="6"/>
        <v>-52186.366508693762</v>
      </c>
      <c r="L116" s="78">
        <f t="shared" si="6"/>
        <v>-53230.09383886763</v>
      </c>
      <c r="M116" s="78">
        <f t="shared" si="6"/>
        <v>-54294.695715644986</v>
      </c>
      <c r="N116" s="78">
        <f t="shared" si="6"/>
        <v>-55380.589629957882</v>
      </c>
      <c r="O116" s="78">
        <f t="shared" si="6"/>
        <v>-56488.201422557046</v>
      </c>
      <c r="P116" s="78">
        <f t="shared" si="6"/>
        <v>-101136.06624482101</v>
      </c>
      <c r="Q116" s="78">
        <f t="shared" si="6"/>
        <v>-58770.32476002835</v>
      </c>
      <c r="R116" s="78">
        <f t="shared" si="6"/>
        <v>-59945.731255228908</v>
      </c>
      <c r="S116" s="78">
        <f t="shared" si="6"/>
        <v>-61144.645880333497</v>
      </c>
      <c r="T116" s="78">
        <f t="shared" si="6"/>
        <v>-61830.873798033404</v>
      </c>
      <c r="U116" s="78">
        <f t="shared" si="6"/>
        <v>-63067.491273994077</v>
      </c>
      <c r="V116" s="78">
        <f t="shared" si="6"/>
        <v>-64328.841099473968</v>
      </c>
      <c r="W116" s="78">
        <f t="shared" si="6"/>
        <v>-65615.417921463435</v>
      </c>
      <c r="X116" s="78">
        <f t="shared" si="6"/>
        <v>-66927.726279892711</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0.1196476952770151</v>
      </c>
      <c r="U118" s="85">
        <f t="shared" si="8"/>
        <v>0.12204064918255542</v>
      </c>
      <c r="V118" s="85">
        <f t="shared" si="8"/>
        <v>0.12448146216620654</v>
      </c>
      <c r="W118" s="85">
        <f t="shared" si="8"/>
        <v>0.12697109140953067</v>
      </c>
      <c r="X118" s="85">
        <f t="shared" si="8"/>
        <v>0.12951051323772125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234808.60198114213</v>
      </c>
      <c r="U123" s="81">
        <f t="shared" si="13"/>
        <v>239504.77402076501</v>
      </c>
      <c r="V123" s="81">
        <f t="shared" si="13"/>
        <v>244294.86950118034</v>
      </c>
      <c r="W123" s="81">
        <f t="shared" si="13"/>
        <v>249180.76689120394</v>
      </c>
      <c r="X123" s="81">
        <f t="shared" si="13"/>
        <v>254164.38222902795</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234808.60198114213</v>
      </c>
      <c r="U126" s="78">
        <f t="shared" si="15"/>
        <v>239504.77402076501</v>
      </c>
      <c r="V126" s="78">
        <f t="shared" si="15"/>
        <v>244294.86950118034</v>
      </c>
      <c r="W126" s="78">
        <f t="shared" si="15"/>
        <v>249180.76689120394</v>
      </c>
      <c r="X126" s="78">
        <f t="shared" si="15"/>
        <v>254164.38222902795</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-46340</v>
      </c>
      <c r="F127" s="81">
        <f t="shared" si="16"/>
        <v>-47266.8</v>
      </c>
      <c r="G127" s="81">
        <f t="shared" si="16"/>
        <v>-48212.135999999999</v>
      </c>
      <c r="H127" s="81">
        <f t="shared" si="16"/>
        <v>-49176.378719999993</v>
      </c>
      <c r="I127" s="81">
        <f t="shared" si="16"/>
        <v>-50159.906294399996</v>
      </c>
      <c r="J127" s="81">
        <f t="shared" si="16"/>
        <v>-51163.104420288</v>
      </c>
      <c r="K127" s="81">
        <f t="shared" si="16"/>
        <v>-52186.366508693762</v>
      </c>
      <c r="L127" s="81">
        <f t="shared" si="16"/>
        <v>-53230.09383886763</v>
      </c>
      <c r="M127" s="81">
        <f t="shared" si="16"/>
        <v>-54294.695715644986</v>
      </c>
      <c r="N127" s="81">
        <f t="shared" si="16"/>
        <v>-55380.589629957882</v>
      </c>
      <c r="O127" s="81">
        <f t="shared" si="16"/>
        <v>-56488.201422557046</v>
      </c>
      <c r="P127" s="81">
        <f t="shared" si="16"/>
        <v>-101136.06624482101</v>
      </c>
      <c r="Q127" s="81">
        <f t="shared" si="16"/>
        <v>-58770.32476002835</v>
      </c>
      <c r="R127" s="81">
        <f t="shared" si="16"/>
        <v>-59945.731255228908</v>
      </c>
      <c r="S127" s="81">
        <f t="shared" si="16"/>
        <v>-61144.645880333497</v>
      </c>
      <c r="T127" s="81">
        <f t="shared" si="16"/>
        <v>-61830.873798033404</v>
      </c>
      <c r="U127" s="81">
        <f t="shared" si="16"/>
        <v>-63067.491273994077</v>
      </c>
      <c r="V127" s="81">
        <f t="shared" si="16"/>
        <v>-64328.841099473968</v>
      </c>
      <c r="W127" s="81">
        <f t="shared" si="16"/>
        <v>-65615.417921463435</v>
      </c>
      <c r="X127" s="81">
        <f t="shared" si="16"/>
        <v>-66927.726279892711</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-46340</v>
      </c>
      <c r="F128" s="90">
        <f t="shared" ref="F128:AR128" si="17">SUM(F126:F127)</f>
        <v>-47266.8</v>
      </c>
      <c r="G128" s="90">
        <f t="shared" si="17"/>
        <v>-48212.135999999999</v>
      </c>
      <c r="H128" s="90">
        <f t="shared" si="17"/>
        <v>-49176.378719999993</v>
      </c>
      <c r="I128" s="90">
        <f t="shared" si="17"/>
        <v>-50159.906294399996</v>
      </c>
      <c r="J128" s="90">
        <f t="shared" si="17"/>
        <v>-51163.104420288</v>
      </c>
      <c r="K128" s="90">
        <f t="shared" si="17"/>
        <v>-52186.366508693762</v>
      </c>
      <c r="L128" s="90">
        <f t="shared" si="17"/>
        <v>-53230.09383886763</v>
      </c>
      <c r="M128" s="90">
        <f t="shared" si="17"/>
        <v>-54294.695715644986</v>
      </c>
      <c r="N128" s="90">
        <f t="shared" si="17"/>
        <v>-55380.589629957882</v>
      </c>
      <c r="O128" s="90">
        <f t="shared" si="17"/>
        <v>-56488.201422557046</v>
      </c>
      <c r="P128" s="90">
        <f t="shared" si="17"/>
        <v>-101136.06624482101</v>
      </c>
      <c r="Q128" s="90">
        <f t="shared" si="17"/>
        <v>-58770.32476002835</v>
      </c>
      <c r="R128" s="90">
        <f t="shared" si="17"/>
        <v>-59945.731255228908</v>
      </c>
      <c r="S128" s="90">
        <f t="shared" si="17"/>
        <v>-61144.645880333497</v>
      </c>
      <c r="T128" s="90">
        <f t="shared" si="17"/>
        <v>172977.72818310873</v>
      </c>
      <c r="U128" s="90">
        <f t="shared" si="17"/>
        <v>176437.28274677094</v>
      </c>
      <c r="V128" s="90">
        <f t="shared" si="17"/>
        <v>179966.02840170637</v>
      </c>
      <c r="W128" s="90">
        <f t="shared" si="17"/>
        <v>183565.3489697405</v>
      </c>
      <c r="X128" s="90">
        <f t="shared" si="17"/>
        <v>187236.65594913525</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-93865.416666666672</v>
      </c>
      <c r="F130" s="78">
        <f t="shared" si="18"/>
        <v>-93865.416666666672</v>
      </c>
      <c r="G130" s="78">
        <f t="shared" si="18"/>
        <v>-93865.416666666672</v>
      </c>
      <c r="H130" s="78">
        <f t="shared" si="18"/>
        <v>-93865.416666666672</v>
      </c>
      <c r="I130" s="78">
        <f t="shared" si="18"/>
        <v>-93865.416666666672</v>
      </c>
      <c r="J130" s="78">
        <f t="shared" si="18"/>
        <v>-93865.416666666672</v>
      </c>
      <c r="K130" s="78">
        <f t="shared" si="18"/>
        <v>-93865.416666666672</v>
      </c>
      <c r="L130" s="78">
        <f t="shared" si="18"/>
        <v>-93865.416666666672</v>
      </c>
      <c r="M130" s="78">
        <f t="shared" si="18"/>
        <v>-93865.416666666672</v>
      </c>
      <c r="N130" s="78">
        <f t="shared" si="18"/>
        <v>-93865.416666666672</v>
      </c>
      <c r="O130" s="78">
        <f t="shared" si="18"/>
        <v>-93865.416666666672</v>
      </c>
      <c r="P130" s="78">
        <f t="shared" si="18"/>
        <v>-93865.416666666672</v>
      </c>
      <c r="Q130" s="78">
        <f t="shared" si="18"/>
        <v>-93865.416666666672</v>
      </c>
      <c r="R130" s="78">
        <f t="shared" si="18"/>
        <v>-93865.416666666672</v>
      </c>
      <c r="S130" s="78">
        <f t="shared" si="18"/>
        <v>-93865.416666666672</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-50159.33203125</v>
      </c>
      <c r="F131" s="81">
        <f t="shared" si="19"/>
        <v>-47790.751471442913</v>
      </c>
      <c r="G131" s="81">
        <f t="shared" si="19"/>
        <v>-45309.663335044985</v>
      </c>
      <c r="H131" s="81">
        <f t="shared" si="19"/>
        <v>-42710.723512168166</v>
      </c>
      <c r="I131" s="81">
        <f t="shared" si="19"/>
        <v>-39988.334047704695</v>
      </c>
      <c r="J131" s="81">
        <f t="shared" si="19"/>
        <v>-37136.631083679211</v>
      </c>
      <c r="K131" s="81">
        <f t="shared" si="19"/>
        <v>-34149.472228862513</v>
      </c>
      <c r="L131" s="81">
        <f t="shared" si="19"/>
        <v>-31020.423328442019</v>
      </c>
      <c r="M131" s="81">
        <f t="shared" si="19"/>
        <v>-27742.744605251559</v>
      </c>
      <c r="N131" s="81">
        <f t="shared" si="19"/>
        <v>-24309.376142709549</v>
      </c>
      <c r="O131" s="81">
        <f t="shared" si="19"/>
        <v>-20712.922678196792</v>
      </c>
      <c r="P131" s="81">
        <f t="shared" si="19"/>
        <v>-16945.637674119684</v>
      </c>
      <c r="Q131" s="81">
        <f t="shared" si="19"/>
        <v>-12999.406632348906</v>
      </c>
      <c r="R131" s="81">
        <f t="shared" si="19"/>
        <v>-8865.7296160940186</v>
      </c>
      <c r="S131" s="81">
        <f t="shared" si="19"/>
        <v>-4535.7029415670258</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-49864.853890675462</v>
      </c>
      <c r="F132" s="81">
        <f t="shared" si="20"/>
        <v>-52233.434450482557</v>
      </c>
      <c r="G132" s="81">
        <f t="shared" si="20"/>
        <v>-54714.52258688047</v>
      </c>
      <c r="H132" s="81">
        <f t="shared" si="20"/>
        <v>-57313.462409757296</v>
      </c>
      <c r="I132" s="81">
        <f t="shared" si="20"/>
        <v>-60035.85187422076</v>
      </c>
      <c r="J132" s="81">
        <f t="shared" si="20"/>
        <v>-62887.554838246251</v>
      </c>
      <c r="K132" s="81">
        <f t="shared" si="20"/>
        <v>-65874.713693062949</v>
      </c>
      <c r="L132" s="81">
        <f t="shared" si="20"/>
        <v>-69003.762593483436</v>
      </c>
      <c r="M132" s="81">
        <f t="shared" si="20"/>
        <v>-72281.441316673896</v>
      </c>
      <c r="N132" s="81">
        <f t="shared" si="20"/>
        <v>-75714.809779215924</v>
      </c>
      <c r="O132" s="81">
        <f t="shared" si="20"/>
        <v>-79311.263243728667</v>
      </c>
      <c r="P132" s="81">
        <f t="shared" si="20"/>
        <v>-83078.548247805797</v>
      </c>
      <c r="Q132" s="81">
        <f t="shared" si="20"/>
        <v>-87024.77928957656</v>
      </c>
      <c r="R132" s="81">
        <f t="shared" si="20"/>
        <v>-91158.456305831452</v>
      </c>
      <c r="S132" s="81">
        <f t="shared" si="20"/>
        <v>-95488.482980358429</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-100024.18592192547</v>
      </c>
      <c r="F133" s="90">
        <f t="shared" ref="F133:AR133" si="21">SUM(F131,F132)</f>
        <v>-100024.18592192547</v>
      </c>
      <c r="G133" s="90">
        <f t="shared" si="21"/>
        <v>-100024.18592192545</v>
      </c>
      <c r="H133" s="90">
        <f t="shared" si="21"/>
        <v>-100024.18592192547</v>
      </c>
      <c r="I133" s="90">
        <f t="shared" si="21"/>
        <v>-100024.18592192545</v>
      </c>
      <c r="J133" s="90">
        <f t="shared" si="21"/>
        <v>-100024.18592192547</v>
      </c>
      <c r="K133" s="90">
        <f t="shared" si="21"/>
        <v>-100024.18592192547</v>
      </c>
      <c r="L133" s="90">
        <f t="shared" si="21"/>
        <v>-100024.18592192545</v>
      </c>
      <c r="M133" s="90">
        <f t="shared" si="21"/>
        <v>-100024.18592192545</v>
      </c>
      <c r="N133" s="90">
        <f t="shared" si="21"/>
        <v>-100024.18592192547</v>
      </c>
      <c r="O133" s="90">
        <f t="shared" si="21"/>
        <v>-100024.18592192545</v>
      </c>
      <c r="P133" s="90">
        <f t="shared" si="21"/>
        <v>-100024.18592192548</v>
      </c>
      <c r="Q133" s="90">
        <f t="shared" si="21"/>
        <v>-100024.18592192547</v>
      </c>
      <c r="R133" s="90">
        <f t="shared" si="21"/>
        <v>-100024.18592192547</v>
      </c>
      <c r="S133" s="90">
        <f t="shared" si="21"/>
        <v>-100024.18592192545</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-190364.74869791669</v>
      </c>
      <c r="F135" s="95">
        <f t="shared" ref="F135:AR135" si="22">F128+F130+F131</f>
        <v>-188922.9681381096</v>
      </c>
      <c r="G135" s="95">
        <f t="shared" si="22"/>
        <v>-187387.21600171167</v>
      </c>
      <c r="H135" s="95">
        <f t="shared" si="22"/>
        <v>-185752.51889883482</v>
      </c>
      <c r="I135" s="95">
        <f t="shared" si="22"/>
        <v>-184013.65700877138</v>
      </c>
      <c r="J135" s="95">
        <f t="shared" si="22"/>
        <v>-182165.1521706339</v>
      </c>
      <c r="K135" s="95">
        <f t="shared" si="22"/>
        <v>-180201.25540422296</v>
      </c>
      <c r="L135" s="95">
        <f t="shared" si="22"/>
        <v>-178115.93383397633</v>
      </c>
      <c r="M135" s="95">
        <f t="shared" si="22"/>
        <v>-175902.85698756322</v>
      </c>
      <c r="N135" s="95">
        <f t="shared" si="22"/>
        <v>-173555.38243933409</v>
      </c>
      <c r="O135" s="95">
        <f t="shared" si="22"/>
        <v>-171066.54076742052</v>
      </c>
      <c r="P135" s="95">
        <f t="shared" si="22"/>
        <v>-211947.12058560736</v>
      </c>
      <c r="Q135" s="95">
        <f t="shared" si="22"/>
        <v>-165635.14805904392</v>
      </c>
      <c r="R135" s="95">
        <f t="shared" si="22"/>
        <v>-162676.87753798961</v>
      </c>
      <c r="S135" s="95">
        <f t="shared" si="22"/>
        <v>-159545.76548856721</v>
      </c>
      <c r="T135" s="95">
        <f t="shared" si="22"/>
        <v>172977.72818310873</v>
      </c>
      <c r="U135" s="95">
        <f t="shared" si="22"/>
        <v>176437.28274677094</v>
      </c>
      <c r="V135" s="95">
        <f t="shared" si="22"/>
        <v>179966.02840170637</v>
      </c>
      <c r="W135" s="95">
        <f t="shared" si="22"/>
        <v>183565.3489697405</v>
      </c>
      <c r="X135" s="95">
        <f t="shared" si="22"/>
        <v>187236.65594913525</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36169.302252604168</v>
      </c>
      <c r="F136" s="97">
        <f t="shared" si="23"/>
        <v>35895.363946240825</v>
      </c>
      <c r="G136" s="97">
        <f t="shared" si="23"/>
        <v>35603.571040325216</v>
      </c>
      <c r="H136" s="97">
        <f t="shared" si="23"/>
        <v>35292.978590778614</v>
      </c>
      <c r="I136" s="97">
        <f t="shared" si="23"/>
        <v>34962.59483166656</v>
      </c>
      <c r="J136" s="97">
        <f t="shared" si="23"/>
        <v>34611.378912420441</v>
      </c>
      <c r="K136" s="97">
        <f t="shared" si="23"/>
        <v>34238.238526802365</v>
      </c>
      <c r="L136" s="97">
        <f t="shared" si="23"/>
        <v>33842.027428455505</v>
      </c>
      <c r="M136" s="97">
        <f t="shared" si="23"/>
        <v>33421.542827637015</v>
      </c>
      <c r="N136" s="97">
        <f t="shared" si="23"/>
        <v>32975.522663473479</v>
      </c>
      <c r="O136" s="97">
        <f t="shared" si="23"/>
        <v>32502.642745809899</v>
      </c>
      <c r="P136" s="97">
        <f t="shared" si="23"/>
        <v>40269.952911265398</v>
      </c>
      <c r="Q136" s="97">
        <f t="shared" si="23"/>
        <v>31470.678131218345</v>
      </c>
      <c r="R136" s="97">
        <f t="shared" si="23"/>
        <v>30908.606732218028</v>
      </c>
      <c r="S136" s="97">
        <f t="shared" si="23"/>
        <v>30313.695442827771</v>
      </c>
      <c r="T136" s="97">
        <f t="shared" si="23"/>
        <v>-32865.768354790656</v>
      </c>
      <c r="U136" s="97">
        <f t="shared" si="23"/>
        <v>-33523.083721886476</v>
      </c>
      <c r="V136" s="97">
        <f t="shared" si="23"/>
        <v>-34193.545396324211</v>
      </c>
      <c r="W136" s="97">
        <f t="shared" si="23"/>
        <v>-34877.416304250699</v>
      </c>
      <c r="X136" s="97">
        <f t="shared" si="23"/>
        <v>-35574.9646303357</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-110194.88366932131</v>
      </c>
      <c r="F138" s="101">
        <f t="shared" si="24"/>
        <v>-111395.62197568463</v>
      </c>
      <c r="G138" s="101">
        <f t="shared" si="24"/>
        <v>-112632.75088160025</v>
      </c>
      <c r="H138" s="101">
        <f t="shared" si="24"/>
        <v>-113907.58605114683</v>
      </c>
      <c r="I138" s="101">
        <f t="shared" si="24"/>
        <v>-115221.4973846589</v>
      </c>
      <c r="J138" s="101">
        <f t="shared" si="24"/>
        <v>-116575.91142979302</v>
      </c>
      <c r="K138" s="101">
        <f t="shared" si="24"/>
        <v>-117972.31390381686</v>
      </c>
      <c r="L138" s="101">
        <f t="shared" si="24"/>
        <v>-119412.25233233758</v>
      </c>
      <c r="M138" s="101">
        <f t="shared" si="24"/>
        <v>-120897.33880993343</v>
      </c>
      <c r="N138" s="101">
        <f t="shared" si="24"/>
        <v>-122429.25288840989</v>
      </c>
      <c r="O138" s="101">
        <f t="shared" si="24"/>
        <v>-124009.74459867261</v>
      </c>
      <c r="P138" s="101">
        <f t="shared" si="24"/>
        <v>-160890.29925548108</v>
      </c>
      <c r="Q138" s="101">
        <f t="shared" si="24"/>
        <v>-127323.83255073546</v>
      </c>
      <c r="R138" s="101">
        <f t="shared" si="24"/>
        <v>-129061.31044493636</v>
      </c>
      <c r="S138" s="101">
        <f t="shared" si="24"/>
        <v>-130855.1363594312</v>
      </c>
      <c r="T138" s="101">
        <f t="shared" si="24"/>
        <v>140111.95982831807</v>
      </c>
      <c r="U138" s="101">
        <f t="shared" si="24"/>
        <v>142914.19902488447</v>
      </c>
      <c r="V138" s="101">
        <f t="shared" si="24"/>
        <v>145772.48300538215</v>
      </c>
      <c r="W138" s="101">
        <f t="shared" si="24"/>
        <v>148687.93266548979</v>
      </c>
      <c r="X138" s="101">
        <f t="shared" si="24"/>
        <v>151661.69131879957</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-1407981.25</v>
      </c>
      <c r="E139" s="106">
        <f>E128+E136</f>
        <v>-10170.697747395832</v>
      </c>
      <c r="F139" s="106">
        <f t="shared" ref="F139:AR139" si="25">F128+F136</f>
        <v>-11371.436053759178</v>
      </c>
      <c r="G139" s="106">
        <f t="shared" si="25"/>
        <v>-12608.564959674783</v>
      </c>
      <c r="H139" s="106">
        <f t="shared" si="25"/>
        <v>-13883.40012922138</v>
      </c>
      <c r="I139" s="106">
        <f t="shared" si="25"/>
        <v>-15197.311462733436</v>
      </c>
      <c r="J139" s="106">
        <f t="shared" si="25"/>
        <v>-16551.725507867559</v>
      </c>
      <c r="K139" s="106">
        <f t="shared" si="25"/>
        <v>-17948.127981891397</v>
      </c>
      <c r="L139" s="106">
        <f t="shared" si="25"/>
        <v>-19388.066410412124</v>
      </c>
      <c r="M139" s="106">
        <f t="shared" si="25"/>
        <v>-20873.152888007971</v>
      </c>
      <c r="N139" s="106">
        <f t="shared" si="25"/>
        <v>-22405.066966484403</v>
      </c>
      <c r="O139" s="106">
        <f t="shared" si="25"/>
        <v>-23985.558676747147</v>
      </c>
      <c r="P139" s="106">
        <f t="shared" si="25"/>
        <v>-60866.113333555608</v>
      </c>
      <c r="Q139" s="106">
        <f t="shared" si="25"/>
        <v>-27299.646628810005</v>
      </c>
      <c r="R139" s="106">
        <f t="shared" si="25"/>
        <v>-29037.12452301088</v>
      </c>
      <c r="S139" s="106">
        <f t="shared" si="25"/>
        <v>-30830.950437505726</v>
      </c>
      <c r="T139" s="106">
        <f t="shared" si="25"/>
        <v>140111.95982831807</v>
      </c>
      <c r="U139" s="106">
        <f t="shared" si="25"/>
        <v>142914.19902488447</v>
      </c>
      <c r="V139" s="106">
        <f t="shared" si="25"/>
        <v>145772.48300538215</v>
      </c>
      <c r="W139" s="106">
        <f t="shared" si="25"/>
        <v>148687.93266548979</v>
      </c>
      <c r="X139" s="106">
        <f t="shared" si="25"/>
        <v>151661.69131879957</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-351995.3125</v>
      </c>
      <c r="E140" s="106">
        <f>E138</f>
        <v>-110194.88366932131</v>
      </c>
      <c r="F140" s="106">
        <f t="shared" ref="F140:AR140" si="26">F138</f>
        <v>-111395.62197568463</v>
      </c>
      <c r="G140" s="106">
        <f t="shared" si="26"/>
        <v>-112632.75088160025</v>
      </c>
      <c r="H140" s="106">
        <f t="shared" si="26"/>
        <v>-113907.58605114683</v>
      </c>
      <c r="I140" s="106">
        <f t="shared" si="26"/>
        <v>-115221.4973846589</v>
      </c>
      <c r="J140" s="106">
        <f t="shared" si="26"/>
        <v>-116575.91142979302</v>
      </c>
      <c r="K140" s="106">
        <f t="shared" si="26"/>
        <v>-117972.31390381686</v>
      </c>
      <c r="L140" s="106">
        <f t="shared" si="26"/>
        <v>-119412.25233233758</v>
      </c>
      <c r="M140" s="106">
        <f t="shared" si="26"/>
        <v>-120897.33880993343</v>
      </c>
      <c r="N140" s="106">
        <f t="shared" si="26"/>
        <v>-122429.25288840989</v>
      </c>
      <c r="O140" s="106">
        <f t="shared" si="26"/>
        <v>-124009.74459867261</v>
      </c>
      <c r="P140" s="106">
        <f t="shared" si="26"/>
        <v>-160890.29925548108</v>
      </c>
      <c r="Q140" s="106">
        <f t="shared" si="26"/>
        <v>-127323.83255073546</v>
      </c>
      <c r="R140" s="106">
        <f t="shared" si="26"/>
        <v>-129061.31044493636</v>
      </c>
      <c r="S140" s="106">
        <f t="shared" si="26"/>
        <v>-130855.1363594312</v>
      </c>
      <c r="T140" s="106">
        <f t="shared" si="26"/>
        <v>140111.95982831807</v>
      </c>
      <c r="U140" s="106">
        <f t="shared" si="26"/>
        <v>142914.19902488447</v>
      </c>
      <c r="V140" s="106">
        <f t="shared" si="26"/>
        <v>145772.48300538215</v>
      </c>
      <c r="W140" s="106">
        <f t="shared" si="26"/>
        <v>148687.93266548979</v>
      </c>
      <c r="X140" s="106">
        <f t="shared" si="26"/>
        <v>151661.69131879957</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2100000</v>
      </c>
      <c r="F141" s="108">
        <f t="shared" si="27"/>
        <v>2100000</v>
      </c>
      <c r="G141" s="108">
        <f t="shared" si="27"/>
        <v>2100000</v>
      </c>
      <c r="H141" s="108">
        <f t="shared" si="27"/>
        <v>2100000</v>
      </c>
      <c r="I141" s="108">
        <f t="shared" si="27"/>
        <v>2100000</v>
      </c>
      <c r="J141" s="108">
        <f t="shared" si="27"/>
        <v>2100000</v>
      </c>
      <c r="K141" s="108">
        <f t="shared" si="27"/>
        <v>2100000</v>
      </c>
      <c r="L141" s="108">
        <f t="shared" si="27"/>
        <v>2100000</v>
      </c>
      <c r="M141" s="108">
        <f t="shared" si="27"/>
        <v>2100000</v>
      </c>
      <c r="N141" s="108">
        <f t="shared" si="27"/>
        <v>2100000</v>
      </c>
      <c r="O141" s="108">
        <f t="shared" si="27"/>
        <v>2100000</v>
      </c>
      <c r="P141" s="108">
        <f t="shared" si="27"/>
        <v>2100000</v>
      </c>
      <c r="Q141" s="108">
        <f t="shared" si="27"/>
        <v>2100000</v>
      </c>
      <c r="R141" s="108">
        <f t="shared" si="27"/>
        <v>2100000</v>
      </c>
      <c r="S141" s="108">
        <f t="shared" si="27"/>
        <v>2100000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1407981.25</v>
      </c>
      <c r="E142" s="124">
        <f>D142-($C$5*E114+E128+E131)</f>
        <v>1334380.58203125</v>
      </c>
      <c r="F142" s="124">
        <f t="shared" ref="F142:AR142" si="28">E142-($C$5*F114+F128+F131)</f>
        <v>1259338.1335026929</v>
      </c>
      <c r="G142" s="124">
        <f t="shared" si="28"/>
        <v>1182759.932837738</v>
      </c>
      <c r="H142" s="124">
        <f t="shared" si="28"/>
        <v>1104547.0350699062</v>
      </c>
      <c r="I142" s="124">
        <f t="shared" si="28"/>
        <v>1024595.2754120108</v>
      </c>
      <c r="J142" s="124">
        <f t="shared" si="28"/>
        <v>942795.01091597811</v>
      </c>
      <c r="K142" s="124">
        <f t="shared" si="28"/>
        <v>859030.84965353436</v>
      </c>
      <c r="L142" s="124">
        <f t="shared" si="28"/>
        <v>773181.36682084401</v>
      </c>
      <c r="M142" s="124">
        <f t="shared" si="28"/>
        <v>685118.80714174057</v>
      </c>
      <c r="N142" s="124">
        <f t="shared" si="28"/>
        <v>594708.77291440801</v>
      </c>
      <c r="O142" s="124">
        <f t="shared" si="28"/>
        <v>501809.89701516181</v>
      </c>
      <c r="P142" s="124">
        <f t="shared" si="28"/>
        <v>449791.60093410249</v>
      </c>
      <c r="Q142" s="124">
        <f t="shared" si="28"/>
        <v>351461.33232647972</v>
      </c>
      <c r="R142" s="124">
        <f t="shared" si="28"/>
        <v>250172.79319780265</v>
      </c>
      <c r="S142" s="124">
        <f t="shared" si="28"/>
        <v>145753.14201970317</v>
      </c>
      <c r="T142" s="124">
        <f t="shared" si="28"/>
        <v>-186187.08616340556</v>
      </c>
      <c r="U142" s="124">
        <f t="shared" si="28"/>
        <v>-521586.8689101765</v>
      </c>
      <c r="V142" s="124">
        <f t="shared" si="28"/>
        <v>-860515.39731188281</v>
      </c>
      <c r="W142" s="124">
        <f t="shared" si="28"/>
        <v>-1203043.2462816234</v>
      </c>
      <c r="X142" s="124">
        <f t="shared" si="28"/>
        <v>-1549242.4022307587</v>
      </c>
      <c r="Y142" s="124">
        <f t="shared" si="28"/>
        <v>-1549242.4022307587</v>
      </c>
      <c r="Z142" s="124">
        <f t="shared" si="28"/>
        <v>-1549242.4022307587</v>
      </c>
      <c r="AA142" s="124">
        <f t="shared" si="28"/>
        <v>-1549242.4022307587</v>
      </c>
      <c r="AB142" s="124">
        <f t="shared" si="28"/>
        <v>-1549242.4022307587</v>
      </c>
      <c r="AC142" s="124">
        <f t="shared" si="28"/>
        <v>-1549242.4022307587</v>
      </c>
      <c r="AD142" s="124">
        <f t="shared" si="28"/>
        <v>-1549242.4022307587</v>
      </c>
      <c r="AE142" s="124">
        <f t="shared" si="28"/>
        <v>-1549242.4022307587</v>
      </c>
      <c r="AF142" s="124">
        <f t="shared" si="28"/>
        <v>-1549242.4022307587</v>
      </c>
      <c r="AG142" s="124">
        <f t="shared" si="28"/>
        <v>-1549242.4022307587</v>
      </c>
      <c r="AH142" s="124">
        <f t="shared" si="28"/>
        <v>-1549242.4022307587</v>
      </c>
      <c r="AI142" s="124">
        <f t="shared" si="28"/>
        <v>-1549242.4022307587</v>
      </c>
      <c r="AJ142" s="124">
        <f t="shared" si="28"/>
        <v>-1549242.4022307587</v>
      </c>
      <c r="AK142" s="124">
        <f t="shared" si="28"/>
        <v>-1549242.4022307587</v>
      </c>
      <c r="AL142" s="124">
        <f t="shared" si="28"/>
        <v>-1549242.4022307587</v>
      </c>
      <c r="AM142" s="124">
        <f t="shared" si="28"/>
        <v>-1549242.4022307587</v>
      </c>
      <c r="AN142" s="124">
        <f t="shared" si="28"/>
        <v>-1549242.4022307587</v>
      </c>
      <c r="AO142" s="124">
        <f t="shared" si="28"/>
        <v>-1549242.4022307587</v>
      </c>
      <c r="AP142" s="124">
        <f t="shared" si="28"/>
        <v>-1549242.4022307587</v>
      </c>
      <c r="AQ142" s="124">
        <f t="shared" si="28"/>
        <v>-1549242.4022307587</v>
      </c>
      <c r="AR142" s="124">
        <f t="shared" si="28"/>
        <v>-1549242.4022307587</v>
      </c>
    </row>
    <row r="143" spans="1:45" x14ac:dyDescent="0.2">
      <c r="B143" s="5" t="s">
        <v>350</v>
      </c>
      <c r="C143" s="195"/>
      <c r="D143" s="196"/>
      <c r="E143" s="197">
        <f>IF(E108&gt;$C$92,"",(-$C$89*(E135+$C$5*E114)+E128+$C$5*E114)/-E133)</f>
        <v>1.2757944598740469</v>
      </c>
      <c r="F143" s="197">
        <f>IF(F108&gt;$C$92,"",(-$C$89*(F135+$C$5*F114)+F128+$C$5*F114)/-F133)</f>
        <v>1.2637899802044941</v>
      </c>
      <c r="G143" s="197">
        <f>IF(G108&gt;$C$92,"",(-$C$89*(G135+$C$5*G114)+G128+$C$5*G114)/-G133)</f>
        <v>1.2514216825321567</v>
      </c>
      <c r="H143" s="197">
        <f>IF(H108&gt;$C$92,"",(-$C$89*(H135+$C$5*H114)+H128+$C$5*H114)/-H133)</f>
        <v>1.2386764133975328</v>
      </c>
      <c r="I143" s="197">
        <f t="shared" ref="I143:AR143" si="29">IF(I108&gt;$C$92,"",(-$C$89*(I135+$C$5*I114)+I128+$C$5*I114)/-I133)</f>
        <v>1.2255404771097071</v>
      </c>
      <c r="J143" s="197">
        <f t="shared" si="29"/>
        <v>1.2119996116415159</v>
      </c>
      <c r="K143" s="197">
        <f t="shared" si="29"/>
        <v>1.1980389634127584</v>
      </c>
      <c r="L143" s="197">
        <f t="shared" si="29"/>
        <v>1.1836430609092912</v>
      </c>
      <c r="M143" s="197">
        <f t="shared" si="29"/>
        <v>1.1687957870833883</v>
      </c>
      <c r="N143" s="197">
        <f t="shared" si="29"/>
        <v>1.1534803504781637</v>
      </c>
      <c r="O143" s="197">
        <f t="shared" si="29"/>
        <v>1.1376792550161483</v>
      </c>
      <c r="P143" s="197">
        <f t="shared" si="29"/>
        <v>0.76896288590122386</v>
      </c>
      <c r="Q143" s="197">
        <f t="shared" si="29"/>
        <v>1.1045463889846294</v>
      </c>
      <c r="R143" s="197">
        <f t="shared" si="29"/>
        <v>1.0871758112769832</v>
      </c>
      <c r="S143" s="197">
        <f t="shared" si="29"/>
        <v>1.0692418896163258</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-856708.1477094338</v>
      </c>
    </row>
    <row r="147" spans="2:45" x14ac:dyDescent="0.2">
      <c r="B147" s="79" t="s">
        <v>354</v>
      </c>
      <c r="C147" s="216" t="str">
        <f>$C$9</f>
        <v>kWh</v>
      </c>
      <c r="D147" s="126">
        <f>(1-$C$89)*NPV($C$86,E141:AR141)</f>
        <v>15014930.68630741</v>
      </c>
      <c r="E147" s="131"/>
      <c r="F147" s="127"/>
    </row>
    <row r="148" spans="2:45" x14ac:dyDescent="0.2">
      <c r="B148" s="79" t="s">
        <v>355</v>
      </c>
      <c r="C148" s="80" t="s">
        <v>288</v>
      </c>
      <c r="D148" s="126">
        <f>$C$48*1000000</f>
        <v>1407981.25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1.1559191344958912</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4.8% / 2.7%</v>
      </c>
      <c r="E150" s="131"/>
      <c r="F150" s="127"/>
      <c r="G150" s="112"/>
    </row>
    <row r="151" spans="2:45" x14ac:dyDescent="0.2">
      <c r="B151" s="79" t="s">
        <v>358</v>
      </c>
      <c r="C151" s="80"/>
      <c r="D151" s="132">
        <f>IFERROR(IRR(D139:AR139),"n.v.t.")</f>
        <v>-5.3964773331786287E-2</v>
      </c>
      <c r="E151" s="131"/>
      <c r="F151" s="128"/>
      <c r="G151" s="112"/>
    </row>
    <row r="152" spans="2:45" x14ac:dyDescent="0.2">
      <c r="B152" s="79" t="s">
        <v>359</v>
      </c>
      <c r="C152" s="80"/>
      <c r="D152" s="132">
        <f>IFERROR(IRR(D140:AR140),"n.v.t.")</f>
        <v>-0.10557021621755835</v>
      </c>
      <c r="G152" s="112"/>
    </row>
    <row r="153" spans="2:45" x14ac:dyDescent="0.2">
      <c r="B153" s="133" t="s">
        <v>360</v>
      </c>
      <c r="C153" s="80" t="s">
        <v>288</v>
      </c>
      <c r="D153" s="126">
        <f>D148*$C$87-C81</f>
        <v>1055985.9375</v>
      </c>
      <c r="F153" s="134"/>
    </row>
    <row r="154" spans="2:45" x14ac:dyDescent="0.2">
      <c r="B154" s="135" t="s">
        <v>361</v>
      </c>
      <c r="C154" s="80" t="s">
        <v>288</v>
      </c>
      <c r="D154" s="126">
        <f>$C$88*D148-C82</f>
        <v>351995.3125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840</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t="str">
        <f>IF(OR($C12=25,$C12=24,$C12=23),ROUND((VLOOKUP(1,Correctiebedragen!$A$3:$J$66,8)+$D155*VLOOKUP($C12-9,Correctiebedragen!$A$3:$J$66,8))/(1+$D155),decimalen),IF(C16&gt;0,"netlevering: " &amp; C161 &amp; ", niet-netlevering: " &amp; C162,ROUND(VLOOKUP($C12,Correctiebedragen!$A$3:$J$66,8),decimalen)))</f>
        <v>netlevering: 0.048, niet-netlevering: 0.082</v>
      </c>
      <c r="D160"/>
    </row>
    <row r="161" spans="2:20" x14ac:dyDescent="0.2">
      <c r="B161" s="248" t="s">
        <v>366</v>
      </c>
      <c r="C161" s="246">
        <f>IFERROR(ROUND(INDEX(Correctiebedragen!$A$1:$K$256,MATCH('3'!C16,Correctiebedragen!$A$1:$A$256,0),8),decimalen),"n.v.t.")</f>
        <v>4.8000000000000001E-2</v>
      </c>
    </row>
    <row r="162" spans="2:20" customFormat="1" ht="15" x14ac:dyDescent="0.25">
      <c r="B162" s="248" t="s">
        <v>367</v>
      </c>
      <c r="C162" s="250">
        <f>IFERROR(ROUND(INDEX(Correctiebedragen!$A$1:$K$256,MATCH('3'!C17,Correctiebedragen!$A$1:$A$256,0),8),decimalen),"n.v.t.")</f>
        <v>8.2000000000000003E-2</v>
      </c>
    </row>
    <row r="163" spans="2:20" customFormat="1" ht="15" x14ac:dyDescent="0.25">
      <c r="B163" s="248" t="str">
        <f>"Voorlopig correctiebedrag "&amp;Colofon!$B$21</f>
        <v>Voorlopig correctiebedrag 2024</v>
      </c>
      <c r="C163" s="270" t="str">
        <f>IF(OR($C12=25,$C12=24,$C12=23),ROUND((VLOOKUP(1,Correctiebedragen!$A$3:$J$66,4)+$D155*VLOOKUP($C12-9,Correctiebedragen!$A$3:$J$66,4))/(1+$D155),decimalen),IF(C16&gt;0,"netlevering: " &amp; C164 &amp; ", niet-netlevering: " &amp; C165,ROUND(VLOOKUP($C12,Correctiebedragen!$A$3:$J$66,4),decimalen)))</f>
        <v>netlevering: 0.122, niet-netlevering: 0.153</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f>IFERROR(ROUND(INDEX(Correctiebedragen!$A$1:$K$256,MATCH('3'!C16,Correctiebedragen!$A$1:$A$256,0),4),decimalen),"n.v.t.")</f>
        <v>0.122</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250">
        <f>IFERROR(ROUND(INDEX(Correctiebedragen!$A$1:$K$256,MATCH('3'!C17,Correctiebedragen!$A$1:$A$256,0),4),decimalen),"n.v.t.")</f>
        <v>0.153</v>
      </c>
    </row>
    <row r="166" spans="2:20" customFormat="1" ht="15" x14ac:dyDescent="0.25">
      <c r="B166" s="248" t="str">
        <f>"Voorlopig correctiebedrag "&amp;Colofon!$B$21&amp;" excl. negatieve uurblokken elektriciteit (NUE)"</f>
        <v>Voorlopig correctiebedrag 2024 excl. negatieve uurblokken elektriciteit (NUE)</v>
      </c>
      <c r="C166" s="250" t="str">
        <f>IF(OR($C12=25,$C12=24,$C12=23),ROUND((VLOOKUP(1,Correctiebedragen!$A$3:$J$66,4)+$D155*VLOOKUP($C12-9,Correctiebedragen!$A$3:$J$66,4))/(1+$D155),decimalen),IF(C16&gt;0,"netlevering: " &amp; C167 &amp; ", niet-netlevering: " &amp; C168,ROUND(VLOOKUP($C12,Correctiebedragen!$A$3:$J$66,6),decimalen)))</f>
        <v>netlevering: 0.128, niet-netlevering: 0.159</v>
      </c>
    </row>
    <row r="167" spans="2:20" customFormat="1" ht="15" x14ac:dyDescent="0.25">
      <c r="B167" s="248" t="str">
        <f>"Voorlopig correctiebedrag "&amp;Colofon!$B$21&amp;" netlevering excl. NUE"</f>
        <v>Voorlopig correctiebedrag 2024 netlevering excl. NUE</v>
      </c>
      <c r="C167" s="250">
        <f>IFERROR(ROUND(INDEX(Correctiebedragen!$A$1:$K$256,MATCH('3'!C16,Correctiebedragen!$A$1:$A$256,0),6),decimalen),"n.v.t.")</f>
        <v>0.128</v>
      </c>
    </row>
    <row r="168" spans="2:20" customFormat="1" ht="15" x14ac:dyDescent="0.25">
      <c r="B168" s="248" t="str">
        <f>"Voorlopig correctiebedrag "&amp;Colofon!$B$21&amp;" niet-netlevering excl. NUE"</f>
        <v>Voorlopig correctiebedrag 2024 niet-netlevering excl. NUE</v>
      </c>
      <c r="C168" s="250">
        <f>IFERROR(ROUND(INDEX(Correctiebedragen!$A$1:$K$256,MATCH('3'!C17,Correctiebedragen!$A$1:$A$256,0),6),decimalen),"n.v.t.")</f>
        <v>0.159</v>
      </c>
    </row>
    <row r="169" spans="2:20" customFormat="1" ht="15" x14ac:dyDescent="0.25">
      <c r="B169" s="249" t="str">
        <f>"Voorlopige GvO-waarde "&amp;Colofon!$B$21</f>
        <v>Voorlopige GvO-waarde 2024</v>
      </c>
      <c r="C169" s="250" t="str">
        <f>IF(C16&gt;0,"netlevering: " &amp; C170 &amp; ", niet-netlevering: " &amp;C171, INDEX(Correctiebedragen!$A$1:$Q$256,MATCH(C12,Correctiebedragen!$A$1:$A$256,0),12))</f>
        <v>netlevering: 0.004, niet-netlevering: 0</v>
      </c>
    </row>
    <row r="170" spans="2:20" customFormat="1" ht="15" x14ac:dyDescent="0.25">
      <c r="B170" s="249" t="str">
        <f>"Voorlopige GvO-waarde "&amp;Colofon!$B$21&amp;" netlevering"</f>
        <v>Voorlopige GvO-waarde 2024 netlevering</v>
      </c>
      <c r="C170" s="250">
        <f>IFERROR(ROUND(INDEX(Correctiebedragen!$A$1:$Q$256,MATCH(C16,Correctiebedragen!$A$1:$A$256,0),12),decimalen),"n.v.t.")</f>
        <v>4.0000000000000001E-3</v>
      </c>
    </row>
    <row r="171" spans="2:20" customFormat="1" ht="15" x14ac:dyDescent="0.25">
      <c r="B171" s="249" t="str">
        <f>"Voorlopige GvO-waarde "&amp;Colofon!$B$21&amp;" niet-netlevering"</f>
        <v>Voorlopige GvO-waarde 2024 niet-netlevering</v>
      </c>
      <c r="C171" s="250">
        <f>IFERROR(ROUND(INDEX(Correctiebedragen!$A$1:$Q$256,MATCH(C17,Correctiebedragen!$A$1:$A$256,0),12),decimalen),"n.v.t.")</f>
        <v>0</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31500000</v>
      </c>
      <c r="E174" s="28"/>
    </row>
    <row r="175" spans="2:20" customFormat="1" ht="26.25" x14ac:dyDescent="0.25">
      <c r="B175" s="256" t="s">
        <v>370</v>
      </c>
      <c r="C175" s="271">
        <f>IF(C95=0,SUM(E114:INDEX(E114:AR114,1,C91)),SUM(E114:INDEX(E114:AR114,1,C95)))</f>
        <v>41312500</v>
      </c>
      <c r="D175" s="257"/>
    </row>
    <row r="176" spans="2:20" customFormat="1" ht="15" x14ac:dyDescent="0.25">
      <c r="B176" s="251" t="s">
        <v>51</v>
      </c>
      <c r="C176" s="269">
        <f>C175/C174</f>
        <v>1.3115079365079365</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84" priority="5" operator="containsText" text="Pas op">
      <formula>NOT(ISERROR(SEARCH("Pas op",G1)))</formula>
    </cfRule>
  </conditionalFormatting>
  <conditionalFormatting sqref="G186">
    <cfRule type="containsText" dxfId="83" priority="4" operator="containsText" text="Pas op">
      <formula>NOT(ISERROR(SEARCH("Pas op",G186)))</formula>
    </cfRule>
  </conditionalFormatting>
  <conditionalFormatting sqref="G162 G165 G169:G170">
    <cfRule type="containsText" dxfId="82" priority="3" operator="containsText" text="Pas op">
      <formula>NOT(ISERROR(SEARCH("Pas op",G162)))</formula>
    </cfRule>
  </conditionalFormatting>
  <conditionalFormatting sqref="G100">
    <cfRule type="containsText" dxfId="81" priority="2" operator="containsText" text="Pas op">
      <formula>NOT(ISERROR(SEARCH("Pas op",G100)))</formula>
    </cfRule>
  </conditionalFormatting>
  <conditionalFormatting sqref="G166:G168">
    <cfRule type="containsText" dxfId="80" priority="1" operator="containsText" text="Pas op">
      <formula>NOT(ISERROR(SEARCH("Pas op",G166)))</formula>
    </cfRule>
  </conditionalFormatting>
  <dataValidations count="3">
    <dataValidation type="list" allowBlank="1" showInputMessage="1" showErrorMessage="1" sqref="C10" xr:uid="{FFCB3A66-9B26-48D8-82C3-CA60BA0D79E7}">
      <formula1>INDIRECT("lst_vermogenseenheid")</formula1>
    </dataValidation>
    <dataValidation type="list" allowBlank="1" showInputMessage="1" showErrorMessage="1" sqref="C9" xr:uid="{BB7AB9E0-E61F-46F4-8819-D3E6E4E35CCA}">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D6293911-EE16-4D5B-A35D-E51684CC5C6E}">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A3EEE3-AD95-42DF-BD73-D133868CAFF8}">
          <x14:formula1>
            <xm:f>'ETS correctie methodes'!$B$4:$B$14</xm:f>
          </x14:formula1>
          <xm:sqref>C13</xm:sqref>
        </x14:dataValidation>
        <x14:dataValidation type="list" allowBlank="1" showInputMessage="1" showErrorMessage="1" xr:uid="{06B2400B-38E9-4D16-8557-39E15403A024}">
          <x14:formula1>
            <xm:f>Colofon!$A$51:$A$56</xm:f>
          </x14:formula1>
          <xm:sqref>C11</xm:sqref>
        </x14:dataValidation>
        <x14:dataValidation type="list" allowBlank="1" showInputMessage="1" showErrorMessage="1" xr:uid="{DD5E0423-76F1-4AAD-AE02-664FC5836F7E}">
          <x14:formula1>
            <xm:f>Correctiebedragen!$A$3:$A$7</xm:f>
          </x14:formula1>
          <xm:sqref>C12 C16:C17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DB9DD-2C42-44EB-9D2D-53BFAEDCAA68}">
  <sheetPr codeName="Sheet95">
    <tabColor theme="7"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bestFit="1"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373</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7.0000000000000007E-2</v>
      </c>
      <c r="D5" s="113" t="str">
        <f>CONCATENATE("Euro/",$C$9)</f>
        <v>Euro/kWh</v>
      </c>
      <c r="E5" s="424"/>
      <c r="F5" s="425"/>
      <c r="G5" s="425"/>
      <c r="H5" s="425"/>
      <c r="I5" s="425"/>
      <c r="J5" s="425"/>
      <c r="K5" s="425"/>
      <c r="L5" s="425"/>
      <c r="M5" s="426"/>
      <c r="N5" s="26"/>
    </row>
    <row r="6" spans="1:14" x14ac:dyDescent="0.2">
      <c r="B6" s="4" t="s">
        <v>203</v>
      </c>
      <c r="C6" s="114">
        <f>ROUND((C5-C7)/C8*1000,0)</f>
        <v>268</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5.0999999999999997E-2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7.0800000000000002E-2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6</v>
      </c>
      <c r="D12" s="296"/>
      <c r="E12" s="424" t="str">
        <f>"Correctiebedrag = "&amp;IFERROR(INDEX(Correctiebedragen!$A$1:$M$256,MATCH('4'!C12,Correctiebedragen!$A$1:$A$256,0),9),"")</f>
        <v>Correctiebedrag = 2/3 x LT_e x LT_PIF_PV</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v>6</v>
      </c>
      <c r="D16" s="31"/>
      <c r="E16" s="419" t="str">
        <f>IFERROR(INDEX(Correctiebedragen!$A$1:$M$256,MATCH('4'!C16,Correctiebedragen!$A$1:$A$256,0),9),"")</f>
        <v>2/3 x LT_e x LT_PIF_PV</v>
      </c>
      <c r="F16" s="420"/>
      <c r="G16" s="420"/>
      <c r="H16" s="420"/>
      <c r="I16" s="420"/>
      <c r="J16" s="420"/>
      <c r="K16" s="420"/>
      <c r="L16" s="420"/>
      <c r="M16" s="421"/>
      <c r="N16" s="243"/>
    </row>
    <row r="17" spans="2:14" x14ac:dyDescent="0.2">
      <c r="B17" s="6" t="s">
        <v>211</v>
      </c>
      <c r="C17" s="27">
        <v>8</v>
      </c>
      <c r="D17" s="31"/>
      <c r="E17" s="419" t="str">
        <f>IFERROR(INDEX(Correctiebedragen!$A$1:$M$256,MATCH('4'!C17,Correctiebedragen!$A$1:$A$256,0),9),"")</f>
        <v>2/3 x LT_e x LT_PIF_PV + EB3_e + ODE3_e</v>
      </c>
      <c r="F17" s="420"/>
      <c r="G17" s="420"/>
      <c r="H17" s="420"/>
      <c r="I17" s="420"/>
      <c r="J17" s="420"/>
      <c r="K17" s="420"/>
      <c r="L17" s="420"/>
      <c r="M17" s="421"/>
      <c r="N17" s="243"/>
    </row>
    <row r="18" spans="2:14" x14ac:dyDescent="0.2">
      <c r="B18" s="6" t="s">
        <v>212</v>
      </c>
      <c r="C18" s="186">
        <v>0.9</v>
      </c>
      <c r="D18" s="31"/>
      <c r="E18" s="419"/>
      <c r="F18" s="420"/>
      <c r="G18" s="420"/>
      <c r="H18" s="420"/>
      <c r="I18" s="420"/>
      <c r="J18" s="420"/>
      <c r="K18" s="420"/>
      <c r="L18" s="420"/>
      <c r="M18" s="421"/>
      <c r="N18" s="243"/>
    </row>
    <row r="19" spans="2:14" x14ac:dyDescent="0.2">
      <c r="B19" s="6" t="s">
        <v>213</v>
      </c>
      <c r="C19" s="186">
        <v>0.1</v>
      </c>
      <c r="D19" s="31"/>
      <c r="E19" s="419"/>
      <c r="F19" s="420"/>
      <c r="G19" s="420"/>
      <c r="H19" s="420"/>
      <c r="I19" s="420"/>
      <c r="J19" s="420"/>
      <c r="K19" s="420"/>
      <c r="L19" s="420"/>
      <c r="M19" s="421"/>
      <c r="N19" s="243"/>
    </row>
    <row r="20" spans="2:14" x14ac:dyDescent="0.2">
      <c r="B20" s="6" t="s">
        <v>49</v>
      </c>
      <c r="C20" s="260">
        <f>IFERROR(ROUND(INDEX(Correctiebedragen!$A$1:$K$7,MATCH('4'!C16,Correctiebedragen!$A$1:$A$7,0),8),decimalen),"n.v.t.")</f>
        <v>4.8000000000000001E-2</v>
      </c>
      <c r="D20" s="31"/>
      <c r="E20" s="419"/>
      <c r="F20" s="420"/>
      <c r="G20" s="420"/>
      <c r="H20" s="420"/>
      <c r="I20" s="420"/>
      <c r="J20" s="420"/>
      <c r="K20" s="420"/>
      <c r="L20" s="420"/>
      <c r="M20" s="421"/>
      <c r="N20" s="243"/>
    </row>
    <row r="21" spans="2:14" x14ac:dyDescent="0.2">
      <c r="B21" s="6" t="s">
        <v>50</v>
      </c>
      <c r="C21" s="260">
        <f>IFERROR(ROUND(INDEX(Correctiebedragen!$A$1:$K$7,MATCH('4'!C17,Correctiebedragen!$A$1:$A$7,0),8),decimalen),"n.v.t.")</f>
        <v>8.2000000000000003E-2</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10000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27">
        <v>10000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855</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505</v>
      </c>
      <c r="D47" s="32" t="str">
        <f>CONCATENATE("Euro/",$C$10)</f>
        <v>Euro/kW</v>
      </c>
    </row>
    <row r="48" spans="2:13" x14ac:dyDescent="0.2">
      <c r="B48" s="6" t="s">
        <v>245</v>
      </c>
      <c r="C48" s="44">
        <f>IF(C99&lt;&gt;0,((C30*C46+SUM(C35,C37)*C47)+C99)/1000000,((C30*C46+SUM(C35,C37)*C47)*(1+C98*C87))/1000000)</f>
        <v>5.0878750000000004</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14.6</v>
      </c>
      <c r="D50" s="32" t="str">
        <f>CONCATENATE("Euro/",$C$10,"/jaar")</f>
        <v>Euro/kW/jaar</v>
      </c>
      <c r="E50" s="424"/>
      <c r="F50" s="425"/>
      <c r="G50" s="425"/>
      <c r="H50" s="425"/>
      <c r="I50" s="425"/>
      <c r="J50" s="425"/>
      <c r="K50" s="425"/>
      <c r="L50" s="425"/>
      <c r="M50" s="426"/>
    </row>
    <row r="51" spans="2:13" x14ac:dyDescent="0.2">
      <c r="B51" s="6" t="s">
        <v>249</v>
      </c>
      <c r="C51" s="46">
        <f>(C49*C30+C50*SUM(C35,C37))/1000</f>
        <v>146</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5.3999999999999999E-2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8.8900000000000007E-2</v>
      </c>
      <c r="D76" s="34" t="s">
        <v>282</v>
      </c>
      <c r="E76" s="299"/>
      <c r="F76" s="300"/>
      <c r="G76" s="300"/>
      <c r="H76" s="300"/>
      <c r="I76" s="300"/>
      <c r="J76" s="300"/>
      <c r="K76" s="300"/>
      <c r="L76" s="300"/>
      <c r="M76" s="301"/>
    </row>
    <row r="77" spans="2:13" x14ac:dyDescent="0.2">
      <c r="B77" s="6" t="s">
        <v>283</v>
      </c>
      <c r="C77" s="49">
        <v>800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0.75</v>
      </c>
      <c r="D87" s="34"/>
      <c r="E87" s="419"/>
      <c r="F87" s="420"/>
      <c r="G87" s="420"/>
      <c r="H87" s="420"/>
      <c r="I87" s="420"/>
      <c r="J87" s="420"/>
      <c r="K87" s="420"/>
      <c r="L87" s="420"/>
      <c r="M87" s="421"/>
    </row>
    <row r="88" spans="2:15" x14ac:dyDescent="0.2">
      <c r="B88" s="6" t="s">
        <v>295</v>
      </c>
      <c r="C88" s="52">
        <v>0.25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v>12</v>
      </c>
      <c r="D97" s="179">
        <v>-130000</v>
      </c>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-5087875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8550000</v>
      </c>
      <c r="F111" s="78">
        <f t="shared" ref="F111:AR111" si="2">IF(F108&lt;=$C$94,$C$37*$C$39,IF(AND(F108&gt;$C$94,F108&lt;=$C$91),$C$37*$C$77,0))*IF($C$41=0,1,$C$42/$C$41)</f>
        <v>8550000</v>
      </c>
      <c r="G111" s="78">
        <f t="shared" si="2"/>
        <v>8550000</v>
      </c>
      <c r="H111" s="78">
        <f t="shared" si="2"/>
        <v>8550000</v>
      </c>
      <c r="I111" s="78">
        <f t="shared" si="2"/>
        <v>8550000</v>
      </c>
      <c r="J111" s="78">
        <f t="shared" si="2"/>
        <v>8550000</v>
      </c>
      <c r="K111" s="78">
        <f t="shared" si="2"/>
        <v>8550000</v>
      </c>
      <c r="L111" s="78">
        <f t="shared" si="2"/>
        <v>8550000</v>
      </c>
      <c r="M111" s="78">
        <f t="shared" si="2"/>
        <v>8550000</v>
      </c>
      <c r="N111" s="78">
        <f t="shared" si="2"/>
        <v>8550000</v>
      </c>
      <c r="O111" s="78">
        <f t="shared" si="2"/>
        <v>8550000</v>
      </c>
      <c r="P111" s="78">
        <f t="shared" si="2"/>
        <v>8550000</v>
      </c>
      <c r="Q111" s="78">
        <f t="shared" si="2"/>
        <v>8550000</v>
      </c>
      <c r="R111" s="78">
        <f t="shared" si="2"/>
        <v>8550000</v>
      </c>
      <c r="S111" s="78">
        <f t="shared" si="2"/>
        <v>8550000</v>
      </c>
      <c r="T111" s="78">
        <f t="shared" si="2"/>
        <v>8000000</v>
      </c>
      <c r="U111" s="78">
        <f t="shared" si="2"/>
        <v>8000000</v>
      </c>
      <c r="V111" s="78">
        <f t="shared" si="2"/>
        <v>8000000</v>
      </c>
      <c r="W111" s="78">
        <f t="shared" si="2"/>
        <v>8000000</v>
      </c>
      <c r="X111" s="78">
        <f t="shared" si="2"/>
        <v>8000000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8550000</v>
      </c>
      <c r="F114" s="84">
        <f t="shared" ref="F114:AR114" si="5">SUM(F111:F113)</f>
        <v>8550000</v>
      </c>
      <c r="G114" s="84">
        <f t="shared" si="5"/>
        <v>8550000</v>
      </c>
      <c r="H114" s="84">
        <f t="shared" si="5"/>
        <v>8550000</v>
      </c>
      <c r="I114" s="84">
        <f t="shared" si="5"/>
        <v>8550000</v>
      </c>
      <c r="J114" s="84">
        <f t="shared" si="5"/>
        <v>8550000</v>
      </c>
      <c r="K114" s="84">
        <f t="shared" si="5"/>
        <v>8550000</v>
      </c>
      <c r="L114" s="84">
        <f t="shared" si="5"/>
        <v>8550000</v>
      </c>
      <c r="M114" s="84">
        <f t="shared" si="5"/>
        <v>8550000</v>
      </c>
      <c r="N114" s="84">
        <f t="shared" si="5"/>
        <v>8550000</v>
      </c>
      <c r="O114" s="84">
        <f t="shared" si="5"/>
        <v>8550000</v>
      </c>
      <c r="P114" s="84">
        <f t="shared" si="5"/>
        <v>8550000</v>
      </c>
      <c r="Q114" s="84">
        <f t="shared" si="5"/>
        <v>8550000</v>
      </c>
      <c r="R114" s="84">
        <f t="shared" si="5"/>
        <v>8550000</v>
      </c>
      <c r="S114" s="84">
        <f t="shared" si="5"/>
        <v>8550000</v>
      </c>
      <c r="T114" s="84">
        <f t="shared" si="5"/>
        <v>8000000</v>
      </c>
      <c r="U114" s="84">
        <f t="shared" si="5"/>
        <v>8000000</v>
      </c>
      <c r="V114" s="84">
        <f t="shared" si="5"/>
        <v>8000000</v>
      </c>
      <c r="W114" s="84">
        <f t="shared" si="5"/>
        <v>8000000</v>
      </c>
      <c r="X114" s="84">
        <f t="shared" si="5"/>
        <v>8000000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-170795</v>
      </c>
      <c r="F116" s="78">
        <f t="shared" si="6"/>
        <v>-174210.9</v>
      </c>
      <c r="G116" s="78">
        <f t="shared" si="6"/>
        <v>-177695.11799999999</v>
      </c>
      <c r="H116" s="78">
        <f t="shared" si="6"/>
        <v>-181249.02035999999</v>
      </c>
      <c r="I116" s="78">
        <f t="shared" si="6"/>
        <v>-184874.00076719999</v>
      </c>
      <c r="J116" s="78">
        <f t="shared" si="6"/>
        <v>-188571.48078254401</v>
      </c>
      <c r="K116" s="78">
        <f t="shared" si="6"/>
        <v>-192342.91039819489</v>
      </c>
      <c r="L116" s="78">
        <f t="shared" si="6"/>
        <v>-196189.76860615876</v>
      </c>
      <c r="M116" s="78">
        <f t="shared" si="6"/>
        <v>-200113.56397828195</v>
      </c>
      <c r="N116" s="78">
        <f t="shared" si="6"/>
        <v>-204115.83525784759</v>
      </c>
      <c r="O116" s="78">
        <f t="shared" si="6"/>
        <v>-208198.15196300455</v>
      </c>
      <c r="P116" s="78">
        <f t="shared" si="6"/>
        <v>-374000.77509356936</v>
      </c>
      <c r="Q116" s="78">
        <f t="shared" si="6"/>
        <v>-216609.35730230992</v>
      </c>
      <c r="R116" s="78">
        <f t="shared" si="6"/>
        <v>-220941.54444835612</v>
      </c>
      <c r="S116" s="78">
        <f t="shared" si="6"/>
        <v>-225360.37533732326</v>
      </c>
      <c r="T116" s="78">
        <f t="shared" si="6"/>
        <v>-227720.92284444266</v>
      </c>
      <c r="U116" s="78">
        <f t="shared" si="6"/>
        <v>-232275.34130133156</v>
      </c>
      <c r="V116" s="78">
        <f t="shared" si="6"/>
        <v>-236920.84812735821</v>
      </c>
      <c r="W116" s="78">
        <f t="shared" si="6"/>
        <v>-241659.26508990536</v>
      </c>
      <c r="X116" s="78">
        <f t="shared" si="6"/>
        <v>-246492.45039170343</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0.1196476952770151</v>
      </c>
      <c r="U118" s="85">
        <f t="shared" si="8"/>
        <v>0.12204064918255542</v>
      </c>
      <c r="V118" s="85">
        <f t="shared" si="8"/>
        <v>0.12448146216620654</v>
      </c>
      <c r="W118" s="85">
        <f t="shared" si="8"/>
        <v>0.12697109140953067</v>
      </c>
      <c r="X118" s="85">
        <f t="shared" si="8"/>
        <v>0.12951051323772125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957181.56221612077</v>
      </c>
      <c r="U123" s="81">
        <f t="shared" si="13"/>
        <v>976325.19346044329</v>
      </c>
      <c r="V123" s="81">
        <f t="shared" si="13"/>
        <v>995851.69732965226</v>
      </c>
      <c r="W123" s="81">
        <f t="shared" si="13"/>
        <v>1015768.7312762453</v>
      </c>
      <c r="X123" s="81">
        <f t="shared" si="13"/>
        <v>1036084.1059017701</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957181.56221612077</v>
      </c>
      <c r="U126" s="78">
        <f t="shared" si="15"/>
        <v>976325.19346044329</v>
      </c>
      <c r="V126" s="78">
        <f t="shared" si="15"/>
        <v>995851.69732965226</v>
      </c>
      <c r="W126" s="78">
        <f t="shared" si="15"/>
        <v>1015768.7312762453</v>
      </c>
      <c r="X126" s="78">
        <f t="shared" si="15"/>
        <v>1036084.1059017701</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-170795</v>
      </c>
      <c r="F127" s="81">
        <f t="shared" si="16"/>
        <v>-174210.9</v>
      </c>
      <c r="G127" s="81">
        <f t="shared" si="16"/>
        <v>-177695.11799999999</v>
      </c>
      <c r="H127" s="81">
        <f t="shared" si="16"/>
        <v>-181249.02035999999</v>
      </c>
      <c r="I127" s="81">
        <f t="shared" si="16"/>
        <v>-184874.00076719999</v>
      </c>
      <c r="J127" s="81">
        <f t="shared" si="16"/>
        <v>-188571.48078254401</v>
      </c>
      <c r="K127" s="81">
        <f t="shared" si="16"/>
        <v>-192342.91039819489</v>
      </c>
      <c r="L127" s="81">
        <f t="shared" si="16"/>
        <v>-196189.76860615876</v>
      </c>
      <c r="M127" s="81">
        <f t="shared" si="16"/>
        <v>-200113.56397828195</v>
      </c>
      <c r="N127" s="81">
        <f t="shared" si="16"/>
        <v>-204115.83525784759</v>
      </c>
      <c r="O127" s="81">
        <f t="shared" si="16"/>
        <v>-208198.15196300455</v>
      </c>
      <c r="P127" s="81">
        <f t="shared" si="16"/>
        <v>-374000.77509356936</v>
      </c>
      <c r="Q127" s="81">
        <f t="shared" si="16"/>
        <v>-216609.35730230992</v>
      </c>
      <c r="R127" s="81">
        <f t="shared" si="16"/>
        <v>-220941.54444835612</v>
      </c>
      <c r="S127" s="81">
        <f t="shared" si="16"/>
        <v>-225360.37533732326</v>
      </c>
      <c r="T127" s="81">
        <f t="shared" si="16"/>
        <v>-227720.92284444266</v>
      </c>
      <c r="U127" s="81">
        <f t="shared" si="16"/>
        <v>-232275.34130133156</v>
      </c>
      <c r="V127" s="81">
        <f t="shared" si="16"/>
        <v>-236920.84812735821</v>
      </c>
      <c r="W127" s="81">
        <f t="shared" si="16"/>
        <v>-241659.26508990536</v>
      </c>
      <c r="X127" s="81">
        <f t="shared" si="16"/>
        <v>-246492.45039170343</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-170795</v>
      </c>
      <c r="F128" s="90">
        <f t="shared" ref="F128:AR128" si="17">SUM(F126:F127)</f>
        <v>-174210.9</v>
      </c>
      <c r="G128" s="90">
        <f t="shared" si="17"/>
        <v>-177695.11799999999</v>
      </c>
      <c r="H128" s="90">
        <f t="shared" si="17"/>
        <v>-181249.02035999999</v>
      </c>
      <c r="I128" s="90">
        <f t="shared" si="17"/>
        <v>-184874.00076719999</v>
      </c>
      <c r="J128" s="90">
        <f t="shared" si="17"/>
        <v>-188571.48078254401</v>
      </c>
      <c r="K128" s="90">
        <f t="shared" si="17"/>
        <v>-192342.91039819489</v>
      </c>
      <c r="L128" s="90">
        <f t="shared" si="17"/>
        <v>-196189.76860615876</v>
      </c>
      <c r="M128" s="90">
        <f t="shared" si="17"/>
        <v>-200113.56397828195</v>
      </c>
      <c r="N128" s="90">
        <f t="shared" si="17"/>
        <v>-204115.83525784759</v>
      </c>
      <c r="O128" s="90">
        <f t="shared" si="17"/>
        <v>-208198.15196300455</v>
      </c>
      <c r="P128" s="90">
        <f t="shared" si="17"/>
        <v>-374000.77509356936</v>
      </c>
      <c r="Q128" s="90">
        <f t="shared" si="17"/>
        <v>-216609.35730230992</v>
      </c>
      <c r="R128" s="90">
        <f t="shared" si="17"/>
        <v>-220941.54444835612</v>
      </c>
      <c r="S128" s="90">
        <f t="shared" si="17"/>
        <v>-225360.37533732326</v>
      </c>
      <c r="T128" s="90">
        <f t="shared" si="17"/>
        <v>729460.63937167812</v>
      </c>
      <c r="U128" s="90">
        <f t="shared" si="17"/>
        <v>744049.85215911176</v>
      </c>
      <c r="V128" s="90">
        <f t="shared" si="17"/>
        <v>758930.84920229402</v>
      </c>
      <c r="W128" s="90">
        <f t="shared" si="17"/>
        <v>774109.46618633997</v>
      </c>
      <c r="X128" s="90">
        <f t="shared" si="17"/>
        <v>789591.65551006666</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-339191.66666666669</v>
      </c>
      <c r="F130" s="78">
        <f t="shared" si="18"/>
        <v>-339191.66666666669</v>
      </c>
      <c r="G130" s="78">
        <f t="shared" si="18"/>
        <v>-339191.66666666669</v>
      </c>
      <c r="H130" s="78">
        <f t="shared" si="18"/>
        <v>-339191.66666666669</v>
      </c>
      <c r="I130" s="78">
        <f t="shared" si="18"/>
        <v>-339191.66666666669</v>
      </c>
      <c r="J130" s="78">
        <f t="shared" si="18"/>
        <v>-339191.66666666669</v>
      </c>
      <c r="K130" s="78">
        <f t="shared" si="18"/>
        <v>-339191.66666666669</v>
      </c>
      <c r="L130" s="78">
        <f t="shared" si="18"/>
        <v>-339191.66666666669</v>
      </c>
      <c r="M130" s="78">
        <f t="shared" si="18"/>
        <v>-339191.66666666669</v>
      </c>
      <c r="N130" s="78">
        <f t="shared" si="18"/>
        <v>-339191.66666666669</v>
      </c>
      <c r="O130" s="78">
        <f t="shared" si="18"/>
        <v>-339191.66666666669</v>
      </c>
      <c r="P130" s="78">
        <f t="shared" si="18"/>
        <v>-339191.66666666669</v>
      </c>
      <c r="Q130" s="78">
        <f t="shared" si="18"/>
        <v>-339191.66666666669</v>
      </c>
      <c r="R130" s="78">
        <f t="shared" si="18"/>
        <v>-339191.66666666669</v>
      </c>
      <c r="S130" s="78">
        <f t="shared" si="18"/>
        <v>-339191.66666666669</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-181255.546875</v>
      </c>
      <c r="F131" s="81">
        <f t="shared" si="19"/>
        <v>-172696.45433329995</v>
      </c>
      <c r="G131" s="81">
        <f t="shared" si="19"/>
        <v>-163730.80489586914</v>
      </c>
      <c r="H131" s="81">
        <f t="shared" si="19"/>
        <v>-154339.28711016045</v>
      </c>
      <c r="I131" s="81">
        <f t="shared" si="19"/>
        <v>-144501.67222963055</v>
      </c>
      <c r="J131" s="81">
        <f t="shared" si="19"/>
        <v>-134196.77064227549</v>
      </c>
      <c r="K131" s="81">
        <f t="shared" si="19"/>
        <v>-123402.38622952104</v>
      </c>
      <c r="L131" s="81">
        <f t="shared" si="19"/>
        <v>-112095.26855716077</v>
      </c>
      <c r="M131" s="81">
        <f t="shared" si="19"/>
        <v>-100251.06279536342</v>
      </c>
      <c r="N131" s="81">
        <f t="shared" si="19"/>
        <v>-87844.257259880658</v>
      </c>
      <c r="O131" s="81">
        <f t="shared" si="19"/>
        <v>-74848.12846146246</v>
      </c>
      <c r="P131" s="81">
        <f t="shared" si="19"/>
        <v>-61234.68354511942</v>
      </c>
      <c r="Q131" s="81">
        <f t="shared" si="19"/>
        <v>-46974.599995250064</v>
      </c>
      <c r="R131" s="81">
        <f t="shared" si="19"/>
        <v>-32037.162476761929</v>
      </c>
      <c r="S131" s="81">
        <f t="shared" si="19"/>
        <v>-16390.196676145602</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-180191.4219305267</v>
      </c>
      <c r="F132" s="81">
        <f t="shared" si="20"/>
        <v>-188750.51447222673</v>
      </c>
      <c r="G132" s="81">
        <f t="shared" si="20"/>
        <v>-197716.16390965754</v>
      </c>
      <c r="H132" s="81">
        <f t="shared" si="20"/>
        <v>-207107.68169536622</v>
      </c>
      <c r="I132" s="81">
        <f t="shared" si="20"/>
        <v>-216945.29657589612</v>
      </c>
      <c r="J132" s="81">
        <f t="shared" si="20"/>
        <v>-227250.19816325119</v>
      </c>
      <c r="K132" s="81">
        <f t="shared" si="20"/>
        <v>-238044.58257600563</v>
      </c>
      <c r="L132" s="81">
        <f t="shared" si="20"/>
        <v>-249351.7002483659</v>
      </c>
      <c r="M132" s="81">
        <f t="shared" si="20"/>
        <v>-261195.90601016325</v>
      </c>
      <c r="N132" s="81">
        <f t="shared" si="20"/>
        <v>-273602.71154564602</v>
      </c>
      <c r="O132" s="81">
        <f t="shared" si="20"/>
        <v>-286598.84034406423</v>
      </c>
      <c r="P132" s="81">
        <f t="shared" si="20"/>
        <v>-300212.28526040725</v>
      </c>
      <c r="Q132" s="81">
        <f t="shared" si="20"/>
        <v>-314472.36881027668</v>
      </c>
      <c r="R132" s="81">
        <f t="shared" si="20"/>
        <v>-329409.80632876483</v>
      </c>
      <c r="S132" s="81">
        <f t="shared" si="20"/>
        <v>-345056.77212938108</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-361446.96880552673</v>
      </c>
      <c r="F133" s="90">
        <f t="shared" ref="F133:AR133" si="21">SUM(F131,F132)</f>
        <v>-361446.96880552667</v>
      </c>
      <c r="G133" s="90">
        <f t="shared" si="21"/>
        <v>-361446.96880552667</v>
      </c>
      <c r="H133" s="90">
        <f t="shared" si="21"/>
        <v>-361446.96880552667</v>
      </c>
      <c r="I133" s="90">
        <f t="shared" si="21"/>
        <v>-361446.96880552667</v>
      </c>
      <c r="J133" s="90">
        <f t="shared" si="21"/>
        <v>-361446.96880552667</v>
      </c>
      <c r="K133" s="90">
        <f t="shared" si="21"/>
        <v>-361446.96880552667</v>
      </c>
      <c r="L133" s="90">
        <f t="shared" si="21"/>
        <v>-361446.96880552667</v>
      </c>
      <c r="M133" s="90">
        <f t="shared" si="21"/>
        <v>-361446.96880552667</v>
      </c>
      <c r="N133" s="90">
        <f t="shared" si="21"/>
        <v>-361446.96880552667</v>
      </c>
      <c r="O133" s="90">
        <f t="shared" si="21"/>
        <v>-361446.96880552667</v>
      </c>
      <c r="P133" s="90">
        <f t="shared" si="21"/>
        <v>-361446.96880552667</v>
      </c>
      <c r="Q133" s="90">
        <f t="shared" si="21"/>
        <v>-361446.96880552673</v>
      </c>
      <c r="R133" s="90">
        <f t="shared" si="21"/>
        <v>-361446.96880552673</v>
      </c>
      <c r="S133" s="90">
        <f t="shared" si="21"/>
        <v>-361446.96880552667</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-691242.21354166674</v>
      </c>
      <c r="F135" s="95">
        <f t="shared" ref="F135:AR135" si="22">F128+F130+F131</f>
        <v>-686099.02099996665</v>
      </c>
      <c r="G135" s="95">
        <f t="shared" si="22"/>
        <v>-680617.58956253575</v>
      </c>
      <c r="H135" s="95">
        <f t="shared" si="22"/>
        <v>-674779.97413682716</v>
      </c>
      <c r="I135" s="95">
        <f t="shared" si="22"/>
        <v>-668567.33966349717</v>
      </c>
      <c r="J135" s="95">
        <f t="shared" si="22"/>
        <v>-661959.91809148621</v>
      </c>
      <c r="K135" s="95">
        <f t="shared" si="22"/>
        <v>-654936.96329438256</v>
      </c>
      <c r="L135" s="95">
        <f t="shared" si="22"/>
        <v>-647476.70382998616</v>
      </c>
      <c r="M135" s="95">
        <f t="shared" si="22"/>
        <v>-639556.29344031215</v>
      </c>
      <c r="N135" s="95">
        <f t="shared" si="22"/>
        <v>-631151.75918439496</v>
      </c>
      <c r="O135" s="95">
        <f t="shared" si="22"/>
        <v>-622237.94709113368</v>
      </c>
      <c r="P135" s="95">
        <f t="shared" si="22"/>
        <v>-774427.12530535553</v>
      </c>
      <c r="Q135" s="95">
        <f t="shared" si="22"/>
        <v>-602775.62396422669</v>
      </c>
      <c r="R135" s="95">
        <f t="shared" si="22"/>
        <v>-592170.37359178474</v>
      </c>
      <c r="S135" s="95">
        <f t="shared" si="22"/>
        <v>-580942.23868013558</v>
      </c>
      <c r="T135" s="95">
        <f t="shared" si="22"/>
        <v>729460.63937167812</v>
      </c>
      <c r="U135" s="95">
        <f t="shared" si="22"/>
        <v>744049.85215911176</v>
      </c>
      <c r="V135" s="95">
        <f t="shared" si="22"/>
        <v>758930.84920229402</v>
      </c>
      <c r="W135" s="95">
        <f t="shared" si="22"/>
        <v>774109.46618633997</v>
      </c>
      <c r="X135" s="95">
        <f t="shared" si="22"/>
        <v>789591.65551006666</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131336.02057291669</v>
      </c>
      <c r="F136" s="97">
        <f t="shared" si="23"/>
        <v>130358.81398999367</v>
      </c>
      <c r="G136" s="97">
        <f t="shared" si="23"/>
        <v>129317.3420168818</v>
      </c>
      <c r="H136" s="97">
        <f t="shared" si="23"/>
        <v>128208.19508599717</v>
      </c>
      <c r="I136" s="97">
        <f t="shared" si="23"/>
        <v>127027.79453606447</v>
      </c>
      <c r="J136" s="97">
        <f t="shared" si="23"/>
        <v>125772.38443738238</v>
      </c>
      <c r="K136" s="97">
        <f t="shared" si="23"/>
        <v>124438.02302593269</v>
      </c>
      <c r="L136" s="97">
        <f t="shared" si="23"/>
        <v>123020.57372769737</v>
      </c>
      <c r="M136" s="97">
        <f t="shared" si="23"/>
        <v>121515.69575365931</v>
      </c>
      <c r="N136" s="97">
        <f t="shared" si="23"/>
        <v>119918.83424503505</v>
      </c>
      <c r="O136" s="97">
        <f t="shared" si="23"/>
        <v>118225.20994731539</v>
      </c>
      <c r="P136" s="97">
        <f t="shared" si="23"/>
        <v>147141.15380801755</v>
      </c>
      <c r="Q136" s="97">
        <f t="shared" si="23"/>
        <v>114527.36855320306</v>
      </c>
      <c r="R136" s="97">
        <f t="shared" si="23"/>
        <v>112512.3709824391</v>
      </c>
      <c r="S136" s="97">
        <f t="shared" si="23"/>
        <v>110379.02534922576</v>
      </c>
      <c r="T136" s="97">
        <f t="shared" si="23"/>
        <v>-138597.52148061883</v>
      </c>
      <c r="U136" s="97">
        <f t="shared" si="23"/>
        <v>-141369.47191023122</v>
      </c>
      <c r="V136" s="97">
        <f t="shared" si="23"/>
        <v>-144196.86134843586</v>
      </c>
      <c r="W136" s="97">
        <f t="shared" si="23"/>
        <v>-147080.79857540459</v>
      </c>
      <c r="X136" s="97">
        <f t="shared" si="23"/>
        <v>-150022.41454691265</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-400905.94823261001</v>
      </c>
      <c r="F138" s="101">
        <f t="shared" si="24"/>
        <v>-405299.05481553299</v>
      </c>
      <c r="G138" s="101">
        <f t="shared" si="24"/>
        <v>-409824.74478864484</v>
      </c>
      <c r="H138" s="101">
        <f t="shared" si="24"/>
        <v>-414487.79407952953</v>
      </c>
      <c r="I138" s="101">
        <f t="shared" si="24"/>
        <v>-419293.17503666214</v>
      </c>
      <c r="J138" s="101">
        <f t="shared" si="24"/>
        <v>-424246.06515068823</v>
      </c>
      <c r="K138" s="101">
        <f t="shared" si="24"/>
        <v>-429351.85617778881</v>
      </c>
      <c r="L138" s="101">
        <f t="shared" si="24"/>
        <v>-434616.16368398804</v>
      </c>
      <c r="M138" s="101">
        <f t="shared" si="24"/>
        <v>-440044.83703014936</v>
      </c>
      <c r="N138" s="101">
        <f t="shared" si="24"/>
        <v>-445643.96981833922</v>
      </c>
      <c r="O138" s="101">
        <f t="shared" si="24"/>
        <v>-451419.91082121583</v>
      </c>
      <c r="P138" s="101">
        <f t="shared" si="24"/>
        <v>-588306.59009107854</v>
      </c>
      <c r="Q138" s="101">
        <f t="shared" si="24"/>
        <v>-463528.95755463361</v>
      </c>
      <c r="R138" s="101">
        <f t="shared" si="24"/>
        <v>-469876.14227144379</v>
      </c>
      <c r="S138" s="101">
        <f t="shared" si="24"/>
        <v>-476428.31879362417</v>
      </c>
      <c r="T138" s="101">
        <f t="shared" si="24"/>
        <v>590863.11789105926</v>
      </c>
      <c r="U138" s="101">
        <f t="shared" si="24"/>
        <v>602680.38024888048</v>
      </c>
      <c r="V138" s="101">
        <f t="shared" si="24"/>
        <v>614733.98785385815</v>
      </c>
      <c r="W138" s="101">
        <f t="shared" si="24"/>
        <v>627028.6676109354</v>
      </c>
      <c r="X138" s="101">
        <f t="shared" si="24"/>
        <v>639569.24096315401</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-5087875</v>
      </c>
      <c r="E139" s="106">
        <f>E128+E136</f>
        <v>-39458.979427083308</v>
      </c>
      <c r="F139" s="106">
        <f t="shared" ref="F139:AR139" si="25">F128+F136</f>
        <v>-43852.086010006329</v>
      </c>
      <c r="G139" s="106">
        <f t="shared" si="25"/>
        <v>-48377.77598311819</v>
      </c>
      <c r="H139" s="106">
        <f t="shared" si="25"/>
        <v>-53040.825274002826</v>
      </c>
      <c r="I139" s="106">
        <f t="shared" si="25"/>
        <v>-57846.206231135526</v>
      </c>
      <c r="J139" s="106">
        <f t="shared" si="25"/>
        <v>-62799.096345161626</v>
      </c>
      <c r="K139" s="106">
        <f t="shared" si="25"/>
        <v>-67904.887372262194</v>
      </c>
      <c r="L139" s="106">
        <f t="shared" si="25"/>
        <v>-73169.194878461392</v>
      </c>
      <c r="M139" s="106">
        <f t="shared" si="25"/>
        <v>-78597.868224622638</v>
      </c>
      <c r="N139" s="106">
        <f t="shared" si="25"/>
        <v>-84197.001012812543</v>
      </c>
      <c r="O139" s="106">
        <f t="shared" si="25"/>
        <v>-89972.942015689157</v>
      </c>
      <c r="P139" s="106">
        <f t="shared" si="25"/>
        <v>-226859.62128555181</v>
      </c>
      <c r="Q139" s="106">
        <f t="shared" si="25"/>
        <v>-102081.98874910685</v>
      </c>
      <c r="R139" s="106">
        <f t="shared" si="25"/>
        <v>-108429.17346591702</v>
      </c>
      <c r="S139" s="106">
        <f t="shared" si="25"/>
        <v>-114981.3499880975</v>
      </c>
      <c r="T139" s="106">
        <f t="shared" si="25"/>
        <v>590863.11789105926</v>
      </c>
      <c r="U139" s="106">
        <f t="shared" si="25"/>
        <v>602680.38024888048</v>
      </c>
      <c r="V139" s="106">
        <f t="shared" si="25"/>
        <v>614733.98785385815</v>
      </c>
      <c r="W139" s="106">
        <f t="shared" si="25"/>
        <v>627028.6676109354</v>
      </c>
      <c r="X139" s="106">
        <f t="shared" si="25"/>
        <v>639569.24096315401</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-1271968.75</v>
      </c>
      <c r="E140" s="106">
        <f>E138</f>
        <v>-400905.94823261001</v>
      </c>
      <c r="F140" s="106">
        <f t="shared" ref="F140:AR140" si="26">F138</f>
        <v>-405299.05481553299</v>
      </c>
      <c r="G140" s="106">
        <f t="shared" si="26"/>
        <v>-409824.74478864484</v>
      </c>
      <c r="H140" s="106">
        <f t="shared" si="26"/>
        <v>-414487.79407952953</v>
      </c>
      <c r="I140" s="106">
        <f t="shared" si="26"/>
        <v>-419293.17503666214</v>
      </c>
      <c r="J140" s="106">
        <f t="shared" si="26"/>
        <v>-424246.06515068823</v>
      </c>
      <c r="K140" s="106">
        <f t="shared" si="26"/>
        <v>-429351.85617778881</v>
      </c>
      <c r="L140" s="106">
        <f t="shared" si="26"/>
        <v>-434616.16368398804</v>
      </c>
      <c r="M140" s="106">
        <f t="shared" si="26"/>
        <v>-440044.83703014936</v>
      </c>
      <c r="N140" s="106">
        <f t="shared" si="26"/>
        <v>-445643.96981833922</v>
      </c>
      <c r="O140" s="106">
        <f t="shared" si="26"/>
        <v>-451419.91082121583</v>
      </c>
      <c r="P140" s="106">
        <f t="shared" si="26"/>
        <v>-588306.59009107854</v>
      </c>
      <c r="Q140" s="106">
        <f t="shared" si="26"/>
        <v>-463528.95755463361</v>
      </c>
      <c r="R140" s="106">
        <f t="shared" si="26"/>
        <v>-469876.14227144379</v>
      </c>
      <c r="S140" s="106">
        <f t="shared" si="26"/>
        <v>-476428.31879362417</v>
      </c>
      <c r="T140" s="106">
        <f t="shared" si="26"/>
        <v>590863.11789105926</v>
      </c>
      <c r="U140" s="106">
        <f t="shared" si="26"/>
        <v>602680.38024888048</v>
      </c>
      <c r="V140" s="106">
        <f t="shared" si="26"/>
        <v>614733.98785385815</v>
      </c>
      <c r="W140" s="106">
        <f t="shared" si="26"/>
        <v>627028.6676109354</v>
      </c>
      <c r="X140" s="106">
        <f t="shared" si="26"/>
        <v>639569.24096315401</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8550000</v>
      </c>
      <c r="F141" s="108">
        <f t="shared" si="27"/>
        <v>8550000</v>
      </c>
      <c r="G141" s="108">
        <f t="shared" si="27"/>
        <v>8550000</v>
      </c>
      <c r="H141" s="108">
        <f t="shared" si="27"/>
        <v>8550000</v>
      </c>
      <c r="I141" s="108">
        <f t="shared" si="27"/>
        <v>8550000</v>
      </c>
      <c r="J141" s="108">
        <f t="shared" si="27"/>
        <v>8550000</v>
      </c>
      <c r="K141" s="108">
        <f t="shared" si="27"/>
        <v>8550000</v>
      </c>
      <c r="L141" s="108">
        <f t="shared" si="27"/>
        <v>8550000</v>
      </c>
      <c r="M141" s="108">
        <f t="shared" si="27"/>
        <v>8550000</v>
      </c>
      <c r="N141" s="108">
        <f t="shared" si="27"/>
        <v>8550000</v>
      </c>
      <c r="O141" s="108">
        <f t="shared" si="27"/>
        <v>8550000</v>
      </c>
      <c r="P141" s="108">
        <f t="shared" si="27"/>
        <v>8550000</v>
      </c>
      <c r="Q141" s="108">
        <f t="shared" si="27"/>
        <v>8550000</v>
      </c>
      <c r="R141" s="108">
        <f t="shared" si="27"/>
        <v>8550000</v>
      </c>
      <c r="S141" s="108">
        <f t="shared" si="27"/>
        <v>8550000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5087875</v>
      </c>
      <c r="E142" s="124">
        <f>D142-($C$5*E114+E128+E131)</f>
        <v>4841425.546875</v>
      </c>
      <c r="F142" s="124">
        <f t="shared" ref="F142:AR142" si="28">E142-($C$5*F114+F128+F131)</f>
        <v>4589832.9012083001</v>
      </c>
      <c r="G142" s="124">
        <f t="shared" si="28"/>
        <v>4332758.8241041694</v>
      </c>
      <c r="H142" s="124">
        <f t="shared" si="28"/>
        <v>4069847.1315743299</v>
      </c>
      <c r="I142" s="124">
        <f t="shared" si="28"/>
        <v>3800722.8045711606</v>
      </c>
      <c r="J142" s="124">
        <f t="shared" si="28"/>
        <v>3524991.0559959803</v>
      </c>
      <c r="K142" s="124">
        <f t="shared" si="28"/>
        <v>3242236.3526236964</v>
      </c>
      <c r="L142" s="124">
        <f t="shared" si="28"/>
        <v>2952021.389787016</v>
      </c>
      <c r="M142" s="124">
        <f t="shared" si="28"/>
        <v>2653886.0165606611</v>
      </c>
      <c r="N142" s="124">
        <f t="shared" si="28"/>
        <v>2347346.1090783896</v>
      </c>
      <c r="O142" s="124">
        <f t="shared" si="28"/>
        <v>2031892.3895028566</v>
      </c>
      <c r="P142" s="124">
        <f t="shared" si="28"/>
        <v>1868627.8481415454</v>
      </c>
      <c r="Q142" s="124">
        <f t="shared" si="28"/>
        <v>1533711.8054391055</v>
      </c>
      <c r="R142" s="124">
        <f t="shared" si="28"/>
        <v>1188190.5123642236</v>
      </c>
      <c r="S142" s="124">
        <f t="shared" si="28"/>
        <v>831441.08437769255</v>
      </c>
      <c r="T142" s="124">
        <f t="shared" si="28"/>
        <v>-458019.55499398569</v>
      </c>
      <c r="U142" s="124">
        <f t="shared" si="28"/>
        <v>-1762069.4071530974</v>
      </c>
      <c r="V142" s="124">
        <f t="shared" si="28"/>
        <v>-3081000.2563553913</v>
      </c>
      <c r="W142" s="124">
        <f t="shared" si="28"/>
        <v>-4415109.7225417309</v>
      </c>
      <c r="X142" s="124">
        <f t="shared" si="28"/>
        <v>-5764701.3780517969</v>
      </c>
      <c r="Y142" s="124">
        <f t="shared" si="28"/>
        <v>-5764701.3780517969</v>
      </c>
      <c r="Z142" s="124">
        <f t="shared" si="28"/>
        <v>-5764701.3780517969</v>
      </c>
      <c r="AA142" s="124">
        <f t="shared" si="28"/>
        <v>-5764701.3780517969</v>
      </c>
      <c r="AB142" s="124">
        <f t="shared" si="28"/>
        <v>-5764701.3780517969</v>
      </c>
      <c r="AC142" s="124">
        <f t="shared" si="28"/>
        <v>-5764701.3780517969</v>
      </c>
      <c r="AD142" s="124">
        <f t="shared" si="28"/>
        <v>-5764701.3780517969</v>
      </c>
      <c r="AE142" s="124">
        <f t="shared" si="28"/>
        <v>-5764701.3780517969</v>
      </c>
      <c r="AF142" s="124">
        <f t="shared" si="28"/>
        <v>-5764701.3780517969</v>
      </c>
      <c r="AG142" s="124">
        <f t="shared" si="28"/>
        <v>-5764701.3780517969</v>
      </c>
      <c r="AH142" s="124">
        <f t="shared" si="28"/>
        <v>-5764701.3780517969</v>
      </c>
      <c r="AI142" s="124">
        <f t="shared" si="28"/>
        <v>-5764701.3780517969</v>
      </c>
      <c r="AJ142" s="124">
        <f t="shared" si="28"/>
        <v>-5764701.3780517969</v>
      </c>
      <c r="AK142" s="124">
        <f t="shared" si="28"/>
        <v>-5764701.3780517969</v>
      </c>
      <c r="AL142" s="124">
        <f t="shared" si="28"/>
        <v>-5764701.3780517969</v>
      </c>
      <c r="AM142" s="124">
        <f t="shared" si="28"/>
        <v>-5764701.3780517969</v>
      </c>
      <c r="AN142" s="124">
        <f t="shared" si="28"/>
        <v>-5764701.3780517969</v>
      </c>
      <c r="AO142" s="124">
        <f t="shared" si="28"/>
        <v>-5764701.3780517969</v>
      </c>
      <c r="AP142" s="124">
        <f t="shared" si="28"/>
        <v>-5764701.3780517969</v>
      </c>
      <c r="AQ142" s="124">
        <f t="shared" si="28"/>
        <v>-5764701.3780517969</v>
      </c>
      <c r="AR142" s="124">
        <f t="shared" si="28"/>
        <v>-5764701.3780517969</v>
      </c>
    </row>
    <row r="143" spans="1:45" x14ac:dyDescent="0.2">
      <c r="B143" s="5" t="s">
        <v>350</v>
      </c>
      <c r="C143" s="195"/>
      <c r="D143" s="196"/>
      <c r="E143" s="197">
        <f>IF(E108&gt;$C$92,"",(-$C$89*(E135+$C$5*E114)+E128+$C$5*E114)/-E133)</f>
        <v>1.2320646153005099</v>
      </c>
      <c r="F143" s="197">
        <f>IF(F108&gt;$C$92,"",(-$C$89*(F135+$C$5*F114)+F128+$C$5*F114)/-F133)</f>
        <v>1.2199103936246696</v>
      </c>
      <c r="G143" s="197">
        <f>IF(G108&gt;$C$92,"",(-$C$89*(G135+$C$5*G114)+G128+$C$5*G114)/-G133)</f>
        <v>1.2073893591059186</v>
      </c>
      <c r="H143" s="197">
        <f>IF(H108&gt;$C$92,"",(-$C$89*(H135+$C$5*H114)+H128+$C$5*H114)/-H133)</f>
        <v>1.1944882983879532</v>
      </c>
      <c r="I143" s="197">
        <f t="shared" ref="I143:AR143" si="29">IF(I108&gt;$C$92,"",(-$C$89*(I135+$C$5*I114)+I128+$C$5*I114)/-I133)</f>
        <v>1.181193454685119</v>
      </c>
      <c r="J143" s="197">
        <f t="shared" si="29"/>
        <v>1.1674905036536192</v>
      </c>
      <c r="K143" s="197">
        <f t="shared" si="29"/>
        <v>1.1533645281502871</v>
      </c>
      <c r="L143" s="197">
        <f t="shared" si="29"/>
        <v>1.1387999918267535</v>
      </c>
      <c r="M143" s="197">
        <f t="shared" si="29"/>
        <v>1.123780711504383</v>
      </c>
      <c r="N143" s="197">
        <f t="shared" si="29"/>
        <v>1.1082898282727618</v>
      </c>
      <c r="O143" s="197">
        <f t="shared" si="29"/>
        <v>1.0923097772518213</v>
      </c>
      <c r="P143" s="197">
        <f t="shared" si="29"/>
        <v>0.71359120693919176</v>
      </c>
      <c r="Q143" s="197">
        <f t="shared" si="29"/>
        <v>1.0588081911866938</v>
      </c>
      <c r="R143" s="197">
        <f t="shared" si="29"/>
        <v>1.041247704408272</v>
      </c>
      <c r="S143" s="197">
        <f t="shared" si="29"/>
        <v>1.0231200754954237</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-3004117.1585490084</v>
      </c>
    </row>
    <row r="147" spans="2:45" x14ac:dyDescent="0.2">
      <c r="B147" s="79" t="s">
        <v>354</v>
      </c>
      <c r="C147" s="216" t="str">
        <f>$C$9</f>
        <v>kWh</v>
      </c>
      <c r="D147" s="126">
        <f>(1-$C$89)*NPV($C$86,E141:AR141)</f>
        <v>61132217.794251621</v>
      </c>
      <c r="E147" s="131"/>
      <c r="F147" s="127"/>
    </row>
    <row r="148" spans="2:45" x14ac:dyDescent="0.2">
      <c r="B148" s="79" t="s">
        <v>355</v>
      </c>
      <c r="C148" s="80" t="s">
        <v>288</v>
      </c>
      <c r="D148" s="126">
        <f>$C$48*1000000</f>
        <v>5087875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1.1103899093195584</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4.8% / 2.7%</v>
      </c>
      <c r="E150" s="131"/>
      <c r="F150" s="127"/>
      <c r="G150" s="112"/>
    </row>
    <row r="151" spans="2:45" x14ac:dyDescent="0.2">
      <c r="B151" s="79" t="s">
        <v>358</v>
      </c>
      <c r="C151" s="80"/>
      <c r="D151" s="132">
        <f>IFERROR(IRR(D139:AR139),"n.v.t.")</f>
        <v>-4.498522002347205E-2</v>
      </c>
      <c r="E151" s="131"/>
      <c r="F151" s="128"/>
      <c r="G151" s="112"/>
    </row>
    <row r="152" spans="2:45" x14ac:dyDescent="0.2">
      <c r="B152" s="79" t="s">
        <v>359</v>
      </c>
      <c r="C152" s="80"/>
      <c r="D152" s="132">
        <f>IFERROR(IRR(D140:AR140),"n.v.t.")</f>
        <v>-9.0538950156688558E-2</v>
      </c>
      <c r="G152" s="112"/>
    </row>
    <row r="153" spans="2:45" x14ac:dyDescent="0.2">
      <c r="B153" s="133" t="s">
        <v>360</v>
      </c>
      <c r="C153" s="80" t="s">
        <v>288</v>
      </c>
      <c r="D153" s="126">
        <f>D148*$C$87-C81</f>
        <v>3815906.25</v>
      </c>
      <c r="F153" s="134"/>
    </row>
    <row r="154" spans="2:45" x14ac:dyDescent="0.2">
      <c r="B154" s="135" t="s">
        <v>361</v>
      </c>
      <c r="C154" s="80" t="s">
        <v>288</v>
      </c>
      <c r="D154" s="126">
        <f>$C$88*D148-C82</f>
        <v>1271968.75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855</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t="str">
        <f>IF(OR($C12=25,$C12=24,$C12=23),ROUND((VLOOKUP(1,Correctiebedragen!$A$3:$J$66,8)+$D155*VLOOKUP($C12-9,Correctiebedragen!$A$3:$J$66,8))/(1+$D155),decimalen),IF(C16&gt;0,"netlevering: " &amp; C161 &amp; ", niet-netlevering: " &amp; C162,ROUND(VLOOKUP($C12,Correctiebedragen!$A$3:$J$66,8),decimalen)))</f>
        <v>netlevering: 0.048, niet-netlevering: 0.082</v>
      </c>
      <c r="D160"/>
    </row>
    <row r="161" spans="2:20" x14ac:dyDescent="0.2">
      <c r="B161" s="248" t="s">
        <v>366</v>
      </c>
      <c r="C161" s="246">
        <f>IFERROR(ROUND(INDEX(Correctiebedragen!$A$1:$K$256,MATCH('4'!C16,Correctiebedragen!$A$1:$A$256,0),8),decimalen),"n.v.t.")</f>
        <v>4.8000000000000001E-2</v>
      </c>
    </row>
    <row r="162" spans="2:20" customFormat="1" ht="15" x14ac:dyDescent="0.25">
      <c r="B162" s="248" t="s">
        <v>367</v>
      </c>
      <c r="C162" s="250">
        <f>IFERROR(ROUND(INDEX(Correctiebedragen!$A$1:$K$256,MATCH('4'!C17,Correctiebedragen!$A$1:$A$256,0),8),decimalen),"n.v.t.")</f>
        <v>8.2000000000000003E-2</v>
      </c>
    </row>
    <row r="163" spans="2:20" customFormat="1" ht="15" x14ac:dyDescent="0.25">
      <c r="B163" s="248" t="str">
        <f>"Voorlopig correctiebedrag "&amp;Colofon!$B$21</f>
        <v>Voorlopig correctiebedrag 2024</v>
      </c>
      <c r="C163" s="270" t="str">
        <f>IF(OR($C12=25,$C12=24,$C12=23),ROUND((VLOOKUP(1,Correctiebedragen!$A$3:$J$66,4)+$D155*VLOOKUP($C12-9,Correctiebedragen!$A$3:$J$66,4))/(1+$D155),decimalen),IF(C16&gt;0,"netlevering: " &amp; C164 &amp; ", niet-netlevering: " &amp; C165,ROUND(VLOOKUP($C12,Correctiebedragen!$A$3:$J$66,4),decimalen)))</f>
        <v>netlevering: 0.122, niet-netlevering: 0.153</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f>IFERROR(ROUND(INDEX(Correctiebedragen!$A$1:$K$256,MATCH('4'!C16,Correctiebedragen!$A$1:$A$256,0),4),decimalen),"n.v.t.")</f>
        <v>0.122</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384">
        <f>IFERROR(ROUND(INDEX(Correctiebedragen!$A$1:$K$256,MATCH('4'!C17,Correctiebedragen!$A$1:$A$256,0),4),decimalen),"n.v.t.")</f>
        <v>0.153</v>
      </c>
    </row>
    <row r="166" spans="2:20" customFormat="1" ht="15" x14ac:dyDescent="0.25">
      <c r="B166" s="248" t="str">
        <f>"Voorlopig correctiebedrag "&amp;Colofon!$B$21&amp;" excl. negatieve uurblokken elektriciteit (NUE)"</f>
        <v>Voorlopig correctiebedrag 2024 excl. negatieve uurblokken elektriciteit (NUE)</v>
      </c>
      <c r="C166" s="250" t="str">
        <f>IF(OR($C12=25,$C12=24,$C12=23),ROUND((VLOOKUP(1,Correctiebedragen!$A$3:$J$66,4)+$D155*VLOOKUP($C12-9,Correctiebedragen!$A$3:$J$66,4))/(1+$D155),decimalen),IF(C16&gt;0,"netlevering: " &amp; C167 &amp; ", niet-netlevering: " &amp; C168,ROUND(VLOOKUP($C12,Correctiebedragen!$A$3:$J$66,6),decimalen)))</f>
        <v>netlevering: 0.128, niet-netlevering: 0.159</v>
      </c>
    </row>
    <row r="167" spans="2:20" customFormat="1" ht="15" x14ac:dyDescent="0.25">
      <c r="B167" s="248" t="str">
        <f>"Voorlopig correctiebedrag "&amp;Colofon!$B$21&amp;" netlevering excl. NUE"</f>
        <v>Voorlopig correctiebedrag 2024 netlevering excl. NUE</v>
      </c>
      <c r="C167" s="250">
        <f>IFERROR(ROUND(INDEX(Correctiebedragen!$A$1:$K$256,MATCH('4'!C16,Correctiebedragen!$A$1:$A$256,0),6),decimalen),"n.v.t.")</f>
        <v>0.128</v>
      </c>
    </row>
    <row r="168" spans="2:20" customFormat="1" ht="15" x14ac:dyDescent="0.25">
      <c r="B168" s="248" t="str">
        <f>"Voorlopig correctiebedrag "&amp;Colofon!$B$21&amp;" niet-netlevering excl. NUE"</f>
        <v>Voorlopig correctiebedrag 2024 niet-netlevering excl. NUE</v>
      </c>
      <c r="C168" s="250">
        <f>IFERROR(ROUND(INDEX(Correctiebedragen!$A$1:$K$256,MATCH('4'!C17,Correctiebedragen!$A$1:$A$256,0),6),decimalen),"n.v.t.")</f>
        <v>0.159</v>
      </c>
    </row>
    <row r="169" spans="2:20" customFormat="1" ht="15" x14ac:dyDescent="0.25">
      <c r="B169" s="249" t="str">
        <f>"Voorlopige GvO-waarde "&amp;Colofon!$B$21</f>
        <v>Voorlopige GvO-waarde 2024</v>
      </c>
      <c r="C169" s="250" t="str">
        <f>IF(C16&gt;0,"netlevering: " &amp; C170 &amp; ", niet-netlevering: " &amp;C171, INDEX(Correctiebedragen!$A$1:$Q$256,MATCH(C12,Correctiebedragen!$A$1:$A$256,0),12))</f>
        <v>netlevering: 0.004, niet-netlevering: 0</v>
      </c>
    </row>
    <row r="170" spans="2:20" customFormat="1" ht="15" x14ac:dyDescent="0.25">
      <c r="B170" s="249" t="str">
        <f>"Voorlopige GvO-waarde "&amp;Colofon!$B$21&amp;" netlevering"</f>
        <v>Voorlopige GvO-waarde 2024 netlevering</v>
      </c>
      <c r="C170" s="250">
        <f>IFERROR(ROUND(INDEX(Correctiebedragen!$A$1:$Q$256,MATCH(C16,Correctiebedragen!$A$1:$A$256,0),12),decimalen),"n.v.t.")</f>
        <v>4.0000000000000001E-3</v>
      </c>
    </row>
    <row r="171" spans="2:20" customFormat="1" ht="15" x14ac:dyDescent="0.25">
      <c r="B171" s="249" t="str">
        <f>"Voorlopige GvO-waarde "&amp;Colofon!$B$21&amp;" niet-netlevering"</f>
        <v>Voorlopige GvO-waarde 2024 niet-netlevering</v>
      </c>
      <c r="C171" s="250">
        <f>IFERROR(ROUND(INDEX(Correctiebedragen!$A$1:$Q$256,MATCH(C17,Correctiebedragen!$A$1:$A$256,0),12),decimalen),"n.v.t.")</f>
        <v>0</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128250000</v>
      </c>
      <c r="E174" s="28"/>
    </row>
    <row r="175" spans="2:20" customFormat="1" ht="26.25" x14ac:dyDescent="0.25">
      <c r="B175" s="256" t="s">
        <v>370</v>
      </c>
      <c r="C175" s="271">
        <f>IF(C95=0,SUM(E114:INDEX(E114:AR114,1,C91)),SUM(E114:INDEX(E114:AR114,1,C95)))</f>
        <v>168250000</v>
      </c>
      <c r="D175" s="257"/>
    </row>
    <row r="176" spans="2:20" customFormat="1" ht="15" x14ac:dyDescent="0.25">
      <c r="B176" s="251" t="s">
        <v>51</v>
      </c>
      <c r="C176" s="269">
        <f>C175/C174</f>
        <v>1.3118908382066277</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79" priority="5" operator="containsText" text="Pas op">
      <formula>NOT(ISERROR(SEARCH("Pas op",G1)))</formula>
    </cfRule>
  </conditionalFormatting>
  <conditionalFormatting sqref="G186">
    <cfRule type="containsText" dxfId="78" priority="4" operator="containsText" text="Pas op">
      <formula>NOT(ISERROR(SEARCH("Pas op",G186)))</formula>
    </cfRule>
  </conditionalFormatting>
  <conditionalFormatting sqref="G162 G165 G169:G170">
    <cfRule type="containsText" dxfId="77" priority="3" operator="containsText" text="Pas op">
      <formula>NOT(ISERROR(SEARCH("Pas op",G162)))</formula>
    </cfRule>
  </conditionalFormatting>
  <conditionalFormatting sqref="G100">
    <cfRule type="containsText" dxfId="76" priority="2" operator="containsText" text="Pas op">
      <formula>NOT(ISERROR(SEARCH("Pas op",G100)))</formula>
    </cfRule>
  </conditionalFormatting>
  <conditionalFormatting sqref="G166:G168">
    <cfRule type="containsText" dxfId="75" priority="1" operator="containsText" text="Pas op">
      <formula>NOT(ISERROR(SEARCH("Pas op",G166)))</formula>
    </cfRule>
  </conditionalFormatting>
  <dataValidations count="3">
    <dataValidation type="list" allowBlank="1" showInputMessage="1" showErrorMessage="1" sqref="C10" xr:uid="{AF3B4FC2-476F-43A9-B141-2F54A8A19BC8}">
      <formula1>INDIRECT("lst_vermogenseenheid")</formula1>
    </dataValidation>
    <dataValidation type="list" allowBlank="1" showInputMessage="1" showErrorMessage="1" sqref="C9" xr:uid="{D9FDC1A2-CB30-4941-B29A-3B8295D7AF69}">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32DF7ED1-3E98-40A1-9947-B16A48299651}">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D3EA5DF7-F20D-4BDE-A925-44DB4321CD82}">
          <x14:formula1>
            <xm:f>'ETS correctie methodes'!$B$4:$B$14</xm:f>
          </x14:formula1>
          <xm:sqref>C13</xm:sqref>
        </x14:dataValidation>
        <x14:dataValidation type="list" allowBlank="1" showInputMessage="1" showErrorMessage="1" xr:uid="{532565CA-7981-40D8-8405-B21E107F5D27}">
          <x14:formula1>
            <xm:f>Colofon!$A$51:$A$56</xm:f>
          </x14:formula1>
          <xm:sqref>C11</xm:sqref>
        </x14:dataValidation>
        <x14:dataValidation type="list" allowBlank="1" showInputMessage="1" showErrorMessage="1" xr:uid="{14215FF6-907F-4C71-BBE4-9B47E5E1641F}">
          <x14:formula1>
            <xm:f>Correctiebedragen!$A$3:$A$7</xm:f>
          </x14:formula1>
          <xm:sqref>C12 C16:C17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6319-DEF2-4E03-9281-F22383322998}">
  <sheetPr codeName="Sheet96">
    <tabColor theme="7" tint="0.79998168889431442"/>
    <pageSetUpPr fitToPage="1"/>
  </sheetPr>
  <dimension ref="A1:AS198"/>
  <sheetViews>
    <sheetView showGridLines="0" zoomScaleNormal="100" workbookViewId="0"/>
  </sheetViews>
  <sheetFormatPr defaultColWidth="12.7109375" defaultRowHeight="12.75" x14ac:dyDescent="0.2"/>
  <cols>
    <col min="1" max="1" width="1.42578125" style="28" customWidth="1"/>
    <col min="2" max="2" width="60.7109375" style="28" customWidth="1"/>
    <col min="3" max="3" width="13.42578125" style="30" customWidth="1"/>
    <col min="4" max="4" width="29.28515625" style="30" bestFit="1" customWidth="1"/>
    <col min="5" max="5" width="20.28515625" style="28" customWidth="1"/>
    <col min="6" max="7" width="12.7109375" style="28" customWidth="1"/>
    <col min="8" max="256" width="12.7109375" style="28"/>
    <col min="257" max="257" width="1.42578125" style="28" customWidth="1"/>
    <col min="258" max="258" width="40.5703125" style="28" bestFit="1" customWidth="1"/>
    <col min="259" max="259" width="13.42578125" style="28" bestFit="1" customWidth="1"/>
    <col min="260" max="260" width="29.28515625" style="28" bestFit="1" customWidth="1"/>
    <col min="261" max="261" width="13.5703125" style="28" bestFit="1" customWidth="1"/>
    <col min="262" max="512" width="12.7109375" style="28"/>
    <col min="513" max="513" width="1.42578125" style="28" customWidth="1"/>
    <col min="514" max="514" width="40.5703125" style="28" bestFit="1" customWidth="1"/>
    <col min="515" max="515" width="13.42578125" style="28" bestFit="1" customWidth="1"/>
    <col min="516" max="516" width="29.28515625" style="28" bestFit="1" customWidth="1"/>
    <col min="517" max="517" width="13.5703125" style="28" bestFit="1" customWidth="1"/>
    <col min="518" max="768" width="12.7109375" style="28"/>
    <col min="769" max="769" width="1.42578125" style="28" customWidth="1"/>
    <col min="770" max="770" width="40.5703125" style="28" bestFit="1" customWidth="1"/>
    <col min="771" max="771" width="13.42578125" style="28" bestFit="1" customWidth="1"/>
    <col min="772" max="772" width="29.28515625" style="28" bestFit="1" customWidth="1"/>
    <col min="773" max="773" width="13.5703125" style="28" bestFit="1" customWidth="1"/>
    <col min="774" max="1024" width="12.7109375" style="28"/>
    <col min="1025" max="1025" width="1.42578125" style="28" customWidth="1"/>
    <col min="1026" max="1026" width="40.5703125" style="28" bestFit="1" customWidth="1"/>
    <col min="1027" max="1027" width="13.42578125" style="28" bestFit="1" customWidth="1"/>
    <col min="1028" max="1028" width="29.28515625" style="28" bestFit="1" customWidth="1"/>
    <col min="1029" max="1029" width="13.5703125" style="28" bestFit="1" customWidth="1"/>
    <col min="1030" max="1280" width="12.7109375" style="28"/>
    <col min="1281" max="1281" width="1.42578125" style="28" customWidth="1"/>
    <col min="1282" max="1282" width="40.5703125" style="28" bestFit="1" customWidth="1"/>
    <col min="1283" max="1283" width="13.42578125" style="28" bestFit="1" customWidth="1"/>
    <col min="1284" max="1284" width="29.28515625" style="28" bestFit="1" customWidth="1"/>
    <col min="1285" max="1285" width="13.5703125" style="28" bestFit="1" customWidth="1"/>
    <col min="1286" max="1536" width="12.7109375" style="28"/>
    <col min="1537" max="1537" width="1.42578125" style="28" customWidth="1"/>
    <col min="1538" max="1538" width="40.5703125" style="28" bestFit="1" customWidth="1"/>
    <col min="1539" max="1539" width="13.42578125" style="28" bestFit="1" customWidth="1"/>
    <col min="1540" max="1540" width="29.28515625" style="28" bestFit="1" customWidth="1"/>
    <col min="1541" max="1541" width="13.5703125" style="28" bestFit="1" customWidth="1"/>
    <col min="1542" max="1792" width="12.7109375" style="28"/>
    <col min="1793" max="1793" width="1.42578125" style="28" customWidth="1"/>
    <col min="1794" max="1794" width="40.5703125" style="28" bestFit="1" customWidth="1"/>
    <col min="1795" max="1795" width="13.42578125" style="28" bestFit="1" customWidth="1"/>
    <col min="1796" max="1796" width="29.28515625" style="28" bestFit="1" customWidth="1"/>
    <col min="1797" max="1797" width="13.5703125" style="28" bestFit="1" customWidth="1"/>
    <col min="1798" max="2048" width="12.7109375" style="28"/>
    <col min="2049" max="2049" width="1.42578125" style="28" customWidth="1"/>
    <col min="2050" max="2050" width="40.5703125" style="28" bestFit="1" customWidth="1"/>
    <col min="2051" max="2051" width="13.42578125" style="28" bestFit="1" customWidth="1"/>
    <col min="2052" max="2052" width="29.28515625" style="28" bestFit="1" customWidth="1"/>
    <col min="2053" max="2053" width="13.5703125" style="28" bestFit="1" customWidth="1"/>
    <col min="2054" max="2304" width="12.7109375" style="28"/>
    <col min="2305" max="2305" width="1.42578125" style="28" customWidth="1"/>
    <col min="2306" max="2306" width="40.5703125" style="28" bestFit="1" customWidth="1"/>
    <col min="2307" max="2307" width="13.42578125" style="28" bestFit="1" customWidth="1"/>
    <col min="2308" max="2308" width="29.28515625" style="28" bestFit="1" customWidth="1"/>
    <col min="2309" max="2309" width="13.5703125" style="28" bestFit="1" customWidth="1"/>
    <col min="2310" max="2560" width="12.7109375" style="28"/>
    <col min="2561" max="2561" width="1.42578125" style="28" customWidth="1"/>
    <col min="2562" max="2562" width="40.5703125" style="28" bestFit="1" customWidth="1"/>
    <col min="2563" max="2563" width="13.42578125" style="28" bestFit="1" customWidth="1"/>
    <col min="2564" max="2564" width="29.28515625" style="28" bestFit="1" customWidth="1"/>
    <col min="2565" max="2565" width="13.5703125" style="28" bestFit="1" customWidth="1"/>
    <col min="2566" max="2816" width="12.7109375" style="28"/>
    <col min="2817" max="2817" width="1.42578125" style="28" customWidth="1"/>
    <col min="2818" max="2818" width="40.5703125" style="28" bestFit="1" customWidth="1"/>
    <col min="2819" max="2819" width="13.42578125" style="28" bestFit="1" customWidth="1"/>
    <col min="2820" max="2820" width="29.28515625" style="28" bestFit="1" customWidth="1"/>
    <col min="2821" max="2821" width="13.5703125" style="28" bestFit="1" customWidth="1"/>
    <col min="2822" max="3072" width="12.7109375" style="28"/>
    <col min="3073" max="3073" width="1.42578125" style="28" customWidth="1"/>
    <col min="3074" max="3074" width="40.5703125" style="28" bestFit="1" customWidth="1"/>
    <col min="3075" max="3075" width="13.42578125" style="28" bestFit="1" customWidth="1"/>
    <col min="3076" max="3076" width="29.28515625" style="28" bestFit="1" customWidth="1"/>
    <col min="3077" max="3077" width="13.5703125" style="28" bestFit="1" customWidth="1"/>
    <col min="3078" max="3328" width="12.7109375" style="28"/>
    <col min="3329" max="3329" width="1.42578125" style="28" customWidth="1"/>
    <col min="3330" max="3330" width="40.5703125" style="28" bestFit="1" customWidth="1"/>
    <col min="3331" max="3331" width="13.42578125" style="28" bestFit="1" customWidth="1"/>
    <col min="3332" max="3332" width="29.28515625" style="28" bestFit="1" customWidth="1"/>
    <col min="3333" max="3333" width="13.5703125" style="28" bestFit="1" customWidth="1"/>
    <col min="3334" max="3584" width="12.7109375" style="28"/>
    <col min="3585" max="3585" width="1.42578125" style="28" customWidth="1"/>
    <col min="3586" max="3586" width="40.5703125" style="28" bestFit="1" customWidth="1"/>
    <col min="3587" max="3587" width="13.42578125" style="28" bestFit="1" customWidth="1"/>
    <col min="3588" max="3588" width="29.28515625" style="28" bestFit="1" customWidth="1"/>
    <col min="3589" max="3589" width="13.5703125" style="28" bestFit="1" customWidth="1"/>
    <col min="3590" max="3840" width="12.7109375" style="28"/>
    <col min="3841" max="3841" width="1.42578125" style="28" customWidth="1"/>
    <col min="3842" max="3842" width="40.5703125" style="28" bestFit="1" customWidth="1"/>
    <col min="3843" max="3843" width="13.42578125" style="28" bestFit="1" customWidth="1"/>
    <col min="3844" max="3844" width="29.28515625" style="28" bestFit="1" customWidth="1"/>
    <col min="3845" max="3845" width="13.5703125" style="28" bestFit="1" customWidth="1"/>
    <col min="3846" max="4096" width="12.7109375" style="28"/>
    <col min="4097" max="4097" width="1.42578125" style="28" customWidth="1"/>
    <col min="4098" max="4098" width="40.5703125" style="28" bestFit="1" customWidth="1"/>
    <col min="4099" max="4099" width="13.42578125" style="28" bestFit="1" customWidth="1"/>
    <col min="4100" max="4100" width="29.28515625" style="28" bestFit="1" customWidth="1"/>
    <col min="4101" max="4101" width="13.5703125" style="28" bestFit="1" customWidth="1"/>
    <col min="4102" max="4352" width="12.7109375" style="28"/>
    <col min="4353" max="4353" width="1.42578125" style="28" customWidth="1"/>
    <col min="4354" max="4354" width="40.5703125" style="28" bestFit="1" customWidth="1"/>
    <col min="4355" max="4355" width="13.42578125" style="28" bestFit="1" customWidth="1"/>
    <col min="4356" max="4356" width="29.28515625" style="28" bestFit="1" customWidth="1"/>
    <col min="4357" max="4357" width="13.5703125" style="28" bestFit="1" customWidth="1"/>
    <col min="4358" max="4608" width="12.7109375" style="28"/>
    <col min="4609" max="4609" width="1.42578125" style="28" customWidth="1"/>
    <col min="4610" max="4610" width="40.5703125" style="28" bestFit="1" customWidth="1"/>
    <col min="4611" max="4611" width="13.42578125" style="28" bestFit="1" customWidth="1"/>
    <col min="4612" max="4612" width="29.28515625" style="28" bestFit="1" customWidth="1"/>
    <col min="4613" max="4613" width="13.5703125" style="28" bestFit="1" customWidth="1"/>
    <col min="4614" max="4864" width="12.7109375" style="28"/>
    <col min="4865" max="4865" width="1.42578125" style="28" customWidth="1"/>
    <col min="4866" max="4866" width="40.5703125" style="28" bestFit="1" customWidth="1"/>
    <col min="4867" max="4867" width="13.42578125" style="28" bestFit="1" customWidth="1"/>
    <col min="4868" max="4868" width="29.28515625" style="28" bestFit="1" customWidth="1"/>
    <col min="4869" max="4869" width="13.5703125" style="28" bestFit="1" customWidth="1"/>
    <col min="4870" max="5120" width="12.7109375" style="28"/>
    <col min="5121" max="5121" width="1.42578125" style="28" customWidth="1"/>
    <col min="5122" max="5122" width="40.5703125" style="28" bestFit="1" customWidth="1"/>
    <col min="5123" max="5123" width="13.42578125" style="28" bestFit="1" customWidth="1"/>
    <col min="5124" max="5124" width="29.28515625" style="28" bestFit="1" customWidth="1"/>
    <col min="5125" max="5125" width="13.5703125" style="28" bestFit="1" customWidth="1"/>
    <col min="5126" max="5376" width="12.7109375" style="28"/>
    <col min="5377" max="5377" width="1.42578125" style="28" customWidth="1"/>
    <col min="5378" max="5378" width="40.5703125" style="28" bestFit="1" customWidth="1"/>
    <col min="5379" max="5379" width="13.42578125" style="28" bestFit="1" customWidth="1"/>
    <col min="5380" max="5380" width="29.28515625" style="28" bestFit="1" customWidth="1"/>
    <col min="5381" max="5381" width="13.5703125" style="28" bestFit="1" customWidth="1"/>
    <col min="5382" max="5632" width="12.7109375" style="28"/>
    <col min="5633" max="5633" width="1.42578125" style="28" customWidth="1"/>
    <col min="5634" max="5634" width="40.5703125" style="28" bestFit="1" customWidth="1"/>
    <col min="5635" max="5635" width="13.42578125" style="28" bestFit="1" customWidth="1"/>
    <col min="5636" max="5636" width="29.28515625" style="28" bestFit="1" customWidth="1"/>
    <col min="5637" max="5637" width="13.5703125" style="28" bestFit="1" customWidth="1"/>
    <col min="5638" max="5888" width="12.7109375" style="28"/>
    <col min="5889" max="5889" width="1.42578125" style="28" customWidth="1"/>
    <col min="5890" max="5890" width="40.5703125" style="28" bestFit="1" customWidth="1"/>
    <col min="5891" max="5891" width="13.42578125" style="28" bestFit="1" customWidth="1"/>
    <col min="5892" max="5892" width="29.28515625" style="28" bestFit="1" customWidth="1"/>
    <col min="5893" max="5893" width="13.5703125" style="28" bestFit="1" customWidth="1"/>
    <col min="5894" max="6144" width="12.7109375" style="28"/>
    <col min="6145" max="6145" width="1.42578125" style="28" customWidth="1"/>
    <col min="6146" max="6146" width="40.5703125" style="28" bestFit="1" customWidth="1"/>
    <col min="6147" max="6147" width="13.42578125" style="28" bestFit="1" customWidth="1"/>
    <col min="6148" max="6148" width="29.28515625" style="28" bestFit="1" customWidth="1"/>
    <col min="6149" max="6149" width="13.5703125" style="28" bestFit="1" customWidth="1"/>
    <col min="6150" max="6400" width="12.7109375" style="28"/>
    <col min="6401" max="6401" width="1.42578125" style="28" customWidth="1"/>
    <col min="6402" max="6402" width="40.5703125" style="28" bestFit="1" customWidth="1"/>
    <col min="6403" max="6403" width="13.42578125" style="28" bestFit="1" customWidth="1"/>
    <col min="6404" max="6404" width="29.28515625" style="28" bestFit="1" customWidth="1"/>
    <col min="6405" max="6405" width="13.5703125" style="28" bestFit="1" customWidth="1"/>
    <col min="6406" max="6656" width="12.7109375" style="28"/>
    <col min="6657" max="6657" width="1.42578125" style="28" customWidth="1"/>
    <col min="6658" max="6658" width="40.5703125" style="28" bestFit="1" customWidth="1"/>
    <col min="6659" max="6659" width="13.42578125" style="28" bestFit="1" customWidth="1"/>
    <col min="6660" max="6660" width="29.28515625" style="28" bestFit="1" customWidth="1"/>
    <col min="6661" max="6661" width="13.5703125" style="28" bestFit="1" customWidth="1"/>
    <col min="6662" max="6912" width="12.7109375" style="28"/>
    <col min="6913" max="6913" width="1.42578125" style="28" customWidth="1"/>
    <col min="6914" max="6914" width="40.5703125" style="28" bestFit="1" customWidth="1"/>
    <col min="6915" max="6915" width="13.42578125" style="28" bestFit="1" customWidth="1"/>
    <col min="6916" max="6916" width="29.28515625" style="28" bestFit="1" customWidth="1"/>
    <col min="6917" max="6917" width="13.5703125" style="28" bestFit="1" customWidth="1"/>
    <col min="6918" max="7168" width="12.7109375" style="28"/>
    <col min="7169" max="7169" width="1.42578125" style="28" customWidth="1"/>
    <col min="7170" max="7170" width="40.5703125" style="28" bestFit="1" customWidth="1"/>
    <col min="7171" max="7171" width="13.42578125" style="28" bestFit="1" customWidth="1"/>
    <col min="7172" max="7172" width="29.28515625" style="28" bestFit="1" customWidth="1"/>
    <col min="7173" max="7173" width="13.5703125" style="28" bestFit="1" customWidth="1"/>
    <col min="7174" max="7424" width="12.7109375" style="28"/>
    <col min="7425" max="7425" width="1.42578125" style="28" customWidth="1"/>
    <col min="7426" max="7426" width="40.5703125" style="28" bestFit="1" customWidth="1"/>
    <col min="7427" max="7427" width="13.42578125" style="28" bestFit="1" customWidth="1"/>
    <col min="7428" max="7428" width="29.28515625" style="28" bestFit="1" customWidth="1"/>
    <col min="7429" max="7429" width="13.5703125" style="28" bestFit="1" customWidth="1"/>
    <col min="7430" max="7680" width="12.7109375" style="28"/>
    <col min="7681" max="7681" width="1.42578125" style="28" customWidth="1"/>
    <col min="7682" max="7682" width="40.5703125" style="28" bestFit="1" customWidth="1"/>
    <col min="7683" max="7683" width="13.42578125" style="28" bestFit="1" customWidth="1"/>
    <col min="7684" max="7684" width="29.28515625" style="28" bestFit="1" customWidth="1"/>
    <col min="7685" max="7685" width="13.5703125" style="28" bestFit="1" customWidth="1"/>
    <col min="7686" max="7936" width="12.7109375" style="28"/>
    <col min="7937" max="7937" width="1.42578125" style="28" customWidth="1"/>
    <col min="7938" max="7938" width="40.5703125" style="28" bestFit="1" customWidth="1"/>
    <col min="7939" max="7939" width="13.42578125" style="28" bestFit="1" customWidth="1"/>
    <col min="7940" max="7940" width="29.28515625" style="28" bestFit="1" customWidth="1"/>
    <col min="7941" max="7941" width="13.5703125" style="28" bestFit="1" customWidth="1"/>
    <col min="7942" max="8192" width="12.7109375" style="28"/>
    <col min="8193" max="8193" width="1.42578125" style="28" customWidth="1"/>
    <col min="8194" max="8194" width="40.5703125" style="28" bestFit="1" customWidth="1"/>
    <col min="8195" max="8195" width="13.42578125" style="28" bestFit="1" customWidth="1"/>
    <col min="8196" max="8196" width="29.28515625" style="28" bestFit="1" customWidth="1"/>
    <col min="8197" max="8197" width="13.5703125" style="28" bestFit="1" customWidth="1"/>
    <col min="8198" max="8448" width="12.7109375" style="28"/>
    <col min="8449" max="8449" width="1.42578125" style="28" customWidth="1"/>
    <col min="8450" max="8450" width="40.5703125" style="28" bestFit="1" customWidth="1"/>
    <col min="8451" max="8451" width="13.42578125" style="28" bestFit="1" customWidth="1"/>
    <col min="8452" max="8452" width="29.28515625" style="28" bestFit="1" customWidth="1"/>
    <col min="8453" max="8453" width="13.5703125" style="28" bestFit="1" customWidth="1"/>
    <col min="8454" max="8704" width="12.7109375" style="28"/>
    <col min="8705" max="8705" width="1.42578125" style="28" customWidth="1"/>
    <col min="8706" max="8706" width="40.5703125" style="28" bestFit="1" customWidth="1"/>
    <col min="8707" max="8707" width="13.42578125" style="28" bestFit="1" customWidth="1"/>
    <col min="8708" max="8708" width="29.28515625" style="28" bestFit="1" customWidth="1"/>
    <col min="8709" max="8709" width="13.5703125" style="28" bestFit="1" customWidth="1"/>
    <col min="8710" max="8960" width="12.7109375" style="28"/>
    <col min="8961" max="8961" width="1.42578125" style="28" customWidth="1"/>
    <col min="8962" max="8962" width="40.5703125" style="28" bestFit="1" customWidth="1"/>
    <col min="8963" max="8963" width="13.42578125" style="28" bestFit="1" customWidth="1"/>
    <col min="8964" max="8964" width="29.28515625" style="28" bestFit="1" customWidth="1"/>
    <col min="8965" max="8965" width="13.5703125" style="28" bestFit="1" customWidth="1"/>
    <col min="8966" max="9216" width="12.7109375" style="28"/>
    <col min="9217" max="9217" width="1.42578125" style="28" customWidth="1"/>
    <col min="9218" max="9218" width="40.5703125" style="28" bestFit="1" customWidth="1"/>
    <col min="9219" max="9219" width="13.42578125" style="28" bestFit="1" customWidth="1"/>
    <col min="9220" max="9220" width="29.28515625" style="28" bestFit="1" customWidth="1"/>
    <col min="9221" max="9221" width="13.5703125" style="28" bestFit="1" customWidth="1"/>
    <col min="9222" max="9472" width="12.7109375" style="28"/>
    <col min="9473" max="9473" width="1.42578125" style="28" customWidth="1"/>
    <col min="9474" max="9474" width="40.5703125" style="28" bestFit="1" customWidth="1"/>
    <col min="9475" max="9475" width="13.42578125" style="28" bestFit="1" customWidth="1"/>
    <col min="9476" max="9476" width="29.28515625" style="28" bestFit="1" customWidth="1"/>
    <col min="9477" max="9477" width="13.5703125" style="28" bestFit="1" customWidth="1"/>
    <col min="9478" max="9728" width="12.7109375" style="28"/>
    <col min="9729" max="9729" width="1.42578125" style="28" customWidth="1"/>
    <col min="9730" max="9730" width="40.5703125" style="28" bestFit="1" customWidth="1"/>
    <col min="9731" max="9731" width="13.42578125" style="28" bestFit="1" customWidth="1"/>
    <col min="9732" max="9732" width="29.28515625" style="28" bestFit="1" customWidth="1"/>
    <col min="9733" max="9733" width="13.5703125" style="28" bestFit="1" customWidth="1"/>
    <col min="9734" max="9984" width="12.7109375" style="28"/>
    <col min="9985" max="9985" width="1.42578125" style="28" customWidth="1"/>
    <col min="9986" max="9986" width="40.5703125" style="28" bestFit="1" customWidth="1"/>
    <col min="9987" max="9987" width="13.42578125" style="28" bestFit="1" customWidth="1"/>
    <col min="9988" max="9988" width="29.28515625" style="28" bestFit="1" customWidth="1"/>
    <col min="9989" max="9989" width="13.5703125" style="28" bestFit="1" customWidth="1"/>
    <col min="9990" max="10240" width="12.7109375" style="28"/>
    <col min="10241" max="10241" width="1.42578125" style="28" customWidth="1"/>
    <col min="10242" max="10242" width="40.5703125" style="28" bestFit="1" customWidth="1"/>
    <col min="10243" max="10243" width="13.42578125" style="28" bestFit="1" customWidth="1"/>
    <col min="10244" max="10244" width="29.28515625" style="28" bestFit="1" customWidth="1"/>
    <col min="10245" max="10245" width="13.5703125" style="28" bestFit="1" customWidth="1"/>
    <col min="10246" max="10496" width="12.7109375" style="28"/>
    <col min="10497" max="10497" width="1.42578125" style="28" customWidth="1"/>
    <col min="10498" max="10498" width="40.5703125" style="28" bestFit="1" customWidth="1"/>
    <col min="10499" max="10499" width="13.42578125" style="28" bestFit="1" customWidth="1"/>
    <col min="10500" max="10500" width="29.28515625" style="28" bestFit="1" customWidth="1"/>
    <col min="10501" max="10501" width="13.5703125" style="28" bestFit="1" customWidth="1"/>
    <col min="10502" max="10752" width="12.7109375" style="28"/>
    <col min="10753" max="10753" width="1.42578125" style="28" customWidth="1"/>
    <col min="10754" max="10754" width="40.5703125" style="28" bestFit="1" customWidth="1"/>
    <col min="10755" max="10755" width="13.42578125" style="28" bestFit="1" customWidth="1"/>
    <col min="10756" max="10756" width="29.28515625" style="28" bestFit="1" customWidth="1"/>
    <col min="10757" max="10757" width="13.5703125" style="28" bestFit="1" customWidth="1"/>
    <col min="10758" max="11008" width="12.7109375" style="28"/>
    <col min="11009" max="11009" width="1.42578125" style="28" customWidth="1"/>
    <col min="11010" max="11010" width="40.5703125" style="28" bestFit="1" customWidth="1"/>
    <col min="11011" max="11011" width="13.42578125" style="28" bestFit="1" customWidth="1"/>
    <col min="11012" max="11012" width="29.28515625" style="28" bestFit="1" customWidth="1"/>
    <col min="11013" max="11013" width="13.5703125" style="28" bestFit="1" customWidth="1"/>
    <col min="11014" max="11264" width="12.7109375" style="28"/>
    <col min="11265" max="11265" width="1.42578125" style="28" customWidth="1"/>
    <col min="11266" max="11266" width="40.5703125" style="28" bestFit="1" customWidth="1"/>
    <col min="11267" max="11267" width="13.42578125" style="28" bestFit="1" customWidth="1"/>
    <col min="11268" max="11268" width="29.28515625" style="28" bestFit="1" customWidth="1"/>
    <col min="11269" max="11269" width="13.5703125" style="28" bestFit="1" customWidth="1"/>
    <col min="11270" max="11520" width="12.7109375" style="28"/>
    <col min="11521" max="11521" width="1.42578125" style="28" customWidth="1"/>
    <col min="11522" max="11522" width="40.5703125" style="28" bestFit="1" customWidth="1"/>
    <col min="11523" max="11523" width="13.42578125" style="28" bestFit="1" customWidth="1"/>
    <col min="11524" max="11524" width="29.28515625" style="28" bestFit="1" customWidth="1"/>
    <col min="11525" max="11525" width="13.5703125" style="28" bestFit="1" customWidth="1"/>
    <col min="11526" max="11776" width="12.7109375" style="28"/>
    <col min="11777" max="11777" width="1.42578125" style="28" customWidth="1"/>
    <col min="11778" max="11778" width="40.5703125" style="28" bestFit="1" customWidth="1"/>
    <col min="11779" max="11779" width="13.42578125" style="28" bestFit="1" customWidth="1"/>
    <col min="11780" max="11780" width="29.28515625" style="28" bestFit="1" customWidth="1"/>
    <col min="11781" max="11781" width="13.5703125" style="28" bestFit="1" customWidth="1"/>
    <col min="11782" max="12032" width="12.7109375" style="28"/>
    <col min="12033" max="12033" width="1.42578125" style="28" customWidth="1"/>
    <col min="12034" max="12034" width="40.5703125" style="28" bestFit="1" customWidth="1"/>
    <col min="12035" max="12035" width="13.42578125" style="28" bestFit="1" customWidth="1"/>
    <col min="12036" max="12036" width="29.28515625" style="28" bestFit="1" customWidth="1"/>
    <col min="12037" max="12037" width="13.5703125" style="28" bestFit="1" customWidth="1"/>
    <col min="12038" max="12288" width="12.7109375" style="28"/>
    <col min="12289" max="12289" width="1.42578125" style="28" customWidth="1"/>
    <col min="12290" max="12290" width="40.5703125" style="28" bestFit="1" customWidth="1"/>
    <col min="12291" max="12291" width="13.42578125" style="28" bestFit="1" customWidth="1"/>
    <col min="12292" max="12292" width="29.28515625" style="28" bestFit="1" customWidth="1"/>
    <col min="12293" max="12293" width="13.5703125" style="28" bestFit="1" customWidth="1"/>
    <col min="12294" max="12544" width="12.7109375" style="28"/>
    <col min="12545" max="12545" width="1.42578125" style="28" customWidth="1"/>
    <col min="12546" max="12546" width="40.5703125" style="28" bestFit="1" customWidth="1"/>
    <col min="12547" max="12547" width="13.42578125" style="28" bestFit="1" customWidth="1"/>
    <col min="12548" max="12548" width="29.28515625" style="28" bestFit="1" customWidth="1"/>
    <col min="12549" max="12549" width="13.5703125" style="28" bestFit="1" customWidth="1"/>
    <col min="12550" max="12800" width="12.7109375" style="28"/>
    <col min="12801" max="12801" width="1.42578125" style="28" customWidth="1"/>
    <col min="12802" max="12802" width="40.5703125" style="28" bestFit="1" customWidth="1"/>
    <col min="12803" max="12803" width="13.42578125" style="28" bestFit="1" customWidth="1"/>
    <col min="12804" max="12804" width="29.28515625" style="28" bestFit="1" customWidth="1"/>
    <col min="12805" max="12805" width="13.5703125" style="28" bestFit="1" customWidth="1"/>
    <col min="12806" max="13056" width="12.7109375" style="28"/>
    <col min="13057" max="13057" width="1.42578125" style="28" customWidth="1"/>
    <col min="13058" max="13058" width="40.5703125" style="28" bestFit="1" customWidth="1"/>
    <col min="13059" max="13059" width="13.42578125" style="28" bestFit="1" customWidth="1"/>
    <col min="13060" max="13060" width="29.28515625" style="28" bestFit="1" customWidth="1"/>
    <col min="13061" max="13061" width="13.5703125" style="28" bestFit="1" customWidth="1"/>
    <col min="13062" max="13312" width="12.7109375" style="28"/>
    <col min="13313" max="13313" width="1.42578125" style="28" customWidth="1"/>
    <col min="13314" max="13314" width="40.5703125" style="28" bestFit="1" customWidth="1"/>
    <col min="13315" max="13315" width="13.42578125" style="28" bestFit="1" customWidth="1"/>
    <col min="13316" max="13316" width="29.28515625" style="28" bestFit="1" customWidth="1"/>
    <col min="13317" max="13317" width="13.5703125" style="28" bestFit="1" customWidth="1"/>
    <col min="13318" max="13568" width="12.7109375" style="28"/>
    <col min="13569" max="13569" width="1.42578125" style="28" customWidth="1"/>
    <col min="13570" max="13570" width="40.5703125" style="28" bestFit="1" customWidth="1"/>
    <col min="13571" max="13571" width="13.42578125" style="28" bestFit="1" customWidth="1"/>
    <col min="13572" max="13572" width="29.28515625" style="28" bestFit="1" customWidth="1"/>
    <col min="13573" max="13573" width="13.5703125" style="28" bestFit="1" customWidth="1"/>
    <col min="13574" max="13824" width="12.7109375" style="28"/>
    <col min="13825" max="13825" width="1.42578125" style="28" customWidth="1"/>
    <col min="13826" max="13826" width="40.5703125" style="28" bestFit="1" customWidth="1"/>
    <col min="13827" max="13827" width="13.42578125" style="28" bestFit="1" customWidth="1"/>
    <col min="13828" max="13828" width="29.28515625" style="28" bestFit="1" customWidth="1"/>
    <col min="13829" max="13829" width="13.5703125" style="28" bestFit="1" customWidth="1"/>
    <col min="13830" max="14080" width="12.7109375" style="28"/>
    <col min="14081" max="14081" width="1.42578125" style="28" customWidth="1"/>
    <col min="14082" max="14082" width="40.5703125" style="28" bestFit="1" customWidth="1"/>
    <col min="14083" max="14083" width="13.42578125" style="28" bestFit="1" customWidth="1"/>
    <col min="14084" max="14084" width="29.28515625" style="28" bestFit="1" customWidth="1"/>
    <col min="14085" max="14085" width="13.5703125" style="28" bestFit="1" customWidth="1"/>
    <col min="14086" max="14336" width="12.7109375" style="28"/>
    <col min="14337" max="14337" width="1.42578125" style="28" customWidth="1"/>
    <col min="14338" max="14338" width="40.5703125" style="28" bestFit="1" customWidth="1"/>
    <col min="14339" max="14339" width="13.42578125" style="28" bestFit="1" customWidth="1"/>
    <col min="14340" max="14340" width="29.28515625" style="28" bestFit="1" customWidth="1"/>
    <col min="14341" max="14341" width="13.5703125" style="28" bestFit="1" customWidth="1"/>
    <col min="14342" max="14592" width="12.7109375" style="28"/>
    <col min="14593" max="14593" width="1.42578125" style="28" customWidth="1"/>
    <col min="14594" max="14594" width="40.5703125" style="28" bestFit="1" customWidth="1"/>
    <col min="14595" max="14595" width="13.42578125" style="28" bestFit="1" customWidth="1"/>
    <col min="14596" max="14596" width="29.28515625" style="28" bestFit="1" customWidth="1"/>
    <col min="14597" max="14597" width="13.5703125" style="28" bestFit="1" customWidth="1"/>
    <col min="14598" max="14848" width="12.7109375" style="28"/>
    <col min="14849" max="14849" width="1.42578125" style="28" customWidth="1"/>
    <col min="14850" max="14850" width="40.5703125" style="28" bestFit="1" customWidth="1"/>
    <col min="14851" max="14851" width="13.42578125" style="28" bestFit="1" customWidth="1"/>
    <col min="14852" max="14852" width="29.28515625" style="28" bestFit="1" customWidth="1"/>
    <col min="14853" max="14853" width="13.5703125" style="28" bestFit="1" customWidth="1"/>
    <col min="14854" max="15104" width="12.7109375" style="28"/>
    <col min="15105" max="15105" width="1.42578125" style="28" customWidth="1"/>
    <col min="15106" max="15106" width="40.5703125" style="28" bestFit="1" customWidth="1"/>
    <col min="15107" max="15107" width="13.42578125" style="28" bestFit="1" customWidth="1"/>
    <col min="15108" max="15108" width="29.28515625" style="28" bestFit="1" customWidth="1"/>
    <col min="15109" max="15109" width="13.5703125" style="28" bestFit="1" customWidth="1"/>
    <col min="15110" max="15360" width="12.7109375" style="28"/>
    <col min="15361" max="15361" width="1.42578125" style="28" customWidth="1"/>
    <col min="15362" max="15362" width="40.5703125" style="28" bestFit="1" customWidth="1"/>
    <col min="15363" max="15363" width="13.42578125" style="28" bestFit="1" customWidth="1"/>
    <col min="15364" max="15364" width="29.28515625" style="28" bestFit="1" customWidth="1"/>
    <col min="15365" max="15365" width="13.5703125" style="28" bestFit="1" customWidth="1"/>
    <col min="15366" max="15616" width="12.7109375" style="28"/>
    <col min="15617" max="15617" width="1.42578125" style="28" customWidth="1"/>
    <col min="15618" max="15618" width="40.5703125" style="28" bestFit="1" customWidth="1"/>
    <col min="15619" max="15619" width="13.42578125" style="28" bestFit="1" customWidth="1"/>
    <col min="15620" max="15620" width="29.28515625" style="28" bestFit="1" customWidth="1"/>
    <col min="15621" max="15621" width="13.5703125" style="28" bestFit="1" customWidth="1"/>
    <col min="15622" max="15872" width="12.7109375" style="28"/>
    <col min="15873" max="15873" width="1.42578125" style="28" customWidth="1"/>
    <col min="15874" max="15874" width="40.5703125" style="28" bestFit="1" customWidth="1"/>
    <col min="15875" max="15875" width="13.42578125" style="28" bestFit="1" customWidth="1"/>
    <col min="15876" max="15876" width="29.28515625" style="28" bestFit="1" customWidth="1"/>
    <col min="15877" max="15877" width="13.5703125" style="28" bestFit="1" customWidth="1"/>
    <col min="15878" max="16128" width="12.7109375" style="28"/>
    <col min="16129" max="16129" width="1.42578125" style="28" customWidth="1"/>
    <col min="16130" max="16130" width="40.5703125" style="28" bestFit="1" customWidth="1"/>
    <col min="16131" max="16131" width="13.42578125" style="28" bestFit="1" customWidth="1"/>
    <col min="16132" max="16132" width="29.28515625" style="28" bestFit="1" customWidth="1"/>
    <col min="16133" max="16133" width="13.5703125" style="28" bestFit="1" customWidth="1"/>
    <col min="16134" max="16384" width="12.7109375" style="28"/>
  </cols>
  <sheetData>
    <row r="1" spans="1:14" s="18" customFormat="1" ht="18" x14ac:dyDescent="0.25">
      <c r="A1" s="17" t="str">
        <f>CONCATENATE("Berekening basisbedragen: ", Colofon!C6)</f>
        <v>Berekening basisbedragen: Eindadvies SCE 2024</v>
      </c>
      <c r="C1" s="19"/>
      <c r="D1" s="19"/>
    </row>
    <row r="2" spans="1:14" s="20" customFormat="1" ht="23.25" x14ac:dyDescent="0.35">
      <c r="A2" s="20" t="s">
        <v>374</v>
      </c>
      <c r="C2" s="21"/>
      <c r="D2" s="21"/>
    </row>
    <row r="4" spans="1:14" x14ac:dyDescent="0.2">
      <c r="B4" s="2" t="s">
        <v>201</v>
      </c>
      <c r="C4" s="22" t="s">
        <v>70</v>
      </c>
      <c r="D4" s="23" t="s">
        <v>90</v>
      </c>
      <c r="E4" s="422" t="s">
        <v>202</v>
      </c>
      <c r="F4" s="423"/>
      <c r="G4" s="423"/>
      <c r="H4" s="423"/>
      <c r="I4" s="423"/>
      <c r="J4" s="423"/>
      <c r="K4" s="423"/>
      <c r="L4" s="423"/>
      <c r="M4" s="423"/>
      <c r="N4" s="24"/>
    </row>
    <row r="5" spans="1:14" ht="15.75" x14ac:dyDescent="0.25">
      <c r="B5" s="4" t="s">
        <v>34</v>
      </c>
      <c r="C5" s="303">
        <f>ROUND((D154-D146)/D147,decimalen)</f>
        <v>8.3000000000000004E-2</v>
      </c>
      <c r="D5" s="113" t="str">
        <f>CONCATENATE("Euro/",$C$9)</f>
        <v>Euro/kWh</v>
      </c>
      <c r="E5" s="424"/>
      <c r="F5" s="425"/>
      <c r="G5" s="425"/>
      <c r="H5" s="425"/>
      <c r="I5" s="425"/>
      <c r="J5" s="425"/>
      <c r="K5" s="425"/>
      <c r="L5" s="425"/>
      <c r="M5" s="426"/>
      <c r="N5" s="26"/>
    </row>
    <row r="6" spans="1:14" x14ac:dyDescent="0.2">
      <c r="B6" s="4" t="s">
        <v>203</v>
      </c>
      <c r="C6" s="114">
        <f>ROUND((C5-C7)/C8*1000,0)</f>
        <v>452</v>
      </c>
      <c r="D6" s="25" t="s">
        <v>204</v>
      </c>
      <c r="E6" s="424"/>
      <c r="F6" s="425"/>
      <c r="G6" s="425"/>
      <c r="H6" s="425"/>
      <c r="I6" s="425"/>
      <c r="J6" s="425"/>
      <c r="K6" s="425"/>
      <c r="L6" s="425"/>
      <c r="M6" s="426"/>
      <c r="N6" s="26"/>
    </row>
    <row r="7" spans="1:14" x14ac:dyDescent="0.2">
      <c r="B7" s="4" t="s">
        <v>38</v>
      </c>
      <c r="C7" s="222">
        <f>ROUND(IF(OR($C12=25,$C12=24,$C12=23),(VLOOKUP(1,Correctiebedragen!$A$3:$J$66,8)+$D155*VLOOKUP($C12-9,Correctiebedragen!$A$3:$J$66,8))/(1+$D155),IF(C16&gt;0,C18*C20+C19*C21,VLOOKUP($C12,Correctiebedragen!$A$3:$J$66,10))),decimalen)</f>
        <v>5.0999999999999997E-2</v>
      </c>
      <c r="D7" s="113" t="str">
        <f>CONCATENATE("Euro/",$C$9)</f>
        <v>Euro/kWh</v>
      </c>
      <c r="E7" s="424"/>
      <c r="F7" s="425"/>
      <c r="G7" s="425"/>
      <c r="H7" s="425"/>
      <c r="I7" s="425"/>
      <c r="J7" s="425"/>
      <c r="K7" s="425"/>
      <c r="L7" s="425"/>
      <c r="M7" s="426"/>
      <c r="N7" s="26"/>
    </row>
    <row r="8" spans="1:14" x14ac:dyDescent="0.2">
      <c r="B8" s="4" t="s">
        <v>205</v>
      </c>
      <c r="C8" s="205">
        <f>ROUND((IF($C$32="Ja",$C$70,($C$69*$C$37*$C$39+$C$68*$C$35*$C$38)/($C$37*$C$39+$C$35*$C$38))-$C$61*$C$73-$C$63*$C$72-$C$74*$C$65+(-$C$59*$C$71)/(($C$37*$C$39)+($C$35*$C$38)))*C176,4)</f>
        <v>7.0800000000000002E-2</v>
      </c>
      <c r="D8" s="25" t="str">
        <f>CONCATENATE("kg CO2/",$C$9)</f>
        <v>kg CO2/kWh</v>
      </c>
      <c r="E8" s="296"/>
      <c r="F8" s="297"/>
      <c r="G8" s="297"/>
      <c r="H8" s="297"/>
      <c r="I8" s="297"/>
      <c r="J8" s="297"/>
      <c r="K8" s="297"/>
      <c r="L8" s="297"/>
      <c r="M8" s="298"/>
      <c r="N8" s="26"/>
    </row>
    <row r="9" spans="1:14" x14ac:dyDescent="0.2">
      <c r="B9" s="79" t="s">
        <v>206</v>
      </c>
      <c r="C9" s="115" t="s">
        <v>18</v>
      </c>
      <c r="D9" s="296"/>
      <c r="E9" s="296"/>
      <c r="F9" s="297"/>
      <c r="G9" s="297"/>
      <c r="H9" s="297"/>
      <c r="I9" s="297"/>
      <c r="J9" s="297"/>
      <c r="K9" s="297"/>
      <c r="L9" s="297"/>
      <c r="M9" s="298"/>
      <c r="N9" s="26"/>
    </row>
    <row r="10" spans="1:14" x14ac:dyDescent="0.2">
      <c r="B10" s="79" t="s">
        <v>20</v>
      </c>
      <c r="C10" s="115" t="s">
        <v>21</v>
      </c>
      <c r="D10" s="296"/>
      <c r="E10" s="424"/>
      <c r="F10" s="425"/>
      <c r="G10" s="425"/>
      <c r="H10" s="425"/>
      <c r="I10" s="425"/>
      <c r="J10" s="425"/>
      <c r="K10" s="425"/>
      <c r="L10" s="425"/>
      <c r="M10" s="426"/>
      <c r="N10" s="26"/>
    </row>
    <row r="11" spans="1:14" x14ac:dyDescent="0.2">
      <c r="B11" s="79" t="s">
        <v>31</v>
      </c>
      <c r="C11" s="115" t="s">
        <v>25</v>
      </c>
      <c r="D11" s="296"/>
      <c r="E11" s="296"/>
      <c r="F11" s="297"/>
      <c r="G11" s="297"/>
      <c r="H11" s="297"/>
      <c r="I11" s="297"/>
      <c r="J11" s="297"/>
      <c r="K11" s="297"/>
      <c r="L11" s="297"/>
      <c r="M11" s="298"/>
      <c r="N11" s="26"/>
    </row>
    <row r="12" spans="1:14" x14ac:dyDescent="0.2">
      <c r="B12" s="79" t="s">
        <v>207</v>
      </c>
      <c r="C12" s="115">
        <v>6</v>
      </c>
      <c r="D12" s="296"/>
      <c r="E12" s="424" t="str">
        <f>"Correctiebedrag = "&amp;IFERROR(INDEX(Correctiebedragen!$A$1:$M$256,MATCH('5'!C12,Correctiebedragen!$A$1:$A$256,0),9),"")</f>
        <v>Correctiebedrag = 2/3 x LT_e x LT_PIF_PV</v>
      </c>
      <c r="F12" s="425"/>
      <c r="G12" s="425"/>
      <c r="H12" s="425"/>
      <c r="I12" s="425"/>
      <c r="J12" s="425"/>
      <c r="K12" s="425"/>
      <c r="L12" s="425"/>
      <c r="M12" s="426"/>
      <c r="N12" s="243"/>
    </row>
    <row r="13" spans="1:14" x14ac:dyDescent="0.2">
      <c r="B13" s="79" t="s">
        <v>208</v>
      </c>
      <c r="C13" s="115">
        <v>0</v>
      </c>
      <c r="D13" s="296"/>
      <c r="E13" s="424" t="str">
        <f>INDEX('ETS correctie methodes'!$B$4:$G$17,MATCH(C13,'ETS correctie methodes'!$B$4:$B$17,0),5)</f>
        <v>ETS-correctie = 0</v>
      </c>
      <c r="F13" s="425"/>
      <c r="G13" s="425"/>
      <c r="H13" s="425"/>
      <c r="I13" s="425"/>
      <c r="J13" s="425"/>
      <c r="K13" s="425"/>
      <c r="L13" s="425"/>
      <c r="M13" s="426"/>
      <c r="N13" s="243"/>
    </row>
    <row r="14" spans="1:14" s="134" customFormat="1" x14ac:dyDescent="0.2">
      <c r="B14" s="218"/>
      <c r="C14" s="218"/>
      <c r="D14" s="218"/>
      <c r="E14" s="218"/>
      <c r="F14" s="218"/>
      <c r="G14" s="218"/>
      <c r="H14" s="218"/>
      <c r="I14" s="218"/>
      <c r="J14" s="218"/>
      <c r="K14" s="218"/>
      <c r="L14" s="218"/>
      <c r="M14" s="218"/>
      <c r="N14" s="219"/>
    </row>
    <row r="15" spans="1:14" s="244" customFormat="1" x14ac:dyDescent="0.2">
      <c r="B15" s="2" t="s">
        <v>209</v>
      </c>
      <c r="C15" s="22" t="s">
        <v>70</v>
      </c>
      <c r="D15" s="23" t="s">
        <v>90</v>
      </c>
      <c r="E15" s="422" t="s">
        <v>202</v>
      </c>
      <c r="F15" s="423"/>
      <c r="G15" s="423"/>
      <c r="H15" s="423"/>
      <c r="I15" s="423"/>
      <c r="J15" s="423"/>
      <c r="K15" s="423"/>
      <c r="L15" s="423"/>
      <c r="M15" s="423"/>
      <c r="N15" s="245"/>
    </row>
    <row r="16" spans="1:14" x14ac:dyDescent="0.2">
      <c r="B16" s="6" t="s">
        <v>210</v>
      </c>
      <c r="C16" s="27">
        <v>6</v>
      </c>
      <c r="D16" s="31"/>
      <c r="E16" s="419" t="str">
        <f>IFERROR(INDEX(Correctiebedragen!$A$1:$M$256,MATCH('5'!C16,Correctiebedragen!$A$1:$A$256,0),9),"")</f>
        <v>2/3 x LT_e x LT_PIF_PV</v>
      </c>
      <c r="F16" s="420"/>
      <c r="G16" s="420"/>
      <c r="H16" s="420"/>
      <c r="I16" s="420"/>
      <c r="J16" s="420"/>
      <c r="K16" s="420"/>
      <c r="L16" s="420"/>
      <c r="M16" s="421"/>
      <c r="N16" s="243"/>
    </row>
    <row r="17" spans="2:14" x14ac:dyDescent="0.2">
      <c r="B17" s="6" t="s">
        <v>211</v>
      </c>
      <c r="C17" s="27">
        <v>8</v>
      </c>
      <c r="D17" s="31"/>
      <c r="E17" s="419" t="str">
        <f>IFERROR(INDEX(Correctiebedragen!$A$1:$M$256,MATCH('5'!C17,Correctiebedragen!$A$1:$A$256,0),9),"")</f>
        <v>2/3 x LT_e x LT_PIF_PV + EB3_e + ODE3_e</v>
      </c>
      <c r="F17" s="420"/>
      <c r="G17" s="420"/>
      <c r="H17" s="420"/>
      <c r="I17" s="420"/>
      <c r="J17" s="420"/>
      <c r="K17" s="420"/>
      <c r="L17" s="420"/>
      <c r="M17" s="421"/>
      <c r="N17" s="243"/>
    </row>
    <row r="18" spans="2:14" x14ac:dyDescent="0.2">
      <c r="B18" s="6" t="s">
        <v>212</v>
      </c>
      <c r="C18" s="186">
        <v>0.9</v>
      </c>
      <c r="D18" s="31"/>
      <c r="E18" s="419"/>
      <c r="F18" s="420"/>
      <c r="G18" s="420"/>
      <c r="H18" s="420"/>
      <c r="I18" s="420"/>
      <c r="J18" s="420"/>
      <c r="K18" s="420"/>
      <c r="L18" s="420"/>
      <c r="M18" s="421"/>
      <c r="N18" s="243"/>
    </row>
    <row r="19" spans="2:14" x14ac:dyDescent="0.2">
      <c r="B19" s="6" t="s">
        <v>213</v>
      </c>
      <c r="C19" s="186">
        <v>0.1</v>
      </c>
      <c r="D19" s="31"/>
      <c r="E19" s="419"/>
      <c r="F19" s="420"/>
      <c r="G19" s="420"/>
      <c r="H19" s="420"/>
      <c r="I19" s="420"/>
      <c r="J19" s="420"/>
      <c r="K19" s="420"/>
      <c r="L19" s="420"/>
      <c r="M19" s="421"/>
      <c r="N19" s="243"/>
    </row>
    <row r="20" spans="2:14" x14ac:dyDescent="0.2">
      <c r="B20" s="6" t="s">
        <v>49</v>
      </c>
      <c r="C20" s="260">
        <f>IFERROR(ROUND(INDEX(Correctiebedragen!$A$1:$K$7,MATCH('5'!C16,Correctiebedragen!$A$1:$A$7,0),8),decimalen),"n.v.t.")</f>
        <v>4.8000000000000001E-2</v>
      </c>
      <c r="D20" s="31"/>
      <c r="E20" s="419"/>
      <c r="F20" s="420"/>
      <c r="G20" s="420"/>
      <c r="H20" s="420"/>
      <c r="I20" s="420"/>
      <c r="J20" s="420"/>
      <c r="K20" s="420"/>
      <c r="L20" s="420"/>
      <c r="M20" s="421"/>
      <c r="N20" s="243"/>
    </row>
    <row r="21" spans="2:14" x14ac:dyDescent="0.2">
      <c r="B21" s="6" t="s">
        <v>50</v>
      </c>
      <c r="C21" s="260">
        <f>IFERROR(ROUND(INDEX(Correctiebedragen!$A$1:$K$7,MATCH('5'!C17,Correctiebedragen!$A$1:$A$7,0),8),decimalen),"n.v.t.")</f>
        <v>8.2000000000000003E-2</v>
      </c>
      <c r="D21" s="31"/>
      <c r="E21" s="419"/>
      <c r="F21" s="420"/>
      <c r="G21" s="420"/>
      <c r="H21" s="420"/>
      <c r="I21" s="420"/>
      <c r="J21" s="420"/>
      <c r="K21" s="420"/>
      <c r="L21" s="420"/>
      <c r="M21" s="421"/>
      <c r="N21" s="243"/>
    </row>
    <row r="22" spans="2:14" x14ac:dyDescent="0.2">
      <c r="C22" s="29"/>
    </row>
    <row r="23" spans="2:14" x14ac:dyDescent="0.2">
      <c r="B23" s="2" t="s">
        <v>214</v>
      </c>
      <c r="C23" s="22" t="s">
        <v>70</v>
      </c>
      <c r="D23" s="23" t="s">
        <v>90</v>
      </c>
      <c r="E23" s="422" t="s">
        <v>202</v>
      </c>
      <c r="F23" s="423"/>
      <c r="G23" s="423"/>
      <c r="H23" s="423"/>
      <c r="I23" s="423"/>
      <c r="J23" s="423"/>
      <c r="K23" s="423"/>
      <c r="L23" s="423"/>
      <c r="M23" s="423"/>
    </row>
    <row r="24" spans="2:14" x14ac:dyDescent="0.2">
      <c r="B24" s="6" t="s">
        <v>215</v>
      </c>
      <c r="C24" s="186">
        <v>35.799999999999997</v>
      </c>
      <c r="D24" s="31" t="s">
        <v>216</v>
      </c>
      <c r="E24" s="419"/>
      <c r="F24" s="420"/>
      <c r="G24" s="420"/>
      <c r="H24" s="420"/>
      <c r="I24" s="420"/>
      <c r="J24" s="420"/>
      <c r="K24" s="420"/>
      <c r="L24" s="420"/>
      <c r="M24" s="421"/>
    </row>
    <row r="25" spans="2:14" x14ac:dyDescent="0.2">
      <c r="B25" s="6" t="s">
        <v>217</v>
      </c>
      <c r="C25" s="186">
        <v>31.65</v>
      </c>
      <c r="D25" s="31" t="s">
        <v>216</v>
      </c>
      <c r="E25" s="419"/>
      <c r="F25" s="420"/>
      <c r="G25" s="420"/>
      <c r="H25" s="420"/>
      <c r="I25" s="420"/>
      <c r="J25" s="420"/>
      <c r="K25" s="420"/>
      <c r="L25" s="420"/>
      <c r="M25" s="421"/>
    </row>
    <row r="26" spans="2:14" x14ac:dyDescent="0.2">
      <c r="B26" s="6" t="s">
        <v>218</v>
      </c>
      <c r="C26" s="186">
        <v>35.17</v>
      </c>
      <c r="D26" s="31" t="s">
        <v>216</v>
      </c>
      <c r="E26" s="419"/>
      <c r="F26" s="420"/>
      <c r="G26" s="420"/>
      <c r="H26" s="420"/>
      <c r="I26" s="420"/>
      <c r="J26" s="420"/>
      <c r="K26" s="420"/>
      <c r="L26" s="420"/>
      <c r="M26" s="421"/>
    </row>
    <row r="27" spans="2:14" x14ac:dyDescent="0.2">
      <c r="B27" s="7" t="s">
        <v>219</v>
      </c>
      <c r="C27" s="187">
        <v>3.6</v>
      </c>
      <c r="D27" s="31" t="s">
        <v>220</v>
      </c>
      <c r="E27" s="419"/>
      <c r="F27" s="420"/>
      <c r="G27" s="420"/>
      <c r="H27" s="420"/>
      <c r="I27" s="420"/>
      <c r="J27" s="420"/>
      <c r="K27" s="420"/>
      <c r="L27" s="420"/>
      <c r="M27" s="421"/>
    </row>
    <row r="28" spans="2:14" x14ac:dyDescent="0.2">
      <c r="C28" s="29"/>
    </row>
    <row r="29" spans="2:14" x14ac:dyDescent="0.2">
      <c r="B29" s="2" t="s">
        <v>221</v>
      </c>
      <c r="C29" s="22"/>
      <c r="D29" s="23" t="s">
        <v>90</v>
      </c>
      <c r="E29" s="422" t="s">
        <v>202</v>
      </c>
      <c r="F29" s="423"/>
      <c r="G29" s="423"/>
      <c r="H29" s="423"/>
      <c r="I29" s="423"/>
      <c r="J29" s="423"/>
      <c r="K29" s="423"/>
      <c r="L29" s="423"/>
      <c r="M29" s="423"/>
    </row>
    <row r="30" spans="2:14" x14ac:dyDescent="0.2">
      <c r="B30" s="3" t="s">
        <v>222</v>
      </c>
      <c r="C30" s="27">
        <v>10000</v>
      </c>
      <c r="D30" s="116" t="str">
        <f>C10</f>
        <v>kW</v>
      </c>
      <c r="E30" s="424"/>
      <c r="F30" s="425"/>
      <c r="G30" s="425"/>
      <c r="H30" s="425"/>
      <c r="I30" s="425"/>
      <c r="J30" s="425"/>
      <c r="K30" s="425"/>
      <c r="L30" s="425"/>
      <c r="M30" s="426"/>
    </row>
    <row r="31" spans="2:14" x14ac:dyDescent="0.2">
      <c r="B31" s="3" t="s">
        <v>223</v>
      </c>
      <c r="C31" s="187"/>
      <c r="D31" s="116"/>
      <c r="E31" s="424" t="s">
        <v>224</v>
      </c>
      <c r="F31" s="425"/>
      <c r="G31" s="425"/>
      <c r="H31" s="425"/>
      <c r="I31" s="425"/>
      <c r="J31" s="425"/>
      <c r="K31" s="425"/>
      <c r="L31" s="425"/>
      <c r="M31" s="426"/>
    </row>
    <row r="32" spans="2:14" x14ac:dyDescent="0.2">
      <c r="B32" s="3" t="s">
        <v>225</v>
      </c>
      <c r="C32" s="27"/>
      <c r="D32" s="32"/>
      <c r="E32" s="296"/>
      <c r="F32" s="297"/>
      <c r="G32" s="297"/>
      <c r="H32" s="297"/>
      <c r="I32" s="297"/>
      <c r="J32" s="297"/>
      <c r="K32" s="297"/>
      <c r="L32" s="297"/>
      <c r="M32" s="298"/>
    </row>
    <row r="33" spans="2:13" x14ac:dyDescent="0.2">
      <c r="B33" s="8" t="s">
        <v>226</v>
      </c>
      <c r="C33" s="33"/>
      <c r="D33" s="34"/>
      <c r="E33" s="424"/>
      <c r="F33" s="425"/>
      <c r="G33" s="425"/>
      <c r="H33" s="425"/>
      <c r="I33" s="425"/>
      <c r="J33" s="425"/>
      <c r="K33" s="425"/>
      <c r="L33" s="425"/>
      <c r="M33" s="426"/>
    </row>
    <row r="34" spans="2:13" x14ac:dyDescent="0.2">
      <c r="B34" s="9" t="s">
        <v>227</v>
      </c>
      <c r="C34" s="35">
        <f>IF(C32="JA",IF(C33&lt;&gt;"",C30*C27/C24/C33,0),0)</f>
        <v>0</v>
      </c>
      <c r="D34" s="32" t="s">
        <v>228</v>
      </c>
      <c r="E34" s="424"/>
      <c r="F34" s="425"/>
      <c r="G34" s="425"/>
      <c r="H34" s="425"/>
      <c r="I34" s="425"/>
      <c r="J34" s="425"/>
      <c r="K34" s="425"/>
      <c r="L34" s="425"/>
      <c r="M34" s="426"/>
    </row>
    <row r="35" spans="2:13" x14ac:dyDescent="0.2">
      <c r="B35" s="6" t="s">
        <v>229</v>
      </c>
      <c r="C35" s="36"/>
      <c r="D35" s="117" t="str">
        <f>C10</f>
        <v>kW</v>
      </c>
      <c r="E35" s="424"/>
      <c r="F35" s="425"/>
      <c r="G35" s="425"/>
      <c r="H35" s="425"/>
      <c r="I35" s="425"/>
      <c r="J35" s="425"/>
      <c r="K35" s="425"/>
      <c r="L35" s="425"/>
      <c r="M35" s="426"/>
    </row>
    <row r="36" spans="2:13" x14ac:dyDescent="0.2">
      <c r="B36" s="10" t="s">
        <v>230</v>
      </c>
      <c r="C36" s="35">
        <f>IF(C32="JA",IF(C35=0,,C35*C27/C25),0)</f>
        <v>0</v>
      </c>
      <c r="D36" s="32" t="s">
        <v>228</v>
      </c>
      <c r="E36" s="424"/>
      <c r="F36" s="425"/>
      <c r="G36" s="425"/>
      <c r="H36" s="425"/>
      <c r="I36" s="425"/>
      <c r="J36" s="425"/>
      <c r="K36" s="425"/>
      <c r="L36" s="425"/>
      <c r="M36" s="426"/>
    </row>
    <row r="37" spans="2:13" x14ac:dyDescent="0.2">
      <c r="B37" s="6" t="s">
        <v>231</v>
      </c>
      <c r="C37" s="27">
        <v>10000</v>
      </c>
      <c r="D37" s="117" t="str">
        <f>C10</f>
        <v>kW</v>
      </c>
      <c r="E37" s="419"/>
      <c r="F37" s="420"/>
      <c r="G37" s="420"/>
      <c r="H37" s="420"/>
      <c r="I37" s="420"/>
      <c r="J37" s="420"/>
      <c r="K37" s="420"/>
      <c r="L37" s="420"/>
      <c r="M37" s="421"/>
    </row>
    <row r="38" spans="2:13" x14ac:dyDescent="0.2">
      <c r="B38" s="6" t="s">
        <v>232</v>
      </c>
      <c r="C38" s="37"/>
      <c r="D38" s="34" t="s">
        <v>233</v>
      </c>
      <c r="E38" s="424" t="s">
        <v>234</v>
      </c>
      <c r="F38" s="425"/>
      <c r="G38" s="425"/>
      <c r="H38" s="425"/>
      <c r="I38" s="425"/>
      <c r="J38" s="425"/>
      <c r="K38" s="425"/>
      <c r="L38" s="425"/>
      <c r="M38" s="426"/>
    </row>
    <row r="39" spans="2:13" x14ac:dyDescent="0.2">
      <c r="B39" s="6" t="s">
        <v>235</v>
      </c>
      <c r="C39" s="37">
        <v>855</v>
      </c>
      <c r="D39" s="34" t="s">
        <v>233</v>
      </c>
      <c r="E39" s="424" t="s">
        <v>234</v>
      </c>
      <c r="F39" s="425"/>
      <c r="G39" s="425"/>
      <c r="H39" s="425"/>
      <c r="I39" s="425"/>
      <c r="J39" s="425"/>
      <c r="K39" s="425"/>
      <c r="L39" s="425"/>
      <c r="M39" s="426"/>
    </row>
    <row r="40" spans="2:13" x14ac:dyDescent="0.2">
      <c r="B40" s="2" t="s">
        <v>236</v>
      </c>
      <c r="C40" s="38"/>
      <c r="D40" s="39"/>
      <c r="E40" s="427"/>
      <c r="F40" s="428"/>
      <c r="G40" s="428"/>
      <c r="H40" s="428"/>
      <c r="I40" s="428"/>
      <c r="J40" s="428"/>
      <c r="K40" s="428"/>
      <c r="L40" s="428"/>
      <c r="M40" s="428"/>
    </row>
    <row r="41" spans="2:13" x14ac:dyDescent="0.2">
      <c r="B41" s="3" t="s">
        <v>237</v>
      </c>
      <c r="C41" s="40">
        <f>IF(C30&gt;0,C37/C30,IF(C37&gt;0,1,0))</f>
        <v>1</v>
      </c>
      <c r="D41" s="32"/>
      <c r="E41" s="419"/>
      <c r="F41" s="420"/>
      <c r="G41" s="420"/>
      <c r="H41" s="420"/>
      <c r="I41" s="420"/>
      <c r="J41" s="420"/>
      <c r="K41" s="420"/>
      <c r="L41" s="420"/>
      <c r="M41" s="421"/>
    </row>
    <row r="42" spans="2:13" x14ac:dyDescent="0.2">
      <c r="B42" s="6" t="s">
        <v>238</v>
      </c>
      <c r="C42" s="40">
        <f>IF(C37&gt;0,C41-C44*C41*(C35*C38)/(C37*C39),)</f>
        <v>1</v>
      </c>
      <c r="D42" s="34"/>
      <c r="E42" s="419"/>
      <c r="F42" s="420"/>
      <c r="G42" s="420"/>
      <c r="H42" s="420"/>
      <c r="I42" s="420"/>
      <c r="J42" s="420"/>
      <c r="K42" s="420"/>
      <c r="L42" s="420"/>
      <c r="M42" s="421"/>
    </row>
    <row r="43" spans="2:13" x14ac:dyDescent="0.2">
      <c r="B43" s="6" t="s">
        <v>239</v>
      </c>
      <c r="C43" s="41">
        <f>IF(C30&gt;0,C35/C30,0)</f>
        <v>0</v>
      </c>
      <c r="D43" s="34"/>
      <c r="E43" s="419"/>
      <c r="F43" s="420"/>
      <c r="G43" s="420"/>
      <c r="H43" s="420"/>
      <c r="I43" s="420"/>
      <c r="J43" s="420"/>
      <c r="K43" s="420"/>
      <c r="L43" s="420"/>
      <c r="M43" s="421"/>
    </row>
    <row r="44" spans="2:13" x14ac:dyDescent="0.2">
      <c r="B44" s="6" t="s">
        <v>240</v>
      </c>
      <c r="C44" s="42"/>
      <c r="D44" s="34" t="s">
        <v>241</v>
      </c>
      <c r="E44" s="424"/>
      <c r="F44" s="425"/>
      <c r="G44" s="425"/>
      <c r="H44" s="425"/>
      <c r="I44" s="425"/>
      <c r="J44" s="425"/>
      <c r="K44" s="425"/>
      <c r="L44" s="425"/>
      <c r="M44" s="426"/>
    </row>
    <row r="45" spans="2:13" x14ac:dyDescent="0.2">
      <c r="B45" s="2" t="s">
        <v>242</v>
      </c>
      <c r="C45" s="38">
        <v>6100</v>
      </c>
      <c r="D45" s="39"/>
      <c r="E45" s="427"/>
      <c r="F45" s="428"/>
      <c r="G45" s="428"/>
      <c r="H45" s="428"/>
      <c r="I45" s="428"/>
      <c r="J45" s="428"/>
      <c r="K45" s="428"/>
      <c r="L45" s="428"/>
      <c r="M45" s="428"/>
    </row>
    <row r="46" spans="2:13" x14ac:dyDescent="0.2">
      <c r="B46" s="11" t="s">
        <v>243</v>
      </c>
      <c r="C46" s="43"/>
      <c r="D46" s="32" t="str">
        <f>CONCATENATE("Euro/",$C$10)</f>
        <v>Euro/kW</v>
      </c>
      <c r="E46" s="424"/>
      <c r="F46" s="425"/>
      <c r="G46" s="425"/>
      <c r="H46" s="425"/>
      <c r="I46" s="425"/>
      <c r="J46" s="425"/>
      <c r="K46" s="425"/>
      <c r="L46" s="425"/>
      <c r="M46" s="426"/>
    </row>
    <row r="47" spans="2:13" x14ac:dyDescent="0.2">
      <c r="B47" s="11" t="s">
        <v>244</v>
      </c>
      <c r="C47" s="36">
        <v>581</v>
      </c>
      <c r="D47" s="32" t="str">
        <f>CONCATENATE("Euro/",$C$10)</f>
        <v>Euro/kW</v>
      </c>
    </row>
    <row r="48" spans="2:13" x14ac:dyDescent="0.2">
      <c r="B48" s="6" t="s">
        <v>245</v>
      </c>
      <c r="C48" s="44">
        <f>IF(C99&lt;&gt;0,((C30*C46+SUM(C35,C37)*C47)+C99)/1000000,((C30*C46+SUM(C35,C37)*C47)*(1+C98*C87))/1000000)</f>
        <v>5.8535750000000002</v>
      </c>
      <c r="D48" s="34" t="s">
        <v>246</v>
      </c>
      <c r="E48" s="429"/>
      <c r="F48" s="425"/>
      <c r="G48" s="425"/>
      <c r="H48" s="425"/>
      <c r="I48" s="425"/>
      <c r="J48" s="425"/>
      <c r="K48" s="425"/>
      <c r="L48" s="425"/>
      <c r="M48" s="426"/>
    </row>
    <row r="49" spans="2:13" x14ac:dyDescent="0.2">
      <c r="B49" s="12" t="s">
        <v>247</v>
      </c>
      <c r="C49" s="45"/>
      <c r="D49" s="32" t="str">
        <f>CONCATENATE("Euro/",$C$10,"/jaar")</f>
        <v>Euro/kW/jaar</v>
      </c>
      <c r="E49" s="424"/>
      <c r="F49" s="425"/>
      <c r="G49" s="425"/>
      <c r="H49" s="425"/>
      <c r="I49" s="425"/>
      <c r="J49" s="425"/>
      <c r="K49" s="425"/>
      <c r="L49" s="425"/>
      <c r="M49" s="426"/>
    </row>
    <row r="50" spans="2:13" x14ac:dyDescent="0.2">
      <c r="B50" s="11" t="s">
        <v>248</v>
      </c>
      <c r="C50" s="45">
        <v>16.899999999999999</v>
      </c>
      <c r="D50" s="32" t="str">
        <f>CONCATENATE("Euro/",$C$10,"/jaar")</f>
        <v>Euro/kW/jaar</v>
      </c>
      <c r="E50" s="424"/>
      <c r="F50" s="425"/>
      <c r="G50" s="425"/>
      <c r="H50" s="425"/>
      <c r="I50" s="425"/>
      <c r="J50" s="425"/>
      <c r="K50" s="425"/>
      <c r="L50" s="425"/>
      <c r="M50" s="426"/>
    </row>
    <row r="51" spans="2:13" x14ac:dyDescent="0.2">
      <c r="B51" s="6" t="s">
        <v>249</v>
      </c>
      <c r="C51" s="46">
        <f>(C49*C30+C50*SUM(C35,C37))/1000</f>
        <v>169</v>
      </c>
      <c r="D51" s="34" t="s">
        <v>250</v>
      </c>
      <c r="E51" s="424"/>
      <c r="F51" s="425"/>
      <c r="G51" s="425"/>
      <c r="H51" s="425"/>
      <c r="I51" s="425"/>
      <c r="J51" s="425"/>
      <c r="K51" s="425"/>
      <c r="L51" s="425"/>
      <c r="M51" s="426"/>
    </row>
    <row r="52" spans="2:13" x14ac:dyDescent="0.2">
      <c r="B52" s="6" t="s">
        <v>251</v>
      </c>
      <c r="C52" s="266">
        <v>2.8999999999999998E-3</v>
      </c>
      <c r="D52" s="32" t="str">
        <f>CONCATENATE("Euro/",$C$9)</f>
        <v>Euro/kWh</v>
      </c>
      <c r="E52" s="424"/>
      <c r="F52" s="425"/>
      <c r="G52" s="425"/>
      <c r="H52" s="425"/>
      <c r="I52" s="425"/>
      <c r="J52" s="425"/>
      <c r="K52" s="425"/>
      <c r="L52" s="425"/>
      <c r="M52" s="426"/>
    </row>
    <row r="53" spans="2:13" x14ac:dyDescent="0.2">
      <c r="B53" s="6" t="s">
        <v>252</v>
      </c>
      <c r="C53" s="47"/>
      <c r="D53" s="32" t="str">
        <f>CONCATENATE("Euro/",$C$9)</f>
        <v>Euro/kWh</v>
      </c>
      <c r="E53" s="424"/>
      <c r="F53" s="425"/>
      <c r="G53" s="425"/>
      <c r="H53" s="425"/>
      <c r="I53" s="425"/>
      <c r="J53" s="425"/>
      <c r="K53" s="425"/>
      <c r="L53" s="425"/>
      <c r="M53" s="426"/>
    </row>
    <row r="54" spans="2:13" x14ac:dyDescent="0.2">
      <c r="B54" s="6" t="s">
        <v>253</v>
      </c>
      <c r="C54" s="47"/>
      <c r="D54" s="32" t="str">
        <f>CONCATENATE("Euro/",$C$9)</f>
        <v>Euro/kWh</v>
      </c>
      <c r="E54" s="424"/>
      <c r="F54" s="425"/>
      <c r="G54" s="425"/>
      <c r="H54" s="425"/>
      <c r="I54" s="425"/>
      <c r="J54" s="425"/>
      <c r="K54" s="425"/>
      <c r="L54" s="425"/>
      <c r="M54" s="426"/>
    </row>
    <row r="55" spans="2:13" x14ac:dyDescent="0.2">
      <c r="B55" s="6" t="s">
        <v>254</v>
      </c>
      <c r="C55" s="47"/>
      <c r="D55" s="32" t="str">
        <f>CONCATENATE("Euro/",$C$9)</f>
        <v>Euro/kWh</v>
      </c>
      <c r="E55" s="424"/>
      <c r="F55" s="425"/>
      <c r="G55" s="425"/>
      <c r="H55" s="425"/>
      <c r="I55" s="425"/>
      <c r="J55" s="425"/>
      <c r="K55" s="425"/>
      <c r="L55" s="425"/>
      <c r="M55" s="426"/>
    </row>
    <row r="56" spans="2:13" x14ac:dyDescent="0.2">
      <c r="B56" s="5" t="s">
        <v>255</v>
      </c>
      <c r="C56" s="263">
        <v>2.8999999999999998E-3</v>
      </c>
      <c r="D56" s="264"/>
      <c r="E56" s="265"/>
      <c r="F56" s="265"/>
      <c r="G56" s="265"/>
      <c r="H56" s="265"/>
      <c r="I56" s="265"/>
      <c r="J56" s="265"/>
      <c r="K56" s="265"/>
      <c r="L56" s="265"/>
      <c r="M56" s="265"/>
    </row>
    <row r="57" spans="2:13" x14ac:dyDescent="0.2">
      <c r="B57" s="13" t="s">
        <v>256</v>
      </c>
      <c r="C57" s="38"/>
      <c r="D57" s="39"/>
      <c r="E57" s="427"/>
      <c r="F57" s="428"/>
      <c r="G57" s="428"/>
      <c r="H57" s="428"/>
      <c r="I57" s="428"/>
      <c r="J57" s="428"/>
      <c r="K57" s="428"/>
      <c r="L57" s="428"/>
      <c r="M57" s="428"/>
    </row>
    <row r="58" spans="2:13" x14ac:dyDescent="0.2">
      <c r="B58" s="6" t="s">
        <v>257</v>
      </c>
      <c r="C58" s="208"/>
      <c r="D58" s="34" t="s">
        <v>258</v>
      </c>
      <c r="E58" s="419"/>
      <c r="F58" s="420"/>
      <c r="G58" s="420"/>
      <c r="H58" s="420"/>
      <c r="I58" s="420"/>
      <c r="J58" s="420"/>
      <c r="K58" s="420"/>
      <c r="L58" s="420"/>
      <c r="M58" s="421"/>
    </row>
    <row r="59" spans="2:13" x14ac:dyDescent="0.2">
      <c r="B59" s="6" t="s">
        <v>259</v>
      </c>
      <c r="C59" s="48">
        <f>IF(C58=0,,C30*MAX(C38,C39)*C27/C58/1000)</f>
        <v>0</v>
      </c>
      <c r="D59" s="34" t="s">
        <v>260</v>
      </c>
      <c r="E59" s="430"/>
      <c r="F59" s="431"/>
      <c r="G59" s="431"/>
      <c r="H59" s="431"/>
      <c r="I59" s="431"/>
      <c r="J59" s="431"/>
      <c r="K59" s="431"/>
      <c r="L59" s="431"/>
      <c r="M59" s="432"/>
    </row>
    <row r="60" spans="2:13" x14ac:dyDescent="0.2">
      <c r="B60" s="6" t="s">
        <v>261</v>
      </c>
      <c r="C60" s="49"/>
      <c r="D60" s="34" t="s">
        <v>262</v>
      </c>
      <c r="E60" s="419"/>
      <c r="F60" s="420"/>
      <c r="G60" s="420"/>
      <c r="H60" s="420"/>
      <c r="I60" s="420"/>
      <c r="J60" s="420"/>
      <c r="K60" s="420"/>
      <c r="L60" s="420"/>
      <c r="M60" s="421"/>
    </row>
    <row r="61" spans="2:13" x14ac:dyDescent="0.2">
      <c r="B61" s="6" t="s">
        <v>263</v>
      </c>
      <c r="C61" s="49"/>
      <c r="D61" s="34" t="str">
        <f>CONCATENATE("kWh/",$C$9)</f>
        <v>kWh/kWh</v>
      </c>
      <c r="E61" s="299"/>
      <c r="F61" s="300"/>
      <c r="G61" s="300"/>
      <c r="H61" s="300"/>
      <c r="I61" s="300"/>
      <c r="J61" s="300"/>
      <c r="K61" s="300"/>
      <c r="L61" s="300"/>
      <c r="M61" s="301"/>
    </row>
    <row r="62" spans="2:13" x14ac:dyDescent="0.2">
      <c r="B62" s="6" t="s">
        <v>264</v>
      </c>
      <c r="C62" s="48">
        <f>IF(C61=0,,MAX(C35,C37)*MAX(C38,C39)*C61*10^(-3))</f>
        <v>0</v>
      </c>
      <c r="D62" s="34" t="s">
        <v>265</v>
      </c>
      <c r="E62" s="299"/>
      <c r="F62" s="300"/>
      <c r="G62" s="300"/>
      <c r="H62" s="300"/>
      <c r="I62" s="300"/>
      <c r="J62" s="300"/>
      <c r="K62" s="300"/>
      <c r="L62" s="300"/>
      <c r="M62" s="301"/>
    </row>
    <row r="63" spans="2:13" x14ac:dyDescent="0.2">
      <c r="B63" s="6" t="s">
        <v>266</v>
      </c>
      <c r="C63" s="49"/>
      <c r="D63" s="34" t="str">
        <f>CONCATENATE("kWh/",$C$9)</f>
        <v>kWh/kWh</v>
      </c>
      <c r="E63" s="299"/>
      <c r="F63" s="300"/>
      <c r="G63" s="300"/>
      <c r="H63" s="300"/>
      <c r="I63" s="300"/>
      <c r="J63" s="300"/>
      <c r="K63" s="300"/>
      <c r="L63" s="300"/>
      <c r="M63" s="301"/>
    </row>
    <row r="64" spans="2:13" x14ac:dyDescent="0.2">
      <c r="B64" s="6" t="s">
        <v>267</v>
      </c>
      <c r="C64" s="48">
        <f>IF(C63=0,,MAX($C$35,$C$37)*MAX($C$38,$C$39)*C63/1000)</f>
        <v>0</v>
      </c>
      <c r="D64" s="34" t="s">
        <v>265</v>
      </c>
      <c r="E64" s="299"/>
      <c r="F64" s="300"/>
      <c r="G64" s="300"/>
      <c r="H64" s="300"/>
      <c r="I64" s="300"/>
      <c r="J64" s="300"/>
      <c r="K64" s="300"/>
      <c r="L64" s="300"/>
      <c r="M64" s="301"/>
    </row>
    <row r="65" spans="2:13" x14ac:dyDescent="0.2">
      <c r="B65" s="6" t="s">
        <v>268</v>
      </c>
      <c r="C65" s="49"/>
      <c r="D65" s="34" t="str">
        <f>CONCATENATE("kWh/",$C$9)</f>
        <v>kWh/kWh</v>
      </c>
      <c r="E65" s="192"/>
      <c r="F65" s="192"/>
      <c r="G65" s="192"/>
      <c r="H65" s="192"/>
      <c r="I65" s="192"/>
      <c r="J65" s="192"/>
      <c r="K65" s="192"/>
      <c r="L65" s="192"/>
      <c r="M65" s="192"/>
    </row>
    <row r="66" spans="2:13" x14ac:dyDescent="0.2">
      <c r="B66" s="5" t="s">
        <v>269</v>
      </c>
      <c r="C66" s="48">
        <f>IF(C65=0,,MAX($C$35,$C$37)*MAX($C$38,$C$39)*C65/1000)</f>
        <v>0</v>
      </c>
      <c r="D66" s="34" t="s">
        <v>265</v>
      </c>
      <c r="E66" s="192"/>
      <c r="F66" s="192"/>
      <c r="G66" s="192"/>
      <c r="H66" s="192"/>
      <c r="I66" s="192"/>
      <c r="J66" s="192"/>
      <c r="K66" s="192"/>
      <c r="L66" s="192"/>
      <c r="M66" s="192"/>
    </row>
    <row r="67" spans="2:13" x14ac:dyDescent="0.2">
      <c r="B67" s="13" t="s">
        <v>270</v>
      </c>
      <c r="C67" s="38"/>
      <c r="D67" s="39"/>
      <c r="E67" s="427"/>
      <c r="F67" s="428"/>
      <c r="G67" s="428"/>
      <c r="H67" s="428"/>
      <c r="I67" s="428"/>
      <c r="J67" s="428"/>
      <c r="K67" s="428"/>
      <c r="L67" s="428"/>
      <c r="M67" s="428"/>
    </row>
    <row r="68" spans="2:13" x14ac:dyDescent="0.2">
      <c r="B68" s="6" t="s">
        <v>271</v>
      </c>
      <c r="C68" s="49"/>
      <c r="D68" s="34" t="str">
        <f>IF(AND(C35&gt;0,C32=""),CONCATENATE("kg CO2/",$C$9),"kg CO2/kWh")</f>
        <v>kg CO2/kWh</v>
      </c>
      <c r="E68" s="299"/>
      <c r="F68" s="300"/>
      <c r="G68" s="300"/>
      <c r="H68" s="300"/>
      <c r="I68" s="300"/>
      <c r="J68" s="300"/>
      <c r="K68" s="300"/>
      <c r="L68" s="300"/>
      <c r="M68" s="301"/>
    </row>
    <row r="69" spans="2:13" x14ac:dyDescent="0.2">
      <c r="B69" s="6" t="s">
        <v>272</v>
      </c>
      <c r="C69" s="49">
        <v>5.3999999999999999E-2</v>
      </c>
      <c r="D69" s="34" t="str">
        <f>IF(C37&gt;0,CONCATENATE("kg CO2/",$C$9),"kg CO2/kWh")</f>
        <v>kg CO2/kWh</v>
      </c>
      <c r="E69" s="299"/>
      <c r="F69" s="300"/>
      <c r="G69" s="300"/>
      <c r="H69" s="300"/>
      <c r="I69" s="300"/>
      <c r="J69" s="300"/>
      <c r="K69" s="300"/>
      <c r="L69" s="300"/>
      <c r="M69" s="301"/>
    </row>
    <row r="70" spans="2:13" x14ac:dyDescent="0.2">
      <c r="B70" s="6" t="s">
        <v>273</v>
      </c>
      <c r="C70" s="49"/>
      <c r="D70" s="34" t="str">
        <f>IF(C32="Ja",CONCATENATE("kg CO2/",$C$9),"kg CO2/kWh")</f>
        <v>kg CO2/kWh</v>
      </c>
      <c r="E70" s="299"/>
      <c r="F70" s="300"/>
      <c r="G70" s="300"/>
      <c r="H70" s="300"/>
      <c r="I70" s="300"/>
      <c r="J70" s="300"/>
      <c r="K70" s="300"/>
      <c r="L70" s="300"/>
      <c r="M70" s="301"/>
    </row>
    <row r="71" spans="2:13" x14ac:dyDescent="0.2">
      <c r="B71" s="6" t="s">
        <v>274</v>
      </c>
      <c r="C71" s="49"/>
      <c r="D71" s="34" t="s">
        <v>275</v>
      </c>
      <c r="E71" s="299"/>
      <c r="F71" s="300"/>
      <c r="G71" s="300"/>
      <c r="H71" s="300"/>
      <c r="I71" s="300"/>
      <c r="J71" s="300"/>
      <c r="K71" s="300"/>
      <c r="L71" s="300"/>
      <c r="M71" s="301"/>
    </row>
    <row r="72" spans="2:13" x14ac:dyDescent="0.2">
      <c r="B72" s="6" t="s">
        <v>276</v>
      </c>
      <c r="C72" s="49"/>
      <c r="D72" s="34" t="s">
        <v>277</v>
      </c>
      <c r="E72" s="299"/>
      <c r="F72" s="300"/>
      <c r="G72" s="300"/>
      <c r="H72" s="300"/>
      <c r="I72" s="300"/>
      <c r="J72" s="300"/>
      <c r="K72" s="300"/>
      <c r="L72" s="300"/>
      <c r="M72" s="301"/>
    </row>
    <row r="73" spans="2:13" x14ac:dyDescent="0.2">
      <c r="B73" s="6" t="s">
        <v>278</v>
      </c>
      <c r="C73" s="49"/>
      <c r="D73" s="34" t="s">
        <v>277</v>
      </c>
      <c r="E73" s="299"/>
      <c r="F73" s="300"/>
      <c r="G73" s="300"/>
      <c r="H73" s="300"/>
      <c r="I73" s="300"/>
      <c r="J73" s="300"/>
      <c r="K73" s="300"/>
      <c r="L73" s="300"/>
      <c r="M73" s="301"/>
    </row>
    <row r="74" spans="2:13" x14ac:dyDescent="0.2">
      <c r="B74" s="5" t="s">
        <v>279</v>
      </c>
      <c r="C74" s="193"/>
      <c r="D74" s="34" t="s">
        <v>277</v>
      </c>
      <c r="E74" s="192"/>
      <c r="F74" s="192"/>
      <c r="G74" s="192"/>
      <c r="H74" s="192"/>
      <c r="I74" s="192"/>
      <c r="J74" s="192"/>
      <c r="K74" s="192"/>
      <c r="L74" s="192"/>
      <c r="M74" s="192"/>
    </row>
    <row r="75" spans="2:13" x14ac:dyDescent="0.2">
      <c r="B75" s="13" t="s">
        <v>280</v>
      </c>
      <c r="C75" s="38"/>
      <c r="D75" s="39"/>
      <c r="E75" s="427"/>
      <c r="F75" s="428"/>
      <c r="G75" s="428"/>
      <c r="H75" s="428"/>
      <c r="I75" s="428"/>
      <c r="J75" s="428"/>
      <c r="K75" s="428"/>
      <c r="L75" s="428"/>
      <c r="M75" s="428"/>
    </row>
    <row r="76" spans="2:13" x14ac:dyDescent="0.2">
      <c r="B76" s="6" t="s">
        <v>281</v>
      </c>
      <c r="C76" s="49">
        <v>8.8900000000000007E-2</v>
      </c>
      <c r="D76" s="34" t="s">
        <v>282</v>
      </c>
      <c r="E76" s="299"/>
      <c r="F76" s="300"/>
      <c r="G76" s="300"/>
      <c r="H76" s="300"/>
      <c r="I76" s="300"/>
      <c r="J76" s="300"/>
      <c r="K76" s="300"/>
      <c r="L76" s="300"/>
      <c r="M76" s="301"/>
    </row>
    <row r="77" spans="2:13" x14ac:dyDescent="0.2">
      <c r="B77" s="6" t="s">
        <v>283</v>
      </c>
      <c r="C77" s="49">
        <v>800</v>
      </c>
      <c r="D77" s="34" t="s">
        <v>233</v>
      </c>
      <c r="E77" s="299"/>
      <c r="F77" s="300"/>
      <c r="G77" s="300"/>
      <c r="H77" s="300"/>
      <c r="I77" s="300"/>
      <c r="J77" s="300"/>
      <c r="K77" s="300"/>
      <c r="L77" s="300"/>
      <c r="M77" s="301"/>
    </row>
    <row r="78" spans="2:13" x14ac:dyDescent="0.2">
      <c r="B78" s="6" t="s">
        <v>284</v>
      </c>
      <c r="C78" s="49"/>
      <c r="D78" s="34" t="s">
        <v>282</v>
      </c>
      <c r="E78" s="299"/>
      <c r="F78" s="300"/>
      <c r="G78" s="300"/>
      <c r="H78" s="300"/>
      <c r="I78" s="300"/>
      <c r="J78" s="300"/>
      <c r="K78" s="300"/>
      <c r="L78" s="300"/>
      <c r="M78" s="301"/>
    </row>
    <row r="79" spans="2:13" x14ac:dyDescent="0.2">
      <c r="B79" s="6" t="s">
        <v>285</v>
      </c>
      <c r="C79" s="49"/>
      <c r="D79" s="34" t="s">
        <v>233</v>
      </c>
      <c r="E79" s="299"/>
      <c r="F79" s="300"/>
      <c r="G79" s="300"/>
      <c r="H79" s="300"/>
      <c r="I79" s="300"/>
      <c r="J79" s="300"/>
      <c r="K79" s="300"/>
      <c r="L79" s="300"/>
      <c r="M79" s="301"/>
    </row>
    <row r="80" spans="2:13" x14ac:dyDescent="0.2">
      <c r="B80" s="13" t="s">
        <v>286</v>
      </c>
      <c r="C80" s="38"/>
      <c r="D80" s="39"/>
      <c r="E80" s="427"/>
      <c r="F80" s="428"/>
      <c r="G80" s="428"/>
      <c r="H80" s="428"/>
      <c r="I80" s="428"/>
      <c r="J80" s="428"/>
      <c r="K80" s="428"/>
      <c r="L80" s="428"/>
      <c r="M80" s="428"/>
    </row>
    <row r="81" spans="2:15" x14ac:dyDescent="0.2">
      <c r="B81" s="6" t="s">
        <v>287</v>
      </c>
      <c r="C81" s="258"/>
      <c r="D81" s="34" t="s">
        <v>288</v>
      </c>
      <c r="E81" s="419"/>
      <c r="F81" s="420"/>
      <c r="G81" s="420"/>
      <c r="H81" s="420"/>
      <c r="I81" s="420"/>
      <c r="J81" s="420"/>
      <c r="K81" s="420"/>
      <c r="L81" s="420"/>
      <c r="M81" s="421"/>
    </row>
    <row r="82" spans="2:15" x14ac:dyDescent="0.2">
      <c r="B82" s="6" t="s">
        <v>289</v>
      </c>
      <c r="C82" s="258"/>
      <c r="D82" s="34" t="s">
        <v>288</v>
      </c>
      <c r="E82" s="419"/>
      <c r="F82" s="420"/>
      <c r="G82" s="420"/>
      <c r="H82" s="420"/>
      <c r="I82" s="420"/>
      <c r="J82" s="420"/>
      <c r="K82" s="420"/>
      <c r="L82" s="420"/>
      <c r="M82" s="421"/>
    </row>
    <row r="83" spans="2:15" x14ac:dyDescent="0.2">
      <c r="B83" s="13" t="s">
        <v>290</v>
      </c>
      <c r="C83" s="38">
        <v>1.4999999999999999E-2</v>
      </c>
      <c r="D83" s="39"/>
      <c r="E83" s="427"/>
      <c r="F83" s="428"/>
      <c r="G83" s="428"/>
      <c r="H83" s="428"/>
      <c r="I83" s="428"/>
      <c r="J83" s="428"/>
      <c r="K83" s="428"/>
      <c r="L83" s="428"/>
      <c r="M83" s="428"/>
    </row>
    <row r="84" spans="2:15" x14ac:dyDescent="0.2">
      <c r="B84" s="3" t="s">
        <v>291</v>
      </c>
      <c r="C84" s="50">
        <v>0.02</v>
      </c>
      <c r="D84" s="32"/>
      <c r="E84" s="419"/>
      <c r="F84" s="420"/>
      <c r="G84" s="420"/>
      <c r="H84" s="420"/>
      <c r="I84" s="420"/>
      <c r="J84" s="420"/>
      <c r="K84" s="420"/>
      <c r="L84" s="420"/>
      <c r="M84" s="421"/>
    </row>
    <row r="85" spans="2:15" x14ac:dyDescent="0.2">
      <c r="B85" s="6" t="s">
        <v>292</v>
      </c>
      <c r="C85" s="51">
        <v>4.7500000000000001E-2</v>
      </c>
      <c r="D85" s="34"/>
      <c r="E85" s="419"/>
      <c r="F85" s="420"/>
      <c r="G85" s="420"/>
      <c r="H85" s="420"/>
      <c r="I85" s="420"/>
      <c r="J85" s="420"/>
      <c r="K85" s="420"/>
      <c r="L85" s="420"/>
      <c r="M85" s="421"/>
    </row>
    <row r="86" spans="2:15" x14ac:dyDescent="0.2">
      <c r="B86" s="6" t="s">
        <v>293</v>
      </c>
      <c r="C86" s="51">
        <v>7.4999999999999997E-2</v>
      </c>
      <c r="D86" s="34"/>
      <c r="E86" s="419"/>
      <c r="F86" s="420"/>
      <c r="G86" s="420"/>
      <c r="H86" s="420"/>
      <c r="I86" s="420"/>
      <c r="J86" s="420"/>
      <c r="K86" s="420"/>
      <c r="L86" s="420"/>
      <c r="M86" s="421"/>
    </row>
    <row r="87" spans="2:15" x14ac:dyDescent="0.2">
      <c r="B87" s="14" t="s">
        <v>294</v>
      </c>
      <c r="C87" s="41">
        <f>100%-C88</f>
        <v>0.75</v>
      </c>
      <c r="D87" s="34"/>
      <c r="E87" s="419"/>
      <c r="F87" s="420"/>
      <c r="G87" s="420"/>
      <c r="H87" s="420"/>
      <c r="I87" s="420"/>
      <c r="J87" s="420"/>
      <c r="K87" s="420"/>
      <c r="L87" s="420"/>
      <c r="M87" s="421"/>
    </row>
    <row r="88" spans="2:15" x14ac:dyDescent="0.2">
      <c r="B88" s="6" t="s">
        <v>295</v>
      </c>
      <c r="C88" s="52">
        <v>0.25</v>
      </c>
      <c r="D88" s="34"/>
      <c r="E88" s="419"/>
      <c r="F88" s="420"/>
      <c r="G88" s="420"/>
      <c r="H88" s="420"/>
      <c r="I88" s="420"/>
      <c r="J88" s="420"/>
      <c r="K88" s="420"/>
      <c r="L88" s="420"/>
      <c r="M88" s="421"/>
    </row>
    <row r="89" spans="2:15" x14ac:dyDescent="0.2">
      <c r="B89" s="15" t="s">
        <v>296</v>
      </c>
      <c r="C89" s="53">
        <v>0.19</v>
      </c>
      <c r="D89" s="54"/>
      <c r="E89" s="419"/>
      <c r="F89" s="420"/>
      <c r="G89" s="420"/>
      <c r="H89" s="420"/>
      <c r="I89" s="420"/>
      <c r="J89" s="420"/>
      <c r="K89" s="420"/>
      <c r="L89" s="420"/>
      <c r="M89" s="421"/>
    </row>
    <row r="90" spans="2:15" x14ac:dyDescent="0.2">
      <c r="B90" s="13" t="s">
        <v>297</v>
      </c>
      <c r="C90" s="38">
        <v>15</v>
      </c>
      <c r="D90" s="39"/>
      <c r="E90" s="427"/>
      <c r="F90" s="428"/>
      <c r="G90" s="428"/>
      <c r="H90" s="428"/>
      <c r="I90" s="428"/>
      <c r="J90" s="428"/>
      <c r="K90" s="428"/>
      <c r="L90" s="428"/>
      <c r="M90" s="428"/>
      <c r="O90" s="55"/>
    </row>
    <row r="91" spans="2:15" x14ac:dyDescent="0.2">
      <c r="B91" s="16" t="s">
        <v>298</v>
      </c>
      <c r="C91" s="56">
        <v>20</v>
      </c>
      <c r="D91" s="54" t="s">
        <v>299</v>
      </c>
      <c r="E91" s="419"/>
      <c r="F91" s="420"/>
      <c r="G91" s="420"/>
      <c r="H91" s="420"/>
      <c r="I91" s="420"/>
      <c r="J91" s="420"/>
      <c r="K91" s="420"/>
      <c r="L91" s="420"/>
      <c r="M91" s="421"/>
    </row>
    <row r="92" spans="2:15" x14ac:dyDescent="0.2">
      <c r="B92" s="14" t="s">
        <v>300</v>
      </c>
      <c r="C92" s="37">
        <v>15</v>
      </c>
      <c r="D92" s="54" t="s">
        <v>299</v>
      </c>
      <c r="E92" s="419"/>
      <c r="F92" s="420"/>
      <c r="G92" s="420"/>
      <c r="H92" s="420"/>
      <c r="I92" s="420"/>
      <c r="J92" s="420"/>
      <c r="K92" s="420"/>
      <c r="L92" s="420"/>
      <c r="M92" s="421"/>
    </row>
    <row r="93" spans="2:15" x14ac:dyDescent="0.2">
      <c r="B93" s="14" t="s">
        <v>301</v>
      </c>
      <c r="C93" s="37">
        <v>15</v>
      </c>
      <c r="D93" s="54" t="s">
        <v>299</v>
      </c>
      <c r="E93" s="419"/>
      <c r="F93" s="420"/>
      <c r="G93" s="420"/>
      <c r="H93" s="420"/>
      <c r="I93" s="420"/>
      <c r="J93" s="420"/>
      <c r="K93" s="420"/>
      <c r="L93" s="420"/>
      <c r="M93" s="421"/>
    </row>
    <row r="94" spans="2:15" x14ac:dyDescent="0.2">
      <c r="B94" s="14" t="s">
        <v>302</v>
      </c>
      <c r="C94" s="37">
        <v>15</v>
      </c>
      <c r="D94" s="54" t="s">
        <v>299</v>
      </c>
      <c r="E94" s="419"/>
      <c r="F94" s="420"/>
      <c r="G94" s="420"/>
      <c r="H94" s="420"/>
      <c r="I94" s="420"/>
      <c r="J94" s="420"/>
      <c r="K94" s="420"/>
      <c r="L94" s="420"/>
      <c r="M94" s="421"/>
    </row>
    <row r="95" spans="2:15" x14ac:dyDescent="0.2">
      <c r="B95" s="5" t="s">
        <v>303</v>
      </c>
      <c r="C95" s="255"/>
      <c r="D95" s="54" t="s">
        <v>299</v>
      </c>
      <c r="E95" s="419"/>
      <c r="F95" s="420"/>
      <c r="G95" s="420"/>
      <c r="H95" s="420"/>
      <c r="I95" s="420"/>
      <c r="J95" s="420"/>
      <c r="K95" s="420"/>
      <c r="L95" s="420"/>
      <c r="M95" s="421"/>
    </row>
    <row r="96" spans="2:15" x14ac:dyDescent="0.2">
      <c r="B96" s="2" t="s">
        <v>304</v>
      </c>
      <c r="C96" s="22"/>
      <c r="D96" s="23"/>
      <c r="E96" s="434" t="s">
        <v>202</v>
      </c>
      <c r="F96" s="435"/>
      <c r="G96" s="435"/>
      <c r="H96" s="435"/>
      <c r="I96" s="435"/>
      <c r="J96" s="435"/>
      <c r="K96" s="435"/>
      <c r="L96" s="435"/>
      <c r="M96" s="435"/>
    </row>
    <row r="97" spans="1:44" x14ac:dyDescent="0.2">
      <c r="B97" s="3" t="s">
        <v>70</v>
      </c>
      <c r="C97" s="36">
        <v>12</v>
      </c>
      <c r="D97" s="179">
        <v>-130000</v>
      </c>
      <c r="E97" s="424" t="s">
        <v>305</v>
      </c>
      <c r="F97" s="425"/>
      <c r="G97" s="425"/>
      <c r="H97" s="425"/>
      <c r="I97" s="425"/>
      <c r="J97" s="425"/>
      <c r="K97" s="425"/>
      <c r="L97" s="425"/>
      <c r="M97" s="426"/>
    </row>
    <row r="98" spans="1:44" x14ac:dyDescent="0.2">
      <c r="B98" s="3" t="s">
        <v>306</v>
      </c>
      <c r="C98" s="262">
        <v>0.01</v>
      </c>
      <c r="D98" s="252"/>
      <c r="E98" s="419"/>
      <c r="F98" s="420"/>
      <c r="G98" s="420"/>
      <c r="H98" s="420"/>
      <c r="I98" s="420"/>
      <c r="J98" s="420"/>
      <c r="K98" s="420"/>
      <c r="L98" s="420"/>
      <c r="M98" s="421"/>
    </row>
    <row r="99" spans="1:44" x14ac:dyDescent="0.2">
      <c r="B99" s="3" t="s">
        <v>307</v>
      </c>
      <c r="C99" s="253"/>
      <c r="D99" s="252"/>
      <c r="E99" s="424" t="s">
        <v>308</v>
      </c>
      <c r="F99" s="425"/>
      <c r="G99" s="425"/>
      <c r="H99" s="425"/>
      <c r="I99" s="425"/>
      <c r="J99" s="425"/>
      <c r="K99" s="425"/>
      <c r="L99" s="425"/>
      <c r="M99" s="426"/>
    </row>
    <row r="100" spans="1:44" x14ac:dyDescent="0.2">
      <c r="E100" s="57"/>
    </row>
    <row r="101" spans="1:44" s="58" customFormat="1" x14ac:dyDescent="0.2">
      <c r="A101" s="28"/>
      <c r="B101" s="2" t="s">
        <v>309</v>
      </c>
      <c r="C101" s="59"/>
      <c r="D101" s="59" t="s">
        <v>8</v>
      </c>
      <c r="E101" s="13">
        <f>Colofon!B21</f>
        <v>2024</v>
      </c>
      <c r="F101" s="13">
        <f>E101+1</f>
        <v>2025</v>
      </c>
      <c r="G101" s="13">
        <f t="shared" ref="G101:Y101" si="0">F101+1</f>
        <v>2026</v>
      </c>
      <c r="H101" s="13">
        <f t="shared" si="0"/>
        <v>2027</v>
      </c>
      <c r="I101" s="13">
        <f t="shared" si="0"/>
        <v>2028</v>
      </c>
      <c r="J101" s="13">
        <f t="shared" si="0"/>
        <v>2029</v>
      </c>
      <c r="K101" s="13">
        <f t="shared" si="0"/>
        <v>2030</v>
      </c>
      <c r="L101" s="13">
        <f t="shared" si="0"/>
        <v>2031</v>
      </c>
      <c r="M101" s="13">
        <f t="shared" si="0"/>
        <v>2032</v>
      </c>
      <c r="N101" s="13">
        <f t="shared" si="0"/>
        <v>2033</v>
      </c>
      <c r="O101" s="13">
        <f t="shared" si="0"/>
        <v>2034</v>
      </c>
      <c r="P101" s="13">
        <f t="shared" si="0"/>
        <v>2035</v>
      </c>
      <c r="Q101" s="13">
        <f t="shared" si="0"/>
        <v>2036</v>
      </c>
      <c r="R101" s="13">
        <f t="shared" si="0"/>
        <v>2037</v>
      </c>
      <c r="S101" s="13">
        <f t="shared" si="0"/>
        <v>2038</v>
      </c>
      <c r="T101" s="13">
        <f t="shared" si="0"/>
        <v>2039</v>
      </c>
      <c r="U101" s="13">
        <f t="shared" si="0"/>
        <v>2040</v>
      </c>
      <c r="V101" s="13">
        <f t="shared" si="0"/>
        <v>2041</v>
      </c>
      <c r="W101" s="13">
        <f t="shared" si="0"/>
        <v>2042</v>
      </c>
      <c r="X101" s="13">
        <f t="shared" si="0"/>
        <v>2043</v>
      </c>
      <c r="Y101" s="13">
        <f t="shared" si="0"/>
        <v>2044</v>
      </c>
    </row>
    <row r="102" spans="1:44" s="60" customFormat="1" ht="25.5" x14ac:dyDescent="0.2">
      <c r="B102" s="259" t="s">
        <v>310</v>
      </c>
      <c r="C102" s="64"/>
      <c r="D102" s="61"/>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62"/>
      <c r="AA102" s="63"/>
      <c r="AB102" s="63"/>
      <c r="AC102" s="63"/>
      <c r="AD102" s="63"/>
      <c r="AE102" s="63"/>
      <c r="AF102" s="63"/>
      <c r="AG102" s="63"/>
      <c r="AH102" s="63"/>
      <c r="AI102" s="63"/>
      <c r="AJ102" s="63"/>
      <c r="AK102" s="63"/>
      <c r="AL102" s="63"/>
      <c r="AM102" s="63"/>
      <c r="AN102" s="63"/>
      <c r="AO102" s="63"/>
      <c r="AP102" s="63"/>
      <c r="AQ102" s="63"/>
      <c r="AR102" s="63"/>
    </row>
    <row r="103" spans="1:44" s="60" customFormat="1" ht="25.5" x14ac:dyDescent="0.2">
      <c r="B103" s="259" t="s">
        <v>311</v>
      </c>
      <c r="C103" s="64"/>
      <c r="D103" s="61"/>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62"/>
      <c r="AA103" s="63"/>
      <c r="AB103" s="63"/>
      <c r="AC103" s="63"/>
      <c r="AD103" s="63"/>
      <c r="AE103" s="63"/>
      <c r="AF103" s="63"/>
      <c r="AG103" s="63"/>
      <c r="AH103" s="63"/>
      <c r="AI103" s="63"/>
      <c r="AJ103" s="63"/>
      <c r="AK103" s="63"/>
      <c r="AL103" s="63"/>
      <c r="AM103" s="63"/>
      <c r="AN103" s="63"/>
      <c r="AO103" s="63"/>
      <c r="AP103" s="63"/>
      <c r="AQ103" s="63"/>
      <c r="AR103" s="63"/>
    </row>
    <row r="104" spans="1:44" s="65" customFormat="1" x14ac:dyDescent="0.2">
      <c r="B104" s="14" t="s">
        <v>312</v>
      </c>
      <c r="C104" s="64"/>
      <c r="D104" s="61" t="s">
        <v>313</v>
      </c>
      <c r="E104" s="66">
        <f t="shared" ref="E104:AR104" si="1">POWER(1+$C$84,E108-$E$108)</f>
        <v>1</v>
      </c>
      <c r="F104" s="66">
        <f t="shared" si="1"/>
        <v>1.02</v>
      </c>
      <c r="G104" s="66">
        <f t="shared" si="1"/>
        <v>1.0404</v>
      </c>
      <c r="H104" s="66">
        <f t="shared" si="1"/>
        <v>1.0612079999999999</v>
      </c>
      <c r="I104" s="66">
        <f t="shared" si="1"/>
        <v>1.08243216</v>
      </c>
      <c r="J104" s="66">
        <f t="shared" si="1"/>
        <v>1.1040808032</v>
      </c>
      <c r="K104" s="66">
        <f t="shared" si="1"/>
        <v>1.1261624192640001</v>
      </c>
      <c r="L104" s="66">
        <f t="shared" si="1"/>
        <v>1.1486856676492798</v>
      </c>
      <c r="M104" s="66">
        <f t="shared" si="1"/>
        <v>1.1716593810022655</v>
      </c>
      <c r="N104" s="66">
        <f t="shared" si="1"/>
        <v>1.1950925686223108</v>
      </c>
      <c r="O104" s="66">
        <f t="shared" si="1"/>
        <v>1.2189944199947571</v>
      </c>
      <c r="P104" s="66">
        <f t="shared" si="1"/>
        <v>1.243374308394652</v>
      </c>
      <c r="Q104" s="66">
        <f t="shared" si="1"/>
        <v>1.2682417945625453</v>
      </c>
      <c r="R104" s="66">
        <f t="shared" si="1"/>
        <v>1.2936066304537961</v>
      </c>
      <c r="S104" s="66">
        <f t="shared" si="1"/>
        <v>1.3194787630628722</v>
      </c>
      <c r="T104" s="66">
        <f t="shared" si="1"/>
        <v>1.3458683383241292</v>
      </c>
      <c r="U104" s="66">
        <f t="shared" si="1"/>
        <v>1.372785705090612</v>
      </c>
      <c r="V104" s="66">
        <f t="shared" si="1"/>
        <v>1.4002414191924244</v>
      </c>
      <c r="W104" s="66">
        <f t="shared" si="1"/>
        <v>1.4282462475762727</v>
      </c>
      <c r="X104" s="66">
        <f t="shared" si="1"/>
        <v>1.4568111725277981</v>
      </c>
      <c r="Y104" s="66">
        <f t="shared" si="1"/>
        <v>1.4859473959783542</v>
      </c>
      <c r="Z104" s="66">
        <f t="shared" si="1"/>
        <v>1.5156663438979212</v>
      </c>
      <c r="AA104" s="67">
        <f t="shared" si="1"/>
        <v>1.5459796707758797</v>
      </c>
      <c r="AB104" s="67">
        <f t="shared" si="1"/>
        <v>1.576899264191397</v>
      </c>
      <c r="AC104" s="67">
        <f t="shared" si="1"/>
        <v>1.608437249475225</v>
      </c>
      <c r="AD104" s="67">
        <f t="shared" si="1"/>
        <v>1.6406059944647295</v>
      </c>
      <c r="AE104" s="67">
        <f t="shared" si="1"/>
        <v>1.6734181143540243</v>
      </c>
      <c r="AF104" s="67">
        <f t="shared" si="1"/>
        <v>1.7068864766411045</v>
      </c>
      <c r="AG104" s="67">
        <f t="shared" si="1"/>
        <v>1.7410242061739269</v>
      </c>
      <c r="AH104" s="67">
        <f t="shared" si="1"/>
        <v>1.7758446902974052</v>
      </c>
      <c r="AI104" s="67">
        <f t="shared" si="1"/>
        <v>1.8113615841033535</v>
      </c>
      <c r="AJ104" s="67">
        <f t="shared" si="1"/>
        <v>1.8475888157854201</v>
      </c>
      <c r="AK104" s="67">
        <f t="shared" si="1"/>
        <v>1.8845405921011289</v>
      </c>
      <c r="AL104" s="67">
        <f t="shared" si="1"/>
        <v>1.9222314039431516</v>
      </c>
      <c r="AM104" s="67">
        <f t="shared" si="1"/>
        <v>1.9606760320220145</v>
      </c>
      <c r="AN104" s="67">
        <f t="shared" si="1"/>
        <v>1.9998895526624547</v>
      </c>
      <c r="AO104" s="67">
        <f t="shared" si="1"/>
        <v>2.0398873437157037</v>
      </c>
      <c r="AP104" s="67">
        <f t="shared" si="1"/>
        <v>2.080685090590018</v>
      </c>
      <c r="AQ104" s="67">
        <f t="shared" si="1"/>
        <v>2.1222987924018186</v>
      </c>
      <c r="AR104" s="67">
        <f t="shared" si="1"/>
        <v>2.1647447682498542</v>
      </c>
    </row>
    <row r="105" spans="1:44" x14ac:dyDescent="0.2">
      <c r="E105" s="57"/>
    </row>
    <row r="106" spans="1:44" ht="13.5" thickBot="1" x14ac:dyDescent="0.25"/>
    <row r="107" spans="1:44" ht="15" thickTop="1" x14ac:dyDescent="0.2">
      <c r="B107" s="433" t="s">
        <v>314</v>
      </c>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c r="AN107" s="433"/>
      <c r="AO107" s="433"/>
      <c r="AP107" s="433"/>
      <c r="AQ107" s="433"/>
      <c r="AR107" s="433"/>
    </row>
    <row r="108" spans="1:44" x14ac:dyDescent="0.2">
      <c r="B108" s="2" t="s">
        <v>315</v>
      </c>
      <c r="C108" s="68"/>
      <c r="D108" s="69">
        <v>0</v>
      </c>
      <c r="E108" s="69">
        <v>1</v>
      </c>
      <c r="F108" s="69">
        <v>2</v>
      </c>
      <c r="G108" s="69">
        <v>3</v>
      </c>
      <c r="H108" s="69">
        <v>4</v>
      </c>
      <c r="I108" s="69">
        <v>5</v>
      </c>
      <c r="J108" s="69">
        <v>6</v>
      </c>
      <c r="K108" s="69">
        <v>7</v>
      </c>
      <c r="L108" s="69">
        <v>8</v>
      </c>
      <c r="M108" s="69">
        <v>9</v>
      </c>
      <c r="N108" s="69">
        <v>10</v>
      </c>
      <c r="O108" s="69">
        <v>11</v>
      </c>
      <c r="P108" s="69">
        <v>12</v>
      </c>
      <c r="Q108" s="69">
        <v>13</v>
      </c>
      <c r="R108" s="69">
        <v>14</v>
      </c>
      <c r="S108" s="69">
        <v>15</v>
      </c>
      <c r="T108" s="69">
        <v>16</v>
      </c>
      <c r="U108" s="69">
        <v>17</v>
      </c>
      <c r="V108" s="69">
        <v>18</v>
      </c>
      <c r="W108" s="69">
        <v>19</v>
      </c>
      <c r="X108" s="69">
        <v>20</v>
      </c>
      <c r="Y108" s="69">
        <v>21</v>
      </c>
      <c r="Z108" s="69">
        <v>22</v>
      </c>
      <c r="AA108" s="69">
        <v>23</v>
      </c>
      <c r="AB108" s="69">
        <v>24</v>
      </c>
      <c r="AC108" s="69">
        <v>25</v>
      </c>
      <c r="AD108" s="69">
        <v>26</v>
      </c>
      <c r="AE108" s="69">
        <v>27</v>
      </c>
      <c r="AF108" s="69">
        <v>28</v>
      </c>
      <c r="AG108" s="69">
        <v>29</v>
      </c>
      <c r="AH108" s="69">
        <v>30</v>
      </c>
      <c r="AI108" s="69">
        <v>31</v>
      </c>
      <c r="AJ108" s="69">
        <v>32</v>
      </c>
      <c r="AK108" s="69">
        <v>33</v>
      </c>
      <c r="AL108" s="69">
        <v>34</v>
      </c>
      <c r="AM108" s="69">
        <v>35</v>
      </c>
      <c r="AN108" s="69">
        <v>36</v>
      </c>
      <c r="AO108" s="69">
        <v>37</v>
      </c>
      <c r="AP108" s="69">
        <v>38</v>
      </c>
      <c r="AQ108" s="69">
        <v>39</v>
      </c>
      <c r="AR108" s="118">
        <v>40</v>
      </c>
    </row>
    <row r="109" spans="1:44" x14ac:dyDescent="0.2">
      <c r="B109" s="5" t="s">
        <v>316</v>
      </c>
      <c r="C109" s="70" t="s">
        <v>288</v>
      </c>
      <c r="D109" s="71">
        <f>-D148</f>
        <v>-5853575</v>
      </c>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119"/>
    </row>
    <row r="110" spans="1:44" x14ac:dyDescent="0.2">
      <c r="B110" s="2" t="s">
        <v>317</v>
      </c>
      <c r="C110" s="73"/>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5"/>
    </row>
    <row r="111" spans="1:44" x14ac:dyDescent="0.2">
      <c r="B111" s="4" t="s">
        <v>318</v>
      </c>
      <c r="C111" s="214" t="str">
        <f>$C$9</f>
        <v>kWh</v>
      </c>
      <c r="D111" s="77"/>
      <c r="E111" s="78">
        <f>IF(E108&lt;=$C$94,$C$37*$C$39,IF(AND(E108&gt;$C$94,E108&lt;=$C$91),$C$37*$C$77,0))*IF($C$41=0,1,$C$42/$C$41)</f>
        <v>8550000</v>
      </c>
      <c r="F111" s="78">
        <f t="shared" ref="F111:AR111" si="2">IF(F108&lt;=$C$94,$C$37*$C$39,IF(AND(F108&gt;$C$94,F108&lt;=$C$91),$C$37*$C$77,0))*IF($C$41=0,1,$C$42/$C$41)</f>
        <v>8550000</v>
      </c>
      <c r="G111" s="78">
        <f t="shared" si="2"/>
        <v>8550000</v>
      </c>
      <c r="H111" s="78">
        <f t="shared" si="2"/>
        <v>8550000</v>
      </c>
      <c r="I111" s="78">
        <f t="shared" si="2"/>
        <v>8550000</v>
      </c>
      <c r="J111" s="78">
        <f t="shared" si="2"/>
        <v>8550000</v>
      </c>
      <c r="K111" s="78">
        <f t="shared" si="2"/>
        <v>8550000</v>
      </c>
      <c r="L111" s="78">
        <f t="shared" si="2"/>
        <v>8550000</v>
      </c>
      <c r="M111" s="78">
        <f t="shared" si="2"/>
        <v>8550000</v>
      </c>
      <c r="N111" s="78">
        <f t="shared" si="2"/>
        <v>8550000</v>
      </c>
      <c r="O111" s="78">
        <f t="shared" si="2"/>
        <v>8550000</v>
      </c>
      <c r="P111" s="78">
        <f t="shared" si="2"/>
        <v>8550000</v>
      </c>
      <c r="Q111" s="78">
        <f t="shared" si="2"/>
        <v>8550000</v>
      </c>
      <c r="R111" s="78">
        <f t="shared" si="2"/>
        <v>8550000</v>
      </c>
      <c r="S111" s="78">
        <f t="shared" si="2"/>
        <v>8550000</v>
      </c>
      <c r="T111" s="78">
        <f t="shared" si="2"/>
        <v>8000000</v>
      </c>
      <c r="U111" s="78">
        <f t="shared" si="2"/>
        <v>8000000</v>
      </c>
      <c r="V111" s="78">
        <f t="shared" si="2"/>
        <v>8000000</v>
      </c>
      <c r="W111" s="78">
        <f t="shared" si="2"/>
        <v>8000000</v>
      </c>
      <c r="X111" s="78">
        <f t="shared" si="2"/>
        <v>8000000</v>
      </c>
      <c r="Y111" s="78">
        <f t="shared" si="2"/>
        <v>0</v>
      </c>
      <c r="Z111" s="78">
        <f t="shared" si="2"/>
        <v>0</v>
      </c>
      <c r="AA111" s="78">
        <f t="shared" si="2"/>
        <v>0</v>
      </c>
      <c r="AB111" s="78">
        <f t="shared" si="2"/>
        <v>0</v>
      </c>
      <c r="AC111" s="78">
        <f t="shared" si="2"/>
        <v>0</v>
      </c>
      <c r="AD111" s="78">
        <f t="shared" si="2"/>
        <v>0</v>
      </c>
      <c r="AE111" s="78">
        <f t="shared" si="2"/>
        <v>0</v>
      </c>
      <c r="AF111" s="78">
        <f t="shared" si="2"/>
        <v>0</v>
      </c>
      <c r="AG111" s="78">
        <f t="shared" si="2"/>
        <v>0</v>
      </c>
      <c r="AH111" s="78">
        <f t="shared" si="2"/>
        <v>0</v>
      </c>
      <c r="AI111" s="78">
        <f t="shared" si="2"/>
        <v>0</v>
      </c>
      <c r="AJ111" s="78">
        <f t="shared" si="2"/>
        <v>0</v>
      </c>
      <c r="AK111" s="78">
        <f t="shared" si="2"/>
        <v>0</v>
      </c>
      <c r="AL111" s="78">
        <f t="shared" si="2"/>
        <v>0</v>
      </c>
      <c r="AM111" s="78">
        <f t="shared" si="2"/>
        <v>0</v>
      </c>
      <c r="AN111" s="78">
        <f t="shared" si="2"/>
        <v>0</v>
      </c>
      <c r="AO111" s="78">
        <f t="shared" si="2"/>
        <v>0</v>
      </c>
      <c r="AP111" s="78">
        <f t="shared" si="2"/>
        <v>0</v>
      </c>
      <c r="AQ111" s="78">
        <f t="shared" si="2"/>
        <v>0</v>
      </c>
      <c r="AR111" s="86">
        <f t="shared" si="2"/>
        <v>0</v>
      </c>
    </row>
    <row r="112" spans="1:44" x14ac:dyDescent="0.2">
      <c r="B112" s="79" t="s">
        <v>319</v>
      </c>
      <c r="C112" s="214" t="str">
        <f>$C$9</f>
        <v>kWh</v>
      </c>
      <c r="D112" s="63"/>
      <c r="E112" s="81">
        <f>IF($C$32="Ja",0,IF(E108&lt;=$C$94,$C$35*$C$38,IF(AND(E108&gt;$C$94,E108&lt;=$C$91),$C$35*$C$79,0)))</f>
        <v>0</v>
      </c>
      <c r="F112" s="81">
        <f t="shared" ref="F112:AR112" si="3">IF($C$32="Ja",0,IF(F108&lt;=$C$94,$C$35*$C$38,IF(AND(F108&gt;$C$94,F108&lt;=$C$91),$C$35*$C$79,0)))</f>
        <v>0</v>
      </c>
      <c r="G112" s="81">
        <f t="shared" si="3"/>
        <v>0</v>
      </c>
      <c r="H112" s="81">
        <f t="shared" si="3"/>
        <v>0</v>
      </c>
      <c r="I112" s="81">
        <f t="shared" si="3"/>
        <v>0</v>
      </c>
      <c r="J112" s="81">
        <f t="shared" si="3"/>
        <v>0</v>
      </c>
      <c r="K112" s="81">
        <f t="shared" si="3"/>
        <v>0</v>
      </c>
      <c r="L112" s="81">
        <f t="shared" si="3"/>
        <v>0</v>
      </c>
      <c r="M112" s="81">
        <f t="shared" si="3"/>
        <v>0</v>
      </c>
      <c r="N112" s="81">
        <f t="shared" si="3"/>
        <v>0</v>
      </c>
      <c r="O112" s="81">
        <f t="shared" si="3"/>
        <v>0</v>
      </c>
      <c r="P112" s="81">
        <f t="shared" si="3"/>
        <v>0</v>
      </c>
      <c r="Q112" s="81">
        <f t="shared" si="3"/>
        <v>0</v>
      </c>
      <c r="R112" s="81">
        <f t="shared" si="3"/>
        <v>0</v>
      </c>
      <c r="S112" s="81">
        <f t="shared" si="3"/>
        <v>0</v>
      </c>
      <c r="T112" s="81">
        <f t="shared" si="3"/>
        <v>0</v>
      </c>
      <c r="U112" s="81">
        <f t="shared" si="3"/>
        <v>0</v>
      </c>
      <c r="V112" s="81">
        <f t="shared" si="3"/>
        <v>0</v>
      </c>
      <c r="W112" s="81">
        <f t="shared" si="3"/>
        <v>0</v>
      </c>
      <c r="X112" s="81">
        <f t="shared" si="3"/>
        <v>0</v>
      </c>
      <c r="Y112" s="81">
        <f t="shared" si="3"/>
        <v>0</v>
      </c>
      <c r="Z112" s="81">
        <f t="shared" si="3"/>
        <v>0</v>
      </c>
      <c r="AA112" s="81">
        <f t="shared" si="3"/>
        <v>0</v>
      </c>
      <c r="AB112" s="81">
        <f t="shared" si="3"/>
        <v>0</v>
      </c>
      <c r="AC112" s="81">
        <f t="shared" si="3"/>
        <v>0</v>
      </c>
      <c r="AD112" s="81">
        <f t="shared" si="3"/>
        <v>0</v>
      </c>
      <c r="AE112" s="81">
        <f t="shared" si="3"/>
        <v>0</v>
      </c>
      <c r="AF112" s="81">
        <f t="shared" si="3"/>
        <v>0</v>
      </c>
      <c r="AG112" s="81">
        <f t="shared" si="3"/>
        <v>0</v>
      </c>
      <c r="AH112" s="81">
        <f t="shared" si="3"/>
        <v>0</v>
      </c>
      <c r="AI112" s="81">
        <f t="shared" si="3"/>
        <v>0</v>
      </c>
      <c r="AJ112" s="81">
        <f t="shared" si="3"/>
        <v>0</v>
      </c>
      <c r="AK112" s="81">
        <f t="shared" si="3"/>
        <v>0</v>
      </c>
      <c r="AL112" s="81">
        <f t="shared" si="3"/>
        <v>0</v>
      </c>
      <c r="AM112" s="81">
        <f t="shared" si="3"/>
        <v>0</v>
      </c>
      <c r="AN112" s="81">
        <f t="shared" si="3"/>
        <v>0</v>
      </c>
      <c r="AO112" s="81">
        <f t="shared" si="3"/>
        <v>0</v>
      </c>
      <c r="AP112" s="81">
        <f t="shared" si="3"/>
        <v>0</v>
      </c>
      <c r="AQ112" s="81">
        <f t="shared" si="3"/>
        <v>0</v>
      </c>
      <c r="AR112" s="86">
        <f t="shared" si="3"/>
        <v>0</v>
      </c>
    </row>
    <row r="113" spans="2:44" x14ac:dyDescent="0.2">
      <c r="B113" s="79" t="s">
        <v>320</v>
      </c>
      <c r="C113" s="80" t="s">
        <v>321</v>
      </c>
      <c r="D113" s="63"/>
      <c r="E113" s="81">
        <f t="shared" ref="E113:AR113" si="4">IF(OR(E108&gt;$C$91,$C$32&lt;&gt;"JA"),0,$C$35*$C$38*$C$26/$C$25)</f>
        <v>0</v>
      </c>
      <c r="F113" s="81">
        <f t="shared" si="4"/>
        <v>0</v>
      </c>
      <c r="G113" s="81">
        <f t="shared" si="4"/>
        <v>0</v>
      </c>
      <c r="H113" s="81">
        <f t="shared" si="4"/>
        <v>0</v>
      </c>
      <c r="I113" s="81">
        <f t="shared" si="4"/>
        <v>0</v>
      </c>
      <c r="J113" s="81">
        <f t="shared" si="4"/>
        <v>0</v>
      </c>
      <c r="K113" s="81">
        <f t="shared" si="4"/>
        <v>0</v>
      </c>
      <c r="L113" s="81">
        <f t="shared" si="4"/>
        <v>0</v>
      </c>
      <c r="M113" s="81">
        <f t="shared" si="4"/>
        <v>0</v>
      </c>
      <c r="N113" s="81">
        <f t="shared" si="4"/>
        <v>0</v>
      </c>
      <c r="O113" s="81">
        <f t="shared" si="4"/>
        <v>0</v>
      </c>
      <c r="P113" s="81">
        <f t="shared" si="4"/>
        <v>0</v>
      </c>
      <c r="Q113" s="81">
        <f t="shared" si="4"/>
        <v>0</v>
      </c>
      <c r="R113" s="81">
        <f t="shared" si="4"/>
        <v>0</v>
      </c>
      <c r="S113" s="81">
        <f t="shared" si="4"/>
        <v>0</v>
      </c>
      <c r="T113" s="81">
        <f t="shared" si="4"/>
        <v>0</v>
      </c>
      <c r="U113" s="81">
        <f t="shared" si="4"/>
        <v>0</v>
      </c>
      <c r="V113" s="81">
        <f t="shared" si="4"/>
        <v>0</v>
      </c>
      <c r="W113" s="81">
        <f t="shared" si="4"/>
        <v>0</v>
      </c>
      <c r="X113" s="81">
        <f t="shared" si="4"/>
        <v>0</v>
      </c>
      <c r="Y113" s="81">
        <f t="shared" si="4"/>
        <v>0</v>
      </c>
      <c r="Z113" s="81">
        <f t="shared" si="4"/>
        <v>0</v>
      </c>
      <c r="AA113" s="81">
        <f t="shared" si="4"/>
        <v>0</v>
      </c>
      <c r="AB113" s="81">
        <f t="shared" si="4"/>
        <v>0</v>
      </c>
      <c r="AC113" s="81">
        <f t="shared" si="4"/>
        <v>0</v>
      </c>
      <c r="AD113" s="81">
        <f t="shared" si="4"/>
        <v>0</v>
      </c>
      <c r="AE113" s="81">
        <f t="shared" si="4"/>
        <v>0</v>
      </c>
      <c r="AF113" s="81">
        <f t="shared" si="4"/>
        <v>0</v>
      </c>
      <c r="AG113" s="81">
        <f t="shared" si="4"/>
        <v>0</v>
      </c>
      <c r="AH113" s="81">
        <f t="shared" si="4"/>
        <v>0</v>
      </c>
      <c r="AI113" s="81">
        <f t="shared" si="4"/>
        <v>0</v>
      </c>
      <c r="AJ113" s="81">
        <f t="shared" si="4"/>
        <v>0</v>
      </c>
      <c r="AK113" s="81">
        <f t="shared" si="4"/>
        <v>0</v>
      </c>
      <c r="AL113" s="81">
        <f t="shared" si="4"/>
        <v>0</v>
      </c>
      <c r="AM113" s="81">
        <f t="shared" si="4"/>
        <v>0</v>
      </c>
      <c r="AN113" s="81">
        <f t="shared" si="4"/>
        <v>0</v>
      </c>
      <c r="AO113" s="81">
        <f t="shared" si="4"/>
        <v>0</v>
      </c>
      <c r="AP113" s="81">
        <f t="shared" si="4"/>
        <v>0</v>
      </c>
      <c r="AQ113" s="81">
        <f t="shared" si="4"/>
        <v>0</v>
      </c>
      <c r="AR113" s="86">
        <f t="shared" si="4"/>
        <v>0</v>
      </c>
    </row>
    <row r="114" spans="2:44" x14ac:dyDescent="0.2">
      <c r="B114" s="82" t="s">
        <v>322</v>
      </c>
      <c r="C114" s="215" t="str">
        <f>$C$9</f>
        <v>kWh</v>
      </c>
      <c r="D114" s="83"/>
      <c r="E114" s="84">
        <f>SUM(E111:E113)</f>
        <v>8550000</v>
      </c>
      <c r="F114" s="84">
        <f t="shared" ref="F114:AR114" si="5">SUM(F111:F113)</f>
        <v>8550000</v>
      </c>
      <c r="G114" s="84">
        <f t="shared" si="5"/>
        <v>8550000</v>
      </c>
      <c r="H114" s="84">
        <f t="shared" si="5"/>
        <v>8550000</v>
      </c>
      <c r="I114" s="84">
        <f t="shared" si="5"/>
        <v>8550000</v>
      </c>
      <c r="J114" s="84">
        <f t="shared" si="5"/>
        <v>8550000</v>
      </c>
      <c r="K114" s="84">
        <f t="shared" si="5"/>
        <v>8550000</v>
      </c>
      <c r="L114" s="84">
        <f t="shared" si="5"/>
        <v>8550000</v>
      </c>
      <c r="M114" s="84">
        <f t="shared" si="5"/>
        <v>8550000</v>
      </c>
      <c r="N114" s="84">
        <f t="shared" si="5"/>
        <v>8550000</v>
      </c>
      <c r="O114" s="84">
        <f t="shared" si="5"/>
        <v>8550000</v>
      </c>
      <c r="P114" s="84">
        <f t="shared" si="5"/>
        <v>8550000</v>
      </c>
      <c r="Q114" s="84">
        <f t="shared" si="5"/>
        <v>8550000</v>
      </c>
      <c r="R114" s="84">
        <f t="shared" si="5"/>
        <v>8550000</v>
      </c>
      <c r="S114" s="84">
        <f t="shared" si="5"/>
        <v>8550000</v>
      </c>
      <c r="T114" s="84">
        <f t="shared" si="5"/>
        <v>8000000</v>
      </c>
      <c r="U114" s="84">
        <f t="shared" si="5"/>
        <v>8000000</v>
      </c>
      <c r="V114" s="84">
        <f t="shared" si="5"/>
        <v>8000000</v>
      </c>
      <c r="W114" s="84">
        <f t="shared" si="5"/>
        <v>8000000</v>
      </c>
      <c r="X114" s="84">
        <f t="shared" si="5"/>
        <v>8000000</v>
      </c>
      <c r="Y114" s="84">
        <f t="shared" si="5"/>
        <v>0</v>
      </c>
      <c r="Z114" s="84">
        <f t="shared" si="5"/>
        <v>0</v>
      </c>
      <c r="AA114" s="84">
        <f t="shared" si="5"/>
        <v>0</v>
      </c>
      <c r="AB114" s="84">
        <f t="shared" si="5"/>
        <v>0</v>
      </c>
      <c r="AC114" s="84">
        <f t="shared" si="5"/>
        <v>0</v>
      </c>
      <c r="AD114" s="84">
        <f t="shared" si="5"/>
        <v>0</v>
      </c>
      <c r="AE114" s="84">
        <f t="shared" si="5"/>
        <v>0</v>
      </c>
      <c r="AF114" s="84">
        <f t="shared" si="5"/>
        <v>0</v>
      </c>
      <c r="AG114" s="84">
        <f t="shared" si="5"/>
        <v>0</v>
      </c>
      <c r="AH114" s="84">
        <f t="shared" si="5"/>
        <v>0</v>
      </c>
      <c r="AI114" s="84">
        <f t="shared" si="5"/>
        <v>0</v>
      </c>
      <c r="AJ114" s="84">
        <f t="shared" si="5"/>
        <v>0</v>
      </c>
      <c r="AK114" s="84">
        <f t="shared" si="5"/>
        <v>0</v>
      </c>
      <c r="AL114" s="84">
        <f t="shared" si="5"/>
        <v>0</v>
      </c>
      <c r="AM114" s="84">
        <f t="shared" si="5"/>
        <v>0</v>
      </c>
      <c r="AN114" s="84">
        <f t="shared" si="5"/>
        <v>0</v>
      </c>
      <c r="AO114" s="84">
        <f t="shared" si="5"/>
        <v>0</v>
      </c>
      <c r="AP114" s="84">
        <f t="shared" si="5"/>
        <v>0</v>
      </c>
      <c r="AQ114" s="84">
        <f t="shared" si="5"/>
        <v>0</v>
      </c>
      <c r="AR114" s="120">
        <f t="shared" si="5"/>
        <v>0</v>
      </c>
    </row>
    <row r="115" spans="2:44" x14ac:dyDescent="0.2">
      <c r="B115" s="2" t="s">
        <v>323</v>
      </c>
      <c r="C115" s="73"/>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5"/>
    </row>
    <row r="116" spans="2:44" x14ac:dyDescent="0.2">
      <c r="B116" s="4" t="s">
        <v>324</v>
      </c>
      <c r="C116" s="76" t="s">
        <v>288</v>
      </c>
      <c r="D116" s="77"/>
      <c r="E116" s="78">
        <f t="shared" ref="E116:AR116" si="6">IF(E108&gt;$C$91,0,-E104*(($C$49*$C$30+$C$50*SUM($C$35,$C$37))+E114*$C$52))+IF($C$97=E108,$D$97*E104,0)+IF($C$98=E108,$D$98*E104,0)+IF($C$99=E108,$D$99*E104,0)</f>
        <v>-193795</v>
      </c>
      <c r="F116" s="78">
        <f t="shared" si="6"/>
        <v>-197670.9</v>
      </c>
      <c r="G116" s="78">
        <f t="shared" si="6"/>
        <v>-201624.318</v>
      </c>
      <c r="H116" s="78">
        <f t="shared" si="6"/>
        <v>-205656.80435999998</v>
      </c>
      <c r="I116" s="78">
        <f t="shared" si="6"/>
        <v>-209769.9404472</v>
      </c>
      <c r="J116" s="78">
        <f t="shared" si="6"/>
        <v>-213965.33925614401</v>
      </c>
      <c r="K116" s="78">
        <f t="shared" si="6"/>
        <v>-218244.64604126688</v>
      </c>
      <c r="L116" s="78">
        <f t="shared" si="6"/>
        <v>-222609.53896209219</v>
      </c>
      <c r="M116" s="78">
        <f t="shared" si="6"/>
        <v>-227061.72974133404</v>
      </c>
      <c r="N116" s="78">
        <f t="shared" si="6"/>
        <v>-231602.96433616072</v>
      </c>
      <c r="O116" s="78">
        <f t="shared" si="6"/>
        <v>-236235.02362288395</v>
      </c>
      <c r="P116" s="78">
        <f t="shared" si="6"/>
        <v>-402598.38418664632</v>
      </c>
      <c r="Q116" s="78">
        <f t="shared" si="6"/>
        <v>-245778.91857724846</v>
      </c>
      <c r="R116" s="78">
        <f t="shared" si="6"/>
        <v>-250694.49694879341</v>
      </c>
      <c r="S116" s="78">
        <f t="shared" si="6"/>
        <v>-255708.3868877693</v>
      </c>
      <c r="T116" s="78">
        <f t="shared" si="6"/>
        <v>-258675.89462589764</v>
      </c>
      <c r="U116" s="78">
        <f t="shared" si="6"/>
        <v>-263849.41251841566</v>
      </c>
      <c r="V116" s="78">
        <f t="shared" si="6"/>
        <v>-269126.40076878399</v>
      </c>
      <c r="W116" s="78">
        <f t="shared" si="6"/>
        <v>-274508.92878415959</v>
      </c>
      <c r="X116" s="78">
        <f t="shared" si="6"/>
        <v>-279999.1073598428</v>
      </c>
      <c r="Y116" s="78">
        <f t="shared" si="6"/>
        <v>0</v>
      </c>
      <c r="Z116" s="78">
        <f t="shared" si="6"/>
        <v>0</v>
      </c>
      <c r="AA116" s="78">
        <f t="shared" si="6"/>
        <v>0</v>
      </c>
      <c r="AB116" s="78">
        <f t="shared" si="6"/>
        <v>0</v>
      </c>
      <c r="AC116" s="78">
        <f t="shared" si="6"/>
        <v>0</v>
      </c>
      <c r="AD116" s="78">
        <f t="shared" si="6"/>
        <v>0</v>
      </c>
      <c r="AE116" s="78">
        <f t="shared" si="6"/>
        <v>0</v>
      </c>
      <c r="AF116" s="78">
        <f t="shared" si="6"/>
        <v>0</v>
      </c>
      <c r="AG116" s="78">
        <f t="shared" si="6"/>
        <v>0</v>
      </c>
      <c r="AH116" s="78">
        <f t="shared" si="6"/>
        <v>0</v>
      </c>
      <c r="AI116" s="78">
        <f t="shared" si="6"/>
        <v>0</v>
      </c>
      <c r="AJ116" s="78">
        <f t="shared" si="6"/>
        <v>0</v>
      </c>
      <c r="AK116" s="78">
        <f t="shared" si="6"/>
        <v>0</v>
      </c>
      <c r="AL116" s="78">
        <f t="shared" si="6"/>
        <v>0</v>
      </c>
      <c r="AM116" s="78">
        <f t="shared" si="6"/>
        <v>0</v>
      </c>
      <c r="AN116" s="78">
        <f t="shared" si="6"/>
        <v>0</v>
      </c>
      <c r="AO116" s="78">
        <f t="shared" si="6"/>
        <v>0</v>
      </c>
      <c r="AP116" s="78">
        <f t="shared" si="6"/>
        <v>0</v>
      </c>
      <c r="AQ116" s="78">
        <f t="shared" si="6"/>
        <v>0</v>
      </c>
      <c r="AR116" s="86">
        <f t="shared" si="6"/>
        <v>0</v>
      </c>
    </row>
    <row r="117" spans="2:44" x14ac:dyDescent="0.2">
      <c r="B117" s="79" t="s">
        <v>325</v>
      </c>
      <c r="C117" s="80" t="s">
        <v>288</v>
      </c>
      <c r="D117" s="63"/>
      <c r="E117" s="81">
        <f t="shared" ref="E117:AR117" si="7">IF(OR(E108&gt;$C$91, $C$58=0), 0, -E104*$C$60/$C$58*$C$30*MAX($C$38,$C$39)*$C$27/1000)</f>
        <v>0</v>
      </c>
      <c r="F117" s="81">
        <f t="shared" si="7"/>
        <v>0</v>
      </c>
      <c r="G117" s="81">
        <f t="shared" si="7"/>
        <v>0</v>
      </c>
      <c r="H117" s="81">
        <f t="shared" si="7"/>
        <v>0</v>
      </c>
      <c r="I117" s="81">
        <f t="shared" si="7"/>
        <v>0</v>
      </c>
      <c r="J117" s="81">
        <f t="shared" si="7"/>
        <v>0</v>
      </c>
      <c r="K117" s="81">
        <f t="shared" si="7"/>
        <v>0</v>
      </c>
      <c r="L117" s="81">
        <f t="shared" si="7"/>
        <v>0</v>
      </c>
      <c r="M117" s="81">
        <f t="shared" si="7"/>
        <v>0</v>
      </c>
      <c r="N117" s="81">
        <f t="shared" si="7"/>
        <v>0</v>
      </c>
      <c r="O117" s="81">
        <f t="shared" si="7"/>
        <v>0</v>
      </c>
      <c r="P117" s="81">
        <f t="shared" si="7"/>
        <v>0</v>
      </c>
      <c r="Q117" s="81">
        <f t="shared" si="7"/>
        <v>0</v>
      </c>
      <c r="R117" s="81">
        <f t="shared" si="7"/>
        <v>0</v>
      </c>
      <c r="S117" s="81">
        <f t="shared" si="7"/>
        <v>0</v>
      </c>
      <c r="T117" s="81">
        <f t="shared" si="7"/>
        <v>0</v>
      </c>
      <c r="U117" s="81">
        <f t="shared" si="7"/>
        <v>0</v>
      </c>
      <c r="V117" s="81">
        <f t="shared" si="7"/>
        <v>0</v>
      </c>
      <c r="W117" s="81">
        <f t="shared" si="7"/>
        <v>0</v>
      </c>
      <c r="X117" s="81">
        <f t="shared" si="7"/>
        <v>0</v>
      </c>
      <c r="Y117" s="81">
        <f t="shared" si="7"/>
        <v>0</v>
      </c>
      <c r="Z117" s="81">
        <f t="shared" si="7"/>
        <v>0</v>
      </c>
      <c r="AA117" s="81">
        <f t="shared" si="7"/>
        <v>0</v>
      </c>
      <c r="AB117" s="81">
        <f t="shared" si="7"/>
        <v>0</v>
      </c>
      <c r="AC117" s="81">
        <f t="shared" si="7"/>
        <v>0</v>
      </c>
      <c r="AD117" s="81">
        <f t="shared" si="7"/>
        <v>0</v>
      </c>
      <c r="AE117" s="81">
        <f t="shared" si="7"/>
        <v>0</v>
      </c>
      <c r="AF117" s="81">
        <f t="shared" si="7"/>
        <v>0</v>
      </c>
      <c r="AG117" s="81">
        <f t="shared" si="7"/>
        <v>0</v>
      </c>
      <c r="AH117" s="81">
        <f t="shared" si="7"/>
        <v>0</v>
      </c>
      <c r="AI117" s="81">
        <f t="shared" si="7"/>
        <v>0</v>
      </c>
      <c r="AJ117" s="81">
        <f t="shared" si="7"/>
        <v>0</v>
      </c>
      <c r="AK117" s="81">
        <f t="shared" si="7"/>
        <v>0</v>
      </c>
      <c r="AL117" s="81">
        <f t="shared" si="7"/>
        <v>0</v>
      </c>
      <c r="AM117" s="81">
        <f t="shared" si="7"/>
        <v>0</v>
      </c>
      <c r="AN117" s="81">
        <f t="shared" si="7"/>
        <v>0</v>
      </c>
      <c r="AO117" s="81">
        <f t="shared" si="7"/>
        <v>0</v>
      </c>
      <c r="AP117" s="81">
        <f t="shared" si="7"/>
        <v>0</v>
      </c>
      <c r="AQ117" s="81">
        <f t="shared" si="7"/>
        <v>0</v>
      </c>
      <c r="AR117" s="86">
        <f t="shared" si="7"/>
        <v>0</v>
      </c>
    </row>
    <row r="118" spans="2:44" x14ac:dyDescent="0.2">
      <c r="B118" s="79" t="s">
        <v>326</v>
      </c>
      <c r="C118" s="80" t="s">
        <v>282</v>
      </c>
      <c r="D118" s="63"/>
      <c r="E118" s="85">
        <f>IF(AND(E108&gt;$C$94,E108&lt;=$C$91),(IF($C$77&gt;0,$C$76*E104,0)), )</f>
        <v>0</v>
      </c>
      <c r="F118" s="85">
        <f t="shared" ref="F118:AQ118" si="8">IF(AND(F108&gt;$C$94,F108&lt;=$C$91),(IF($C$77&gt;0,$C$76*F104,0)), )</f>
        <v>0</v>
      </c>
      <c r="G118" s="85">
        <f t="shared" si="8"/>
        <v>0</v>
      </c>
      <c r="H118" s="85">
        <f t="shared" si="8"/>
        <v>0</v>
      </c>
      <c r="I118" s="85">
        <f t="shared" si="8"/>
        <v>0</v>
      </c>
      <c r="J118" s="85">
        <f t="shared" si="8"/>
        <v>0</v>
      </c>
      <c r="K118" s="85">
        <f t="shared" si="8"/>
        <v>0</v>
      </c>
      <c r="L118" s="85">
        <f t="shared" si="8"/>
        <v>0</v>
      </c>
      <c r="M118" s="85">
        <f t="shared" si="8"/>
        <v>0</v>
      </c>
      <c r="N118" s="85">
        <f t="shared" si="8"/>
        <v>0</v>
      </c>
      <c r="O118" s="85">
        <f t="shared" si="8"/>
        <v>0</v>
      </c>
      <c r="P118" s="85">
        <f t="shared" si="8"/>
        <v>0</v>
      </c>
      <c r="Q118" s="85">
        <f t="shared" si="8"/>
        <v>0</v>
      </c>
      <c r="R118" s="85">
        <f t="shared" si="8"/>
        <v>0</v>
      </c>
      <c r="S118" s="85">
        <f t="shared" si="8"/>
        <v>0</v>
      </c>
      <c r="T118" s="85">
        <f t="shared" si="8"/>
        <v>0.1196476952770151</v>
      </c>
      <c r="U118" s="85">
        <f t="shared" si="8"/>
        <v>0.12204064918255542</v>
      </c>
      <c r="V118" s="85">
        <f t="shared" si="8"/>
        <v>0.12448146216620654</v>
      </c>
      <c r="W118" s="85">
        <f t="shared" si="8"/>
        <v>0.12697109140953067</v>
      </c>
      <c r="X118" s="85">
        <f t="shared" si="8"/>
        <v>0.12951051323772125</v>
      </c>
      <c r="Y118" s="85">
        <f t="shared" si="8"/>
        <v>0</v>
      </c>
      <c r="Z118" s="85">
        <f t="shared" si="8"/>
        <v>0</v>
      </c>
      <c r="AA118" s="85">
        <f t="shared" si="8"/>
        <v>0</v>
      </c>
      <c r="AB118" s="85">
        <f t="shared" si="8"/>
        <v>0</v>
      </c>
      <c r="AC118" s="85">
        <f t="shared" si="8"/>
        <v>0</v>
      </c>
      <c r="AD118" s="85">
        <f t="shared" si="8"/>
        <v>0</v>
      </c>
      <c r="AE118" s="85">
        <f t="shared" si="8"/>
        <v>0</v>
      </c>
      <c r="AF118" s="85">
        <f t="shared" si="8"/>
        <v>0</v>
      </c>
      <c r="AG118" s="85">
        <f t="shared" si="8"/>
        <v>0</v>
      </c>
      <c r="AH118" s="85">
        <f t="shared" si="8"/>
        <v>0</v>
      </c>
      <c r="AI118" s="85">
        <f t="shared" si="8"/>
        <v>0</v>
      </c>
      <c r="AJ118" s="85">
        <f t="shared" si="8"/>
        <v>0</v>
      </c>
      <c r="AK118" s="85">
        <f t="shared" si="8"/>
        <v>0</v>
      </c>
      <c r="AL118" s="85">
        <f t="shared" si="8"/>
        <v>0</v>
      </c>
      <c r="AM118" s="85">
        <f t="shared" si="8"/>
        <v>0</v>
      </c>
      <c r="AN118" s="85">
        <f t="shared" si="8"/>
        <v>0</v>
      </c>
      <c r="AO118" s="85">
        <f t="shared" si="8"/>
        <v>0</v>
      </c>
      <c r="AP118" s="85">
        <f t="shared" si="8"/>
        <v>0</v>
      </c>
      <c r="AQ118" s="85">
        <f t="shared" si="8"/>
        <v>0</v>
      </c>
      <c r="AR118" s="86">
        <f>IF(AND(AR108&gt;$C$94,AR108&lt;=$C$91),(IF($C$77&gt;0,$C$76*AR104,0)), )</f>
        <v>0</v>
      </c>
    </row>
    <row r="119" spans="2:44" x14ac:dyDescent="0.2">
      <c r="B119" s="79" t="s">
        <v>327</v>
      </c>
      <c r="C119" s="80" t="s">
        <v>282</v>
      </c>
      <c r="D119" s="63"/>
      <c r="E119" s="85">
        <f>IF($C$32="Ja",0,IF(AND(E108&gt;$C$94,E108&lt;=$C$91),(IF($C$79&gt;0,$C$78*E104,0)), ))</f>
        <v>0</v>
      </c>
      <c r="F119" s="85">
        <f t="shared" ref="F119:AR119" si="9">IF($C$32="Ja",0,IF(AND(F108&gt;$C$94,F108&lt;=$C$91),(IF($C$79&gt;0,$C$78*F104,0)), ))</f>
        <v>0</v>
      </c>
      <c r="G119" s="85">
        <f t="shared" si="9"/>
        <v>0</v>
      </c>
      <c r="H119" s="85">
        <f>IF($C$32="Ja",0,IF(AND(H108&gt;$C$94,H108&lt;=$C$91),(IF($C$79&gt;0,$C$78*H104,0)), ))</f>
        <v>0</v>
      </c>
      <c r="I119" s="85">
        <f t="shared" si="9"/>
        <v>0</v>
      </c>
      <c r="J119" s="85">
        <f t="shared" si="9"/>
        <v>0</v>
      </c>
      <c r="K119" s="85">
        <f t="shared" si="9"/>
        <v>0</v>
      </c>
      <c r="L119" s="85">
        <f t="shared" si="9"/>
        <v>0</v>
      </c>
      <c r="M119" s="85">
        <f t="shared" si="9"/>
        <v>0</v>
      </c>
      <c r="N119" s="85">
        <f t="shared" si="9"/>
        <v>0</v>
      </c>
      <c r="O119" s="85">
        <f t="shared" si="9"/>
        <v>0</v>
      </c>
      <c r="P119" s="85">
        <f t="shared" si="9"/>
        <v>0</v>
      </c>
      <c r="Q119" s="85">
        <f t="shared" si="9"/>
        <v>0</v>
      </c>
      <c r="R119" s="85">
        <f t="shared" si="9"/>
        <v>0</v>
      </c>
      <c r="S119" s="85">
        <f t="shared" si="9"/>
        <v>0</v>
      </c>
      <c r="T119" s="85">
        <f t="shared" si="9"/>
        <v>0</v>
      </c>
      <c r="U119" s="85">
        <f t="shared" si="9"/>
        <v>0</v>
      </c>
      <c r="V119" s="85">
        <f t="shared" si="9"/>
        <v>0</v>
      </c>
      <c r="W119" s="85">
        <f t="shared" si="9"/>
        <v>0</v>
      </c>
      <c r="X119" s="85">
        <f t="shared" si="9"/>
        <v>0</v>
      </c>
      <c r="Y119" s="85">
        <f t="shared" si="9"/>
        <v>0</v>
      </c>
      <c r="Z119" s="85">
        <f t="shared" si="9"/>
        <v>0</v>
      </c>
      <c r="AA119" s="85">
        <f t="shared" si="9"/>
        <v>0</v>
      </c>
      <c r="AB119" s="85">
        <f t="shared" si="9"/>
        <v>0</v>
      </c>
      <c r="AC119" s="85">
        <f t="shared" si="9"/>
        <v>0</v>
      </c>
      <c r="AD119" s="85">
        <f t="shared" si="9"/>
        <v>0</v>
      </c>
      <c r="AE119" s="85">
        <f t="shared" si="9"/>
        <v>0</v>
      </c>
      <c r="AF119" s="85">
        <f t="shared" si="9"/>
        <v>0</v>
      </c>
      <c r="AG119" s="85">
        <f t="shared" si="9"/>
        <v>0</v>
      </c>
      <c r="AH119" s="85">
        <f t="shared" si="9"/>
        <v>0</v>
      </c>
      <c r="AI119" s="85">
        <f t="shared" si="9"/>
        <v>0</v>
      </c>
      <c r="AJ119" s="85">
        <f t="shared" si="9"/>
        <v>0</v>
      </c>
      <c r="AK119" s="85">
        <f t="shared" si="9"/>
        <v>0</v>
      </c>
      <c r="AL119" s="85">
        <f t="shared" si="9"/>
        <v>0</v>
      </c>
      <c r="AM119" s="85">
        <f t="shared" si="9"/>
        <v>0</v>
      </c>
      <c r="AN119" s="85">
        <f t="shared" si="9"/>
        <v>0</v>
      </c>
      <c r="AO119" s="85">
        <f t="shared" si="9"/>
        <v>0</v>
      </c>
      <c r="AP119" s="85">
        <f t="shared" si="9"/>
        <v>0</v>
      </c>
      <c r="AQ119" s="85">
        <f t="shared" si="9"/>
        <v>0</v>
      </c>
      <c r="AR119" s="86">
        <f t="shared" si="9"/>
        <v>0</v>
      </c>
    </row>
    <row r="120" spans="2:44" x14ac:dyDescent="0.2">
      <c r="B120" s="79" t="s">
        <v>328</v>
      </c>
      <c r="C120" s="80" t="str">
        <f>CONCATENATE("Euro/",$C$9)</f>
        <v>Euro/kWh</v>
      </c>
      <c r="D120" s="63"/>
      <c r="E120" s="85">
        <f>E103</f>
        <v>0</v>
      </c>
      <c r="F120" s="85">
        <f t="shared" ref="F120:AR120" si="10">F103</f>
        <v>0</v>
      </c>
      <c r="G120" s="85">
        <f t="shared" si="10"/>
        <v>0</v>
      </c>
      <c r="H120" s="85">
        <f t="shared" si="10"/>
        <v>0</v>
      </c>
      <c r="I120" s="85">
        <f t="shared" si="10"/>
        <v>0</v>
      </c>
      <c r="J120" s="85">
        <f t="shared" si="10"/>
        <v>0</v>
      </c>
      <c r="K120" s="85">
        <f t="shared" si="10"/>
        <v>0</v>
      </c>
      <c r="L120" s="85">
        <f t="shared" si="10"/>
        <v>0</v>
      </c>
      <c r="M120" s="85">
        <f t="shared" si="10"/>
        <v>0</v>
      </c>
      <c r="N120" s="85">
        <f t="shared" si="10"/>
        <v>0</v>
      </c>
      <c r="O120" s="85">
        <f t="shared" si="10"/>
        <v>0</v>
      </c>
      <c r="P120" s="85">
        <f t="shared" si="10"/>
        <v>0</v>
      </c>
      <c r="Q120" s="85">
        <f t="shared" si="10"/>
        <v>0</v>
      </c>
      <c r="R120" s="85">
        <f t="shared" si="10"/>
        <v>0</v>
      </c>
      <c r="S120" s="85">
        <f t="shared" si="10"/>
        <v>0</v>
      </c>
      <c r="T120" s="85">
        <f t="shared" si="10"/>
        <v>0</v>
      </c>
      <c r="U120" s="85">
        <f t="shared" si="10"/>
        <v>0</v>
      </c>
      <c r="V120" s="85">
        <f t="shared" si="10"/>
        <v>0</v>
      </c>
      <c r="W120" s="85">
        <f t="shared" si="10"/>
        <v>0</v>
      </c>
      <c r="X120" s="85">
        <f t="shared" si="10"/>
        <v>0</v>
      </c>
      <c r="Y120" s="85">
        <f t="shared" si="10"/>
        <v>0</v>
      </c>
      <c r="Z120" s="85">
        <f t="shared" si="10"/>
        <v>0</v>
      </c>
      <c r="AA120" s="85">
        <f t="shared" si="10"/>
        <v>0</v>
      </c>
      <c r="AB120" s="85">
        <f t="shared" si="10"/>
        <v>0</v>
      </c>
      <c r="AC120" s="85">
        <f t="shared" si="10"/>
        <v>0</v>
      </c>
      <c r="AD120" s="85">
        <f t="shared" si="10"/>
        <v>0</v>
      </c>
      <c r="AE120" s="85">
        <f t="shared" si="10"/>
        <v>0</v>
      </c>
      <c r="AF120" s="85">
        <f t="shared" si="10"/>
        <v>0</v>
      </c>
      <c r="AG120" s="85">
        <f t="shared" si="10"/>
        <v>0</v>
      </c>
      <c r="AH120" s="85">
        <f t="shared" si="10"/>
        <v>0</v>
      </c>
      <c r="AI120" s="85">
        <f t="shared" si="10"/>
        <v>0</v>
      </c>
      <c r="AJ120" s="85">
        <f t="shared" si="10"/>
        <v>0</v>
      </c>
      <c r="AK120" s="85">
        <f t="shared" si="10"/>
        <v>0</v>
      </c>
      <c r="AL120" s="85">
        <f t="shared" si="10"/>
        <v>0</v>
      </c>
      <c r="AM120" s="85">
        <f t="shared" si="10"/>
        <v>0</v>
      </c>
      <c r="AN120" s="85">
        <f t="shared" si="10"/>
        <v>0</v>
      </c>
      <c r="AO120" s="85">
        <f t="shared" si="10"/>
        <v>0</v>
      </c>
      <c r="AP120" s="85">
        <f t="shared" si="10"/>
        <v>0</v>
      </c>
      <c r="AQ120" s="85">
        <f t="shared" si="10"/>
        <v>0</v>
      </c>
      <c r="AR120" s="86">
        <f t="shared" si="10"/>
        <v>0</v>
      </c>
    </row>
    <row r="121" spans="2:44" x14ac:dyDescent="0.2">
      <c r="B121" s="79" t="s">
        <v>34</v>
      </c>
      <c r="C121" s="80" t="str">
        <f>CONCATENATE("Euro/",$C$9)</f>
        <v>Euro/kWh</v>
      </c>
      <c r="D121" s="63"/>
      <c r="E121" s="85">
        <f t="shared" ref="E121:AR121" si="11">E102</f>
        <v>0</v>
      </c>
      <c r="F121" s="85">
        <f t="shared" si="11"/>
        <v>0</v>
      </c>
      <c r="G121" s="85">
        <f t="shared" si="11"/>
        <v>0</v>
      </c>
      <c r="H121" s="85">
        <f t="shared" si="11"/>
        <v>0</v>
      </c>
      <c r="I121" s="85">
        <f t="shared" si="11"/>
        <v>0</v>
      </c>
      <c r="J121" s="85">
        <f t="shared" si="11"/>
        <v>0</v>
      </c>
      <c r="K121" s="85">
        <f t="shared" si="11"/>
        <v>0</v>
      </c>
      <c r="L121" s="85">
        <f t="shared" si="11"/>
        <v>0</v>
      </c>
      <c r="M121" s="85">
        <f t="shared" si="11"/>
        <v>0</v>
      </c>
      <c r="N121" s="85">
        <f t="shared" si="11"/>
        <v>0</v>
      </c>
      <c r="O121" s="85">
        <f t="shared" si="11"/>
        <v>0</v>
      </c>
      <c r="P121" s="85">
        <f t="shared" si="11"/>
        <v>0</v>
      </c>
      <c r="Q121" s="85">
        <f t="shared" si="11"/>
        <v>0</v>
      </c>
      <c r="R121" s="85">
        <f t="shared" si="11"/>
        <v>0</v>
      </c>
      <c r="S121" s="85">
        <f t="shared" si="11"/>
        <v>0</v>
      </c>
      <c r="T121" s="85">
        <f t="shared" si="11"/>
        <v>0</v>
      </c>
      <c r="U121" s="85">
        <f t="shared" si="11"/>
        <v>0</v>
      </c>
      <c r="V121" s="85">
        <f t="shared" si="11"/>
        <v>0</v>
      </c>
      <c r="W121" s="85">
        <f t="shared" si="11"/>
        <v>0</v>
      </c>
      <c r="X121" s="85">
        <f t="shared" si="11"/>
        <v>0</v>
      </c>
      <c r="Y121" s="85">
        <f t="shared" si="11"/>
        <v>0</v>
      </c>
      <c r="Z121" s="85">
        <f t="shared" si="11"/>
        <v>0</v>
      </c>
      <c r="AA121" s="85">
        <f t="shared" si="11"/>
        <v>0</v>
      </c>
      <c r="AB121" s="85">
        <f t="shared" si="11"/>
        <v>0</v>
      </c>
      <c r="AC121" s="85">
        <f t="shared" si="11"/>
        <v>0</v>
      </c>
      <c r="AD121" s="85">
        <f t="shared" si="11"/>
        <v>0</v>
      </c>
      <c r="AE121" s="85">
        <f t="shared" si="11"/>
        <v>0</v>
      </c>
      <c r="AF121" s="85">
        <f t="shared" si="11"/>
        <v>0</v>
      </c>
      <c r="AG121" s="85">
        <f t="shared" si="11"/>
        <v>0</v>
      </c>
      <c r="AH121" s="85">
        <f t="shared" si="11"/>
        <v>0</v>
      </c>
      <c r="AI121" s="85">
        <f t="shared" si="11"/>
        <v>0</v>
      </c>
      <c r="AJ121" s="85">
        <f t="shared" si="11"/>
        <v>0</v>
      </c>
      <c r="AK121" s="85">
        <f t="shared" si="11"/>
        <v>0</v>
      </c>
      <c r="AL121" s="85">
        <f t="shared" si="11"/>
        <v>0</v>
      </c>
      <c r="AM121" s="85">
        <f t="shared" si="11"/>
        <v>0</v>
      </c>
      <c r="AN121" s="85">
        <f t="shared" si="11"/>
        <v>0</v>
      </c>
      <c r="AO121" s="85">
        <f t="shared" si="11"/>
        <v>0</v>
      </c>
      <c r="AP121" s="85">
        <f t="shared" si="11"/>
        <v>0</v>
      </c>
      <c r="AQ121" s="85">
        <f t="shared" si="11"/>
        <v>0</v>
      </c>
      <c r="AR121" s="86">
        <f t="shared" si="11"/>
        <v>0</v>
      </c>
    </row>
    <row r="122" spans="2:44" x14ac:dyDescent="0.2">
      <c r="B122" s="79" t="s">
        <v>329</v>
      </c>
      <c r="C122" s="80" t="s">
        <v>288</v>
      </c>
      <c r="D122" s="63"/>
      <c r="E122" s="81">
        <f>MAX(0,E121-E120)*E114</f>
        <v>0</v>
      </c>
      <c r="F122" s="81">
        <f t="shared" ref="F122:AR122" si="12">MAX(0,F121-F120)*F114</f>
        <v>0</v>
      </c>
      <c r="G122" s="81">
        <f t="shared" si="12"/>
        <v>0</v>
      </c>
      <c r="H122" s="81">
        <f t="shared" si="12"/>
        <v>0</v>
      </c>
      <c r="I122" s="81">
        <f t="shared" si="12"/>
        <v>0</v>
      </c>
      <c r="J122" s="81">
        <f t="shared" si="12"/>
        <v>0</v>
      </c>
      <c r="K122" s="81">
        <f t="shared" si="12"/>
        <v>0</v>
      </c>
      <c r="L122" s="81">
        <f t="shared" si="12"/>
        <v>0</v>
      </c>
      <c r="M122" s="81">
        <f t="shared" si="12"/>
        <v>0</v>
      </c>
      <c r="N122" s="81">
        <f t="shared" si="12"/>
        <v>0</v>
      </c>
      <c r="O122" s="81">
        <f t="shared" si="12"/>
        <v>0</v>
      </c>
      <c r="P122" s="81">
        <f t="shared" si="12"/>
        <v>0</v>
      </c>
      <c r="Q122" s="81">
        <f t="shared" si="12"/>
        <v>0</v>
      </c>
      <c r="R122" s="81">
        <f t="shared" si="12"/>
        <v>0</v>
      </c>
      <c r="S122" s="81">
        <f t="shared" si="12"/>
        <v>0</v>
      </c>
      <c r="T122" s="81">
        <f t="shared" si="12"/>
        <v>0</v>
      </c>
      <c r="U122" s="81">
        <f t="shared" si="12"/>
        <v>0</v>
      </c>
      <c r="V122" s="81">
        <f t="shared" si="12"/>
        <v>0</v>
      </c>
      <c r="W122" s="81">
        <f t="shared" si="12"/>
        <v>0</v>
      </c>
      <c r="X122" s="81">
        <f t="shared" si="12"/>
        <v>0</v>
      </c>
      <c r="Y122" s="81">
        <f t="shared" si="12"/>
        <v>0</v>
      </c>
      <c r="Z122" s="81">
        <f t="shared" si="12"/>
        <v>0</v>
      </c>
      <c r="AA122" s="81">
        <f t="shared" si="12"/>
        <v>0</v>
      </c>
      <c r="AB122" s="81">
        <f t="shared" si="12"/>
        <v>0</v>
      </c>
      <c r="AC122" s="81">
        <f t="shared" si="12"/>
        <v>0</v>
      </c>
      <c r="AD122" s="81">
        <f t="shared" si="12"/>
        <v>0</v>
      </c>
      <c r="AE122" s="81">
        <f t="shared" si="12"/>
        <v>0</v>
      </c>
      <c r="AF122" s="81">
        <f t="shared" si="12"/>
        <v>0</v>
      </c>
      <c r="AG122" s="81">
        <f t="shared" si="12"/>
        <v>0</v>
      </c>
      <c r="AH122" s="81">
        <f t="shared" si="12"/>
        <v>0</v>
      </c>
      <c r="AI122" s="81">
        <f t="shared" si="12"/>
        <v>0</v>
      </c>
      <c r="AJ122" s="81">
        <f t="shared" si="12"/>
        <v>0</v>
      </c>
      <c r="AK122" s="81">
        <f t="shared" si="12"/>
        <v>0</v>
      </c>
      <c r="AL122" s="81">
        <f t="shared" si="12"/>
        <v>0</v>
      </c>
      <c r="AM122" s="81">
        <f t="shared" si="12"/>
        <v>0</v>
      </c>
      <c r="AN122" s="81">
        <f t="shared" si="12"/>
        <v>0</v>
      </c>
      <c r="AO122" s="81">
        <f t="shared" si="12"/>
        <v>0</v>
      </c>
      <c r="AP122" s="81">
        <f t="shared" si="12"/>
        <v>0</v>
      </c>
      <c r="AQ122" s="81">
        <f t="shared" si="12"/>
        <v>0</v>
      </c>
      <c r="AR122" s="86">
        <f t="shared" si="12"/>
        <v>0</v>
      </c>
    </row>
    <row r="123" spans="2:44" x14ac:dyDescent="0.2">
      <c r="B123" s="79" t="s">
        <v>330</v>
      </c>
      <c r="C123" s="80" t="s">
        <v>288</v>
      </c>
      <c r="D123" s="63"/>
      <c r="E123" s="81">
        <f t="shared" ref="E123:AR123" si="13">E118*E111+E119*SUM(E112:E113)</f>
        <v>0</v>
      </c>
      <c r="F123" s="81">
        <f t="shared" si="13"/>
        <v>0</v>
      </c>
      <c r="G123" s="81">
        <f t="shared" si="13"/>
        <v>0</v>
      </c>
      <c r="H123" s="81">
        <f t="shared" si="13"/>
        <v>0</v>
      </c>
      <c r="I123" s="81">
        <f t="shared" si="13"/>
        <v>0</v>
      </c>
      <c r="J123" s="81">
        <f t="shared" si="13"/>
        <v>0</v>
      </c>
      <c r="K123" s="81">
        <f t="shared" si="13"/>
        <v>0</v>
      </c>
      <c r="L123" s="81">
        <f t="shared" si="13"/>
        <v>0</v>
      </c>
      <c r="M123" s="81">
        <f t="shared" si="13"/>
        <v>0</v>
      </c>
      <c r="N123" s="81">
        <f t="shared" si="13"/>
        <v>0</v>
      </c>
      <c r="O123" s="81">
        <f t="shared" si="13"/>
        <v>0</v>
      </c>
      <c r="P123" s="81">
        <f t="shared" si="13"/>
        <v>0</v>
      </c>
      <c r="Q123" s="81">
        <f t="shared" si="13"/>
        <v>0</v>
      </c>
      <c r="R123" s="81">
        <f t="shared" si="13"/>
        <v>0</v>
      </c>
      <c r="S123" s="81">
        <f t="shared" si="13"/>
        <v>0</v>
      </c>
      <c r="T123" s="81">
        <f t="shared" si="13"/>
        <v>957181.56221612077</v>
      </c>
      <c r="U123" s="81">
        <f t="shared" si="13"/>
        <v>976325.19346044329</v>
      </c>
      <c r="V123" s="81">
        <f t="shared" si="13"/>
        <v>995851.69732965226</v>
      </c>
      <c r="W123" s="81">
        <f t="shared" si="13"/>
        <v>1015768.7312762453</v>
      </c>
      <c r="X123" s="81">
        <f t="shared" si="13"/>
        <v>1036084.1059017701</v>
      </c>
      <c r="Y123" s="81">
        <f t="shared" si="13"/>
        <v>0</v>
      </c>
      <c r="Z123" s="81">
        <f t="shared" si="13"/>
        <v>0</v>
      </c>
      <c r="AA123" s="81">
        <f t="shared" si="13"/>
        <v>0</v>
      </c>
      <c r="AB123" s="81">
        <f t="shared" si="13"/>
        <v>0</v>
      </c>
      <c r="AC123" s="81">
        <f t="shared" si="13"/>
        <v>0</v>
      </c>
      <c r="AD123" s="81">
        <f t="shared" si="13"/>
        <v>0</v>
      </c>
      <c r="AE123" s="81">
        <f t="shared" si="13"/>
        <v>0</v>
      </c>
      <c r="AF123" s="81">
        <f t="shared" si="13"/>
        <v>0</v>
      </c>
      <c r="AG123" s="81">
        <f t="shared" si="13"/>
        <v>0</v>
      </c>
      <c r="AH123" s="81">
        <f t="shared" si="13"/>
        <v>0</v>
      </c>
      <c r="AI123" s="81">
        <f t="shared" si="13"/>
        <v>0</v>
      </c>
      <c r="AJ123" s="81">
        <f t="shared" si="13"/>
        <v>0</v>
      </c>
      <c r="AK123" s="81">
        <f t="shared" si="13"/>
        <v>0</v>
      </c>
      <c r="AL123" s="81">
        <f t="shared" si="13"/>
        <v>0</v>
      </c>
      <c r="AM123" s="90">
        <f t="shared" si="13"/>
        <v>0</v>
      </c>
      <c r="AN123" s="90">
        <f t="shared" si="13"/>
        <v>0</v>
      </c>
      <c r="AO123" s="90">
        <f t="shared" si="13"/>
        <v>0</v>
      </c>
      <c r="AP123" s="90">
        <f t="shared" si="13"/>
        <v>0</v>
      </c>
      <c r="AQ123" s="90">
        <f t="shared" si="13"/>
        <v>0</v>
      </c>
      <c r="AR123" s="86">
        <f t="shared" si="13"/>
        <v>0</v>
      </c>
    </row>
    <row r="124" spans="2:44" x14ac:dyDescent="0.2">
      <c r="B124" s="5" t="s">
        <v>331</v>
      </c>
      <c r="C124" s="162" t="s">
        <v>288</v>
      </c>
      <c r="D124" s="93"/>
      <c r="E124" s="90">
        <f>E120*E114</f>
        <v>0</v>
      </c>
      <c r="F124" s="90">
        <f t="shared" ref="F124:AR124" si="14">F120*F114</f>
        <v>0</v>
      </c>
      <c r="G124" s="90">
        <f t="shared" si="14"/>
        <v>0</v>
      </c>
      <c r="H124" s="90">
        <f t="shared" si="14"/>
        <v>0</v>
      </c>
      <c r="I124" s="90">
        <f t="shared" si="14"/>
        <v>0</v>
      </c>
      <c r="J124" s="90">
        <f t="shared" si="14"/>
        <v>0</v>
      </c>
      <c r="K124" s="90">
        <f t="shared" si="14"/>
        <v>0</v>
      </c>
      <c r="L124" s="90">
        <f t="shared" si="14"/>
        <v>0</v>
      </c>
      <c r="M124" s="90">
        <f t="shared" si="14"/>
        <v>0</v>
      </c>
      <c r="N124" s="90">
        <f t="shared" si="14"/>
        <v>0</v>
      </c>
      <c r="O124" s="90">
        <f t="shared" si="14"/>
        <v>0</v>
      </c>
      <c r="P124" s="90">
        <f t="shared" si="14"/>
        <v>0</v>
      </c>
      <c r="Q124" s="90">
        <f t="shared" si="14"/>
        <v>0</v>
      </c>
      <c r="R124" s="90">
        <f t="shared" si="14"/>
        <v>0</v>
      </c>
      <c r="S124" s="90">
        <f t="shared" si="14"/>
        <v>0</v>
      </c>
      <c r="T124" s="90">
        <f t="shared" si="14"/>
        <v>0</v>
      </c>
      <c r="U124" s="90">
        <f t="shared" si="14"/>
        <v>0</v>
      </c>
      <c r="V124" s="90">
        <f t="shared" si="14"/>
        <v>0</v>
      </c>
      <c r="W124" s="90">
        <f t="shared" si="14"/>
        <v>0</v>
      </c>
      <c r="X124" s="90">
        <f t="shared" si="14"/>
        <v>0</v>
      </c>
      <c r="Y124" s="90">
        <f t="shared" si="14"/>
        <v>0</v>
      </c>
      <c r="Z124" s="90">
        <f t="shared" si="14"/>
        <v>0</v>
      </c>
      <c r="AA124" s="90">
        <f t="shared" si="14"/>
        <v>0</v>
      </c>
      <c r="AB124" s="90">
        <f t="shared" si="14"/>
        <v>0</v>
      </c>
      <c r="AC124" s="90">
        <f t="shared" si="14"/>
        <v>0</v>
      </c>
      <c r="AD124" s="90">
        <f t="shared" si="14"/>
        <v>0</v>
      </c>
      <c r="AE124" s="90">
        <f t="shared" si="14"/>
        <v>0</v>
      </c>
      <c r="AF124" s="90">
        <f t="shared" si="14"/>
        <v>0</v>
      </c>
      <c r="AG124" s="90">
        <f t="shared" si="14"/>
        <v>0</v>
      </c>
      <c r="AH124" s="90">
        <f t="shared" si="14"/>
        <v>0</v>
      </c>
      <c r="AI124" s="90">
        <f t="shared" si="14"/>
        <v>0</v>
      </c>
      <c r="AJ124" s="90">
        <f t="shared" si="14"/>
        <v>0</v>
      </c>
      <c r="AK124" s="90">
        <f t="shared" si="14"/>
        <v>0</v>
      </c>
      <c r="AL124" s="90">
        <f t="shared" si="14"/>
        <v>0</v>
      </c>
      <c r="AM124" s="90">
        <f t="shared" si="14"/>
        <v>0</v>
      </c>
      <c r="AN124" s="90">
        <f t="shared" si="14"/>
        <v>0</v>
      </c>
      <c r="AO124" s="90">
        <f t="shared" si="14"/>
        <v>0</v>
      </c>
      <c r="AP124" s="90">
        <f t="shared" si="14"/>
        <v>0</v>
      </c>
      <c r="AQ124" s="90">
        <f t="shared" si="14"/>
        <v>0</v>
      </c>
      <c r="AR124" s="86">
        <f t="shared" si="14"/>
        <v>0</v>
      </c>
    </row>
    <row r="125" spans="2:44" x14ac:dyDescent="0.2">
      <c r="B125" s="2" t="s">
        <v>332</v>
      </c>
      <c r="C125" s="73"/>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5"/>
    </row>
    <row r="126" spans="2:44" x14ac:dyDescent="0.2">
      <c r="B126" s="4" t="s">
        <v>333</v>
      </c>
      <c r="C126" s="76" t="s">
        <v>288</v>
      </c>
      <c r="D126" s="77"/>
      <c r="E126" s="78">
        <f>SUM(E122:E124)</f>
        <v>0</v>
      </c>
      <c r="F126" s="78">
        <f t="shared" ref="F126:AR126" si="15">SUM(F122:F124)</f>
        <v>0</v>
      </c>
      <c r="G126" s="78">
        <f t="shared" si="15"/>
        <v>0</v>
      </c>
      <c r="H126" s="78">
        <f t="shared" si="15"/>
        <v>0</v>
      </c>
      <c r="I126" s="78">
        <f t="shared" si="15"/>
        <v>0</v>
      </c>
      <c r="J126" s="78">
        <f t="shared" si="15"/>
        <v>0</v>
      </c>
      <c r="K126" s="78">
        <f t="shared" si="15"/>
        <v>0</v>
      </c>
      <c r="L126" s="78">
        <f t="shared" si="15"/>
        <v>0</v>
      </c>
      <c r="M126" s="78">
        <f t="shared" si="15"/>
        <v>0</v>
      </c>
      <c r="N126" s="78">
        <f t="shared" si="15"/>
        <v>0</v>
      </c>
      <c r="O126" s="78">
        <f t="shared" si="15"/>
        <v>0</v>
      </c>
      <c r="P126" s="78">
        <f t="shared" si="15"/>
        <v>0</v>
      </c>
      <c r="Q126" s="78">
        <f t="shared" si="15"/>
        <v>0</v>
      </c>
      <c r="R126" s="78">
        <f t="shared" si="15"/>
        <v>0</v>
      </c>
      <c r="S126" s="78">
        <f t="shared" si="15"/>
        <v>0</v>
      </c>
      <c r="T126" s="78">
        <f t="shared" si="15"/>
        <v>957181.56221612077</v>
      </c>
      <c r="U126" s="78">
        <f t="shared" si="15"/>
        <v>976325.19346044329</v>
      </c>
      <c r="V126" s="78">
        <f t="shared" si="15"/>
        <v>995851.69732965226</v>
      </c>
      <c r="W126" s="78">
        <f t="shared" si="15"/>
        <v>1015768.7312762453</v>
      </c>
      <c r="X126" s="78">
        <f t="shared" si="15"/>
        <v>1036084.1059017701</v>
      </c>
      <c r="Y126" s="78">
        <f t="shared" si="15"/>
        <v>0</v>
      </c>
      <c r="Z126" s="78">
        <f t="shared" si="15"/>
        <v>0</v>
      </c>
      <c r="AA126" s="78">
        <f t="shared" si="15"/>
        <v>0</v>
      </c>
      <c r="AB126" s="78">
        <f t="shared" si="15"/>
        <v>0</v>
      </c>
      <c r="AC126" s="78">
        <f t="shared" si="15"/>
        <v>0</v>
      </c>
      <c r="AD126" s="78">
        <f t="shared" si="15"/>
        <v>0</v>
      </c>
      <c r="AE126" s="78">
        <f t="shared" si="15"/>
        <v>0</v>
      </c>
      <c r="AF126" s="78">
        <f t="shared" si="15"/>
        <v>0</v>
      </c>
      <c r="AG126" s="78">
        <f t="shared" si="15"/>
        <v>0</v>
      </c>
      <c r="AH126" s="78">
        <f t="shared" si="15"/>
        <v>0</v>
      </c>
      <c r="AI126" s="78">
        <f t="shared" si="15"/>
        <v>0</v>
      </c>
      <c r="AJ126" s="78">
        <f t="shared" si="15"/>
        <v>0</v>
      </c>
      <c r="AK126" s="78">
        <f t="shared" si="15"/>
        <v>0</v>
      </c>
      <c r="AL126" s="78">
        <f t="shared" si="15"/>
        <v>0</v>
      </c>
      <c r="AM126" s="78">
        <f t="shared" si="15"/>
        <v>0</v>
      </c>
      <c r="AN126" s="78">
        <f t="shared" si="15"/>
        <v>0</v>
      </c>
      <c r="AO126" s="78">
        <f t="shared" si="15"/>
        <v>0</v>
      </c>
      <c r="AP126" s="78">
        <f t="shared" si="15"/>
        <v>0</v>
      </c>
      <c r="AQ126" s="78">
        <f t="shared" si="15"/>
        <v>0</v>
      </c>
      <c r="AR126" s="86">
        <f t="shared" si="15"/>
        <v>0</v>
      </c>
    </row>
    <row r="127" spans="2:44" x14ac:dyDescent="0.2">
      <c r="B127" s="79" t="s">
        <v>334</v>
      </c>
      <c r="C127" s="80" t="s">
        <v>288</v>
      </c>
      <c r="D127" s="63"/>
      <c r="E127" s="81">
        <f t="shared" ref="E127:AR127" si="16">SUM(E116:E117)</f>
        <v>-193795</v>
      </c>
      <c r="F127" s="81">
        <f t="shared" si="16"/>
        <v>-197670.9</v>
      </c>
      <c r="G127" s="81">
        <f t="shared" si="16"/>
        <v>-201624.318</v>
      </c>
      <c r="H127" s="81">
        <f t="shared" si="16"/>
        <v>-205656.80435999998</v>
      </c>
      <c r="I127" s="81">
        <f t="shared" si="16"/>
        <v>-209769.9404472</v>
      </c>
      <c r="J127" s="81">
        <f t="shared" si="16"/>
        <v>-213965.33925614401</v>
      </c>
      <c r="K127" s="81">
        <f t="shared" si="16"/>
        <v>-218244.64604126688</v>
      </c>
      <c r="L127" s="81">
        <f t="shared" si="16"/>
        <v>-222609.53896209219</v>
      </c>
      <c r="M127" s="81">
        <f t="shared" si="16"/>
        <v>-227061.72974133404</v>
      </c>
      <c r="N127" s="81">
        <f t="shared" si="16"/>
        <v>-231602.96433616072</v>
      </c>
      <c r="O127" s="81">
        <f t="shared" si="16"/>
        <v>-236235.02362288395</v>
      </c>
      <c r="P127" s="81">
        <f t="shared" si="16"/>
        <v>-402598.38418664632</v>
      </c>
      <c r="Q127" s="81">
        <f t="shared" si="16"/>
        <v>-245778.91857724846</v>
      </c>
      <c r="R127" s="81">
        <f t="shared" si="16"/>
        <v>-250694.49694879341</v>
      </c>
      <c r="S127" s="81">
        <f t="shared" si="16"/>
        <v>-255708.3868877693</v>
      </c>
      <c r="T127" s="81">
        <f t="shared" si="16"/>
        <v>-258675.89462589764</v>
      </c>
      <c r="U127" s="81">
        <f t="shared" si="16"/>
        <v>-263849.41251841566</v>
      </c>
      <c r="V127" s="81">
        <f t="shared" si="16"/>
        <v>-269126.40076878399</v>
      </c>
      <c r="W127" s="81">
        <f t="shared" si="16"/>
        <v>-274508.92878415959</v>
      </c>
      <c r="X127" s="81">
        <f t="shared" si="16"/>
        <v>-279999.1073598428</v>
      </c>
      <c r="Y127" s="81">
        <f t="shared" si="16"/>
        <v>0</v>
      </c>
      <c r="Z127" s="81">
        <f t="shared" si="16"/>
        <v>0</v>
      </c>
      <c r="AA127" s="81">
        <f t="shared" si="16"/>
        <v>0</v>
      </c>
      <c r="AB127" s="81">
        <f t="shared" si="16"/>
        <v>0</v>
      </c>
      <c r="AC127" s="81">
        <f t="shared" si="16"/>
        <v>0</v>
      </c>
      <c r="AD127" s="81">
        <f t="shared" si="16"/>
        <v>0</v>
      </c>
      <c r="AE127" s="81">
        <f t="shared" si="16"/>
        <v>0</v>
      </c>
      <c r="AF127" s="81">
        <f t="shared" si="16"/>
        <v>0</v>
      </c>
      <c r="AG127" s="81">
        <f t="shared" si="16"/>
        <v>0</v>
      </c>
      <c r="AH127" s="81">
        <f t="shared" si="16"/>
        <v>0</v>
      </c>
      <c r="AI127" s="81">
        <f t="shared" si="16"/>
        <v>0</v>
      </c>
      <c r="AJ127" s="81">
        <f t="shared" si="16"/>
        <v>0</v>
      </c>
      <c r="AK127" s="81">
        <f t="shared" si="16"/>
        <v>0</v>
      </c>
      <c r="AL127" s="81">
        <f t="shared" si="16"/>
        <v>0</v>
      </c>
      <c r="AM127" s="81">
        <f t="shared" si="16"/>
        <v>0</v>
      </c>
      <c r="AN127" s="81">
        <f t="shared" si="16"/>
        <v>0</v>
      </c>
      <c r="AO127" s="81">
        <f t="shared" si="16"/>
        <v>0</v>
      </c>
      <c r="AP127" s="81">
        <f t="shared" si="16"/>
        <v>0</v>
      </c>
      <c r="AQ127" s="81">
        <f t="shared" si="16"/>
        <v>0</v>
      </c>
      <c r="AR127" s="86">
        <f t="shared" si="16"/>
        <v>0</v>
      </c>
    </row>
    <row r="128" spans="2:44" x14ac:dyDescent="0.2">
      <c r="B128" s="87" t="s">
        <v>335</v>
      </c>
      <c r="C128" s="88" t="s">
        <v>288</v>
      </c>
      <c r="D128" s="93"/>
      <c r="E128" s="90">
        <f>SUM(E126:E127)</f>
        <v>-193795</v>
      </c>
      <c r="F128" s="90">
        <f t="shared" ref="F128:AR128" si="17">SUM(F126:F127)</f>
        <v>-197670.9</v>
      </c>
      <c r="G128" s="90">
        <f t="shared" si="17"/>
        <v>-201624.318</v>
      </c>
      <c r="H128" s="90">
        <f t="shared" si="17"/>
        <v>-205656.80435999998</v>
      </c>
      <c r="I128" s="90">
        <f t="shared" si="17"/>
        <v>-209769.9404472</v>
      </c>
      <c r="J128" s="90">
        <f t="shared" si="17"/>
        <v>-213965.33925614401</v>
      </c>
      <c r="K128" s="90">
        <f t="shared" si="17"/>
        <v>-218244.64604126688</v>
      </c>
      <c r="L128" s="90">
        <f t="shared" si="17"/>
        <v>-222609.53896209219</v>
      </c>
      <c r="M128" s="90">
        <f t="shared" si="17"/>
        <v>-227061.72974133404</v>
      </c>
      <c r="N128" s="90">
        <f t="shared" si="17"/>
        <v>-231602.96433616072</v>
      </c>
      <c r="O128" s="90">
        <f t="shared" si="17"/>
        <v>-236235.02362288395</v>
      </c>
      <c r="P128" s="90">
        <f t="shared" si="17"/>
        <v>-402598.38418664632</v>
      </c>
      <c r="Q128" s="90">
        <f t="shared" si="17"/>
        <v>-245778.91857724846</v>
      </c>
      <c r="R128" s="90">
        <f t="shared" si="17"/>
        <v>-250694.49694879341</v>
      </c>
      <c r="S128" s="90">
        <f t="shared" si="17"/>
        <v>-255708.3868877693</v>
      </c>
      <c r="T128" s="90">
        <f t="shared" si="17"/>
        <v>698505.66759022314</v>
      </c>
      <c r="U128" s="90">
        <f t="shared" si="17"/>
        <v>712475.78094202769</v>
      </c>
      <c r="V128" s="90">
        <f t="shared" si="17"/>
        <v>726725.29656086827</v>
      </c>
      <c r="W128" s="90">
        <f t="shared" si="17"/>
        <v>741259.80249208573</v>
      </c>
      <c r="X128" s="90">
        <f t="shared" si="17"/>
        <v>756084.9985419272</v>
      </c>
      <c r="Y128" s="90">
        <f t="shared" si="17"/>
        <v>0</v>
      </c>
      <c r="Z128" s="90">
        <f t="shared" si="17"/>
        <v>0</v>
      </c>
      <c r="AA128" s="90">
        <f t="shared" si="17"/>
        <v>0</v>
      </c>
      <c r="AB128" s="90">
        <f t="shared" si="17"/>
        <v>0</v>
      </c>
      <c r="AC128" s="90">
        <f t="shared" si="17"/>
        <v>0</v>
      </c>
      <c r="AD128" s="90">
        <f t="shared" si="17"/>
        <v>0</v>
      </c>
      <c r="AE128" s="90">
        <f t="shared" si="17"/>
        <v>0</v>
      </c>
      <c r="AF128" s="90">
        <f t="shared" si="17"/>
        <v>0</v>
      </c>
      <c r="AG128" s="90">
        <f t="shared" si="17"/>
        <v>0</v>
      </c>
      <c r="AH128" s="90">
        <f t="shared" si="17"/>
        <v>0</v>
      </c>
      <c r="AI128" s="90">
        <f t="shared" si="17"/>
        <v>0</v>
      </c>
      <c r="AJ128" s="90">
        <f t="shared" si="17"/>
        <v>0</v>
      </c>
      <c r="AK128" s="90">
        <f t="shared" si="17"/>
        <v>0</v>
      </c>
      <c r="AL128" s="90">
        <f t="shared" si="17"/>
        <v>0</v>
      </c>
      <c r="AM128" s="90">
        <f t="shared" si="17"/>
        <v>0</v>
      </c>
      <c r="AN128" s="90">
        <f t="shared" si="17"/>
        <v>0</v>
      </c>
      <c r="AO128" s="90">
        <f t="shared" si="17"/>
        <v>0</v>
      </c>
      <c r="AP128" s="90">
        <f t="shared" si="17"/>
        <v>0</v>
      </c>
      <c r="AQ128" s="90">
        <f t="shared" si="17"/>
        <v>0</v>
      </c>
      <c r="AR128" s="91">
        <f t="shared" si="17"/>
        <v>0</v>
      </c>
    </row>
    <row r="129" spans="1:45" x14ac:dyDescent="0.2">
      <c r="B129" s="2" t="s">
        <v>336</v>
      </c>
      <c r="C129" s="73"/>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5"/>
    </row>
    <row r="130" spans="1:45" x14ac:dyDescent="0.2">
      <c r="B130" s="4" t="s">
        <v>337</v>
      </c>
      <c r="C130" s="76" t="s">
        <v>288</v>
      </c>
      <c r="D130" s="77"/>
      <c r="E130" s="78">
        <f t="shared" ref="E130:AR130" si="18">IF(E108&gt;$C$93,0,-$D$148/$C$93)</f>
        <v>-390238.33333333331</v>
      </c>
      <c r="F130" s="78">
        <f t="shared" si="18"/>
        <v>-390238.33333333331</v>
      </c>
      <c r="G130" s="78">
        <f t="shared" si="18"/>
        <v>-390238.33333333331</v>
      </c>
      <c r="H130" s="78">
        <f t="shared" si="18"/>
        <v>-390238.33333333331</v>
      </c>
      <c r="I130" s="78">
        <f t="shared" si="18"/>
        <v>-390238.33333333331</v>
      </c>
      <c r="J130" s="78">
        <f t="shared" si="18"/>
        <v>-390238.33333333331</v>
      </c>
      <c r="K130" s="78">
        <f t="shared" si="18"/>
        <v>-390238.33333333331</v>
      </c>
      <c r="L130" s="78">
        <f t="shared" si="18"/>
        <v>-390238.33333333331</v>
      </c>
      <c r="M130" s="78">
        <f t="shared" si="18"/>
        <v>-390238.33333333331</v>
      </c>
      <c r="N130" s="78">
        <f t="shared" si="18"/>
        <v>-390238.33333333331</v>
      </c>
      <c r="O130" s="78">
        <f t="shared" si="18"/>
        <v>-390238.33333333331</v>
      </c>
      <c r="P130" s="78">
        <f t="shared" si="18"/>
        <v>-390238.33333333331</v>
      </c>
      <c r="Q130" s="78">
        <f t="shared" si="18"/>
        <v>-390238.33333333331</v>
      </c>
      <c r="R130" s="78">
        <f t="shared" si="18"/>
        <v>-390238.33333333331</v>
      </c>
      <c r="S130" s="78">
        <f t="shared" si="18"/>
        <v>-390238.33333333331</v>
      </c>
      <c r="T130" s="78">
        <f t="shared" si="18"/>
        <v>0</v>
      </c>
      <c r="U130" s="78">
        <f t="shared" si="18"/>
        <v>0</v>
      </c>
      <c r="V130" s="78">
        <f t="shared" si="18"/>
        <v>0</v>
      </c>
      <c r="W130" s="78">
        <f t="shared" si="18"/>
        <v>0</v>
      </c>
      <c r="X130" s="78">
        <f t="shared" si="18"/>
        <v>0</v>
      </c>
      <c r="Y130" s="78">
        <f t="shared" si="18"/>
        <v>0</v>
      </c>
      <c r="Z130" s="78">
        <f t="shared" si="18"/>
        <v>0</v>
      </c>
      <c r="AA130" s="78">
        <f t="shared" si="18"/>
        <v>0</v>
      </c>
      <c r="AB130" s="78">
        <f t="shared" si="18"/>
        <v>0</v>
      </c>
      <c r="AC130" s="78">
        <f t="shared" si="18"/>
        <v>0</v>
      </c>
      <c r="AD130" s="78">
        <f t="shared" si="18"/>
        <v>0</v>
      </c>
      <c r="AE130" s="78">
        <f t="shared" si="18"/>
        <v>0</v>
      </c>
      <c r="AF130" s="78">
        <f t="shared" si="18"/>
        <v>0</v>
      </c>
      <c r="AG130" s="78">
        <f t="shared" si="18"/>
        <v>0</v>
      </c>
      <c r="AH130" s="78">
        <f t="shared" si="18"/>
        <v>0</v>
      </c>
      <c r="AI130" s="78">
        <f t="shared" si="18"/>
        <v>0</v>
      </c>
      <c r="AJ130" s="78">
        <f t="shared" si="18"/>
        <v>0</v>
      </c>
      <c r="AK130" s="78">
        <f t="shared" si="18"/>
        <v>0</v>
      </c>
      <c r="AL130" s="78">
        <f t="shared" si="18"/>
        <v>0</v>
      </c>
      <c r="AM130" s="78">
        <f t="shared" si="18"/>
        <v>0</v>
      </c>
      <c r="AN130" s="78">
        <f t="shared" si="18"/>
        <v>0</v>
      </c>
      <c r="AO130" s="78">
        <f t="shared" si="18"/>
        <v>0</v>
      </c>
      <c r="AP130" s="78">
        <f t="shared" si="18"/>
        <v>0</v>
      </c>
      <c r="AQ130" s="78">
        <f t="shared" si="18"/>
        <v>0</v>
      </c>
      <c r="AR130" s="92">
        <f t="shared" si="18"/>
        <v>0</v>
      </c>
    </row>
    <row r="131" spans="1:45" x14ac:dyDescent="0.2">
      <c r="B131" s="79" t="s">
        <v>338</v>
      </c>
      <c r="C131" s="80" t="s">
        <v>288</v>
      </c>
      <c r="D131" s="63"/>
      <c r="E131" s="81">
        <f t="shared" ref="E131:AR131" si="19">IF(E108&gt;$C$92,0,IPMT($C$85,E108,$C$92,$D$153))</f>
        <v>-208533.609375</v>
      </c>
      <c r="F131" s="81">
        <f t="shared" si="19"/>
        <v>-198686.41577751937</v>
      </c>
      <c r="G131" s="81">
        <f t="shared" si="19"/>
        <v>-188371.48048415838</v>
      </c>
      <c r="H131" s="81">
        <f t="shared" si="19"/>
        <v>-177566.58576436283</v>
      </c>
      <c r="I131" s="81">
        <f t="shared" si="19"/>
        <v>-166248.45854537693</v>
      </c>
      <c r="J131" s="81">
        <f t="shared" si="19"/>
        <v>-154392.72028348924</v>
      </c>
      <c r="K131" s="81">
        <f t="shared" si="19"/>
        <v>-141973.83445416184</v>
      </c>
      <c r="L131" s="81">
        <f t="shared" si="19"/>
        <v>-128965.05154794142</v>
      </c>
      <c r="M131" s="81">
        <f t="shared" si="19"/>
        <v>-115338.35145367554</v>
      </c>
      <c r="N131" s="81">
        <f t="shared" si="19"/>
        <v>-101064.38310493201</v>
      </c>
      <c r="O131" s="81">
        <f t="shared" si="19"/>
        <v>-86112.401259623162</v>
      </c>
      <c r="P131" s="81">
        <f t="shared" si="19"/>
        <v>-70450.200276662144</v>
      </c>
      <c r="Q131" s="81">
        <f t="shared" si="19"/>
        <v>-54044.044747010485</v>
      </c>
      <c r="R131" s="81">
        <f t="shared" si="19"/>
        <v>-36858.596829700364</v>
      </c>
      <c r="S131" s="81">
        <f t="shared" si="19"/>
        <v>-18856.840136318009</v>
      </c>
      <c r="T131" s="81">
        <f t="shared" si="19"/>
        <v>0</v>
      </c>
      <c r="U131" s="81">
        <f t="shared" si="19"/>
        <v>0</v>
      </c>
      <c r="V131" s="81">
        <f t="shared" si="19"/>
        <v>0</v>
      </c>
      <c r="W131" s="81">
        <f t="shared" si="19"/>
        <v>0</v>
      </c>
      <c r="X131" s="81">
        <f t="shared" si="19"/>
        <v>0</v>
      </c>
      <c r="Y131" s="81">
        <f t="shared" si="19"/>
        <v>0</v>
      </c>
      <c r="Z131" s="81">
        <f t="shared" si="19"/>
        <v>0</v>
      </c>
      <c r="AA131" s="81">
        <f t="shared" si="19"/>
        <v>0</v>
      </c>
      <c r="AB131" s="81">
        <f t="shared" si="19"/>
        <v>0</v>
      </c>
      <c r="AC131" s="81">
        <f t="shared" si="19"/>
        <v>0</v>
      </c>
      <c r="AD131" s="81">
        <f t="shared" si="19"/>
        <v>0</v>
      </c>
      <c r="AE131" s="81">
        <f t="shared" si="19"/>
        <v>0</v>
      </c>
      <c r="AF131" s="81">
        <f t="shared" si="19"/>
        <v>0</v>
      </c>
      <c r="AG131" s="81">
        <f t="shared" si="19"/>
        <v>0</v>
      </c>
      <c r="AH131" s="81">
        <f t="shared" si="19"/>
        <v>0</v>
      </c>
      <c r="AI131" s="81">
        <f t="shared" si="19"/>
        <v>0</v>
      </c>
      <c r="AJ131" s="81">
        <f t="shared" si="19"/>
        <v>0</v>
      </c>
      <c r="AK131" s="81">
        <f t="shared" si="19"/>
        <v>0</v>
      </c>
      <c r="AL131" s="81">
        <f t="shared" si="19"/>
        <v>0</v>
      </c>
      <c r="AM131" s="81">
        <f t="shared" si="19"/>
        <v>0</v>
      </c>
      <c r="AN131" s="81">
        <f t="shared" si="19"/>
        <v>0</v>
      </c>
      <c r="AO131" s="81">
        <f t="shared" si="19"/>
        <v>0</v>
      </c>
      <c r="AP131" s="81">
        <f t="shared" si="19"/>
        <v>0</v>
      </c>
      <c r="AQ131" s="81">
        <f t="shared" si="19"/>
        <v>0</v>
      </c>
      <c r="AR131" s="86">
        <f t="shared" si="19"/>
        <v>0</v>
      </c>
    </row>
    <row r="132" spans="1:45" x14ac:dyDescent="0.2">
      <c r="B132" s="79" t="s">
        <v>339</v>
      </c>
      <c r="C132" s="80" t="s">
        <v>288</v>
      </c>
      <c r="D132" s="63"/>
      <c r="E132" s="81">
        <f t="shared" ref="E132:AR132" si="20">IF(E108&gt;$C$92,0,PPMT($C$85,E108,$C$92,$D$153))</f>
        <v>-207309.33889432877</v>
      </c>
      <c r="F132" s="81">
        <f t="shared" si="20"/>
        <v>-217156.5324918094</v>
      </c>
      <c r="G132" s="81">
        <f t="shared" si="20"/>
        <v>-227471.46778517036</v>
      </c>
      <c r="H132" s="81">
        <f t="shared" si="20"/>
        <v>-238276.36250496592</v>
      </c>
      <c r="I132" s="81">
        <f t="shared" si="20"/>
        <v>-249594.48972395179</v>
      </c>
      <c r="J132" s="81">
        <f t="shared" si="20"/>
        <v>-261450.22798583953</v>
      </c>
      <c r="K132" s="81">
        <f t="shared" si="20"/>
        <v>-273869.11381516687</v>
      </c>
      <c r="L132" s="81">
        <f t="shared" si="20"/>
        <v>-286877.89672138734</v>
      </c>
      <c r="M132" s="81">
        <f t="shared" si="20"/>
        <v>-300504.5968156532</v>
      </c>
      <c r="N132" s="81">
        <f t="shared" si="20"/>
        <v>-314778.56516439677</v>
      </c>
      <c r="O132" s="81">
        <f t="shared" si="20"/>
        <v>-329730.54700970562</v>
      </c>
      <c r="P132" s="81">
        <f t="shared" si="20"/>
        <v>-345392.74799266661</v>
      </c>
      <c r="Q132" s="81">
        <f t="shared" si="20"/>
        <v>-361798.90352231835</v>
      </c>
      <c r="R132" s="81">
        <f t="shared" si="20"/>
        <v>-378984.35143962846</v>
      </c>
      <c r="S132" s="81">
        <f t="shared" si="20"/>
        <v>-396986.10813301074</v>
      </c>
      <c r="T132" s="81">
        <f t="shared" si="20"/>
        <v>0</v>
      </c>
      <c r="U132" s="81">
        <f t="shared" si="20"/>
        <v>0</v>
      </c>
      <c r="V132" s="81">
        <f t="shared" si="20"/>
        <v>0</v>
      </c>
      <c r="W132" s="81">
        <f t="shared" si="20"/>
        <v>0</v>
      </c>
      <c r="X132" s="81">
        <f t="shared" si="20"/>
        <v>0</v>
      </c>
      <c r="Y132" s="81">
        <f t="shared" si="20"/>
        <v>0</v>
      </c>
      <c r="Z132" s="81">
        <f t="shared" si="20"/>
        <v>0</v>
      </c>
      <c r="AA132" s="81">
        <f t="shared" si="20"/>
        <v>0</v>
      </c>
      <c r="AB132" s="81">
        <f t="shared" si="20"/>
        <v>0</v>
      </c>
      <c r="AC132" s="81">
        <f t="shared" si="20"/>
        <v>0</v>
      </c>
      <c r="AD132" s="81">
        <f t="shared" si="20"/>
        <v>0</v>
      </c>
      <c r="AE132" s="81">
        <f t="shared" si="20"/>
        <v>0</v>
      </c>
      <c r="AF132" s="81">
        <f t="shared" si="20"/>
        <v>0</v>
      </c>
      <c r="AG132" s="81">
        <f t="shared" si="20"/>
        <v>0</v>
      </c>
      <c r="AH132" s="81">
        <f t="shared" si="20"/>
        <v>0</v>
      </c>
      <c r="AI132" s="81">
        <f t="shared" si="20"/>
        <v>0</v>
      </c>
      <c r="AJ132" s="81">
        <f t="shared" si="20"/>
        <v>0</v>
      </c>
      <c r="AK132" s="81">
        <f t="shared" si="20"/>
        <v>0</v>
      </c>
      <c r="AL132" s="81">
        <f t="shared" si="20"/>
        <v>0</v>
      </c>
      <c r="AM132" s="81">
        <f t="shared" si="20"/>
        <v>0</v>
      </c>
      <c r="AN132" s="81">
        <f t="shared" si="20"/>
        <v>0</v>
      </c>
      <c r="AO132" s="81">
        <f t="shared" si="20"/>
        <v>0</v>
      </c>
      <c r="AP132" s="81">
        <f t="shared" si="20"/>
        <v>0</v>
      </c>
      <c r="AQ132" s="81">
        <f t="shared" si="20"/>
        <v>0</v>
      </c>
      <c r="AR132" s="86">
        <f t="shared" si="20"/>
        <v>0</v>
      </c>
    </row>
    <row r="133" spans="1:45" s="94" customFormat="1" x14ac:dyDescent="0.2">
      <c r="A133" s="28"/>
      <c r="B133" s="87" t="s">
        <v>340</v>
      </c>
      <c r="C133" s="88" t="s">
        <v>288</v>
      </c>
      <c r="D133" s="89"/>
      <c r="E133" s="90">
        <f>SUM(E131,E132)</f>
        <v>-415842.9482693288</v>
      </c>
      <c r="F133" s="90">
        <f t="shared" ref="F133:AR133" si="21">SUM(F131,F132)</f>
        <v>-415842.9482693288</v>
      </c>
      <c r="G133" s="90">
        <f t="shared" si="21"/>
        <v>-415842.94826932874</v>
      </c>
      <c r="H133" s="90">
        <f t="shared" si="21"/>
        <v>-415842.94826932874</v>
      </c>
      <c r="I133" s="90">
        <f t="shared" si="21"/>
        <v>-415842.94826932868</v>
      </c>
      <c r="J133" s="90">
        <f t="shared" si="21"/>
        <v>-415842.9482693288</v>
      </c>
      <c r="K133" s="90">
        <f t="shared" si="21"/>
        <v>-415842.94826932868</v>
      </c>
      <c r="L133" s="90">
        <f t="shared" si="21"/>
        <v>-415842.94826932874</v>
      </c>
      <c r="M133" s="90">
        <f t="shared" si="21"/>
        <v>-415842.94826932874</v>
      </c>
      <c r="N133" s="90">
        <f t="shared" si="21"/>
        <v>-415842.9482693288</v>
      </c>
      <c r="O133" s="90">
        <f t="shared" si="21"/>
        <v>-415842.9482693288</v>
      </c>
      <c r="P133" s="90">
        <f t="shared" si="21"/>
        <v>-415842.94826932874</v>
      </c>
      <c r="Q133" s="90">
        <f t="shared" si="21"/>
        <v>-415842.9482693288</v>
      </c>
      <c r="R133" s="90">
        <f t="shared" si="21"/>
        <v>-415842.9482693288</v>
      </c>
      <c r="S133" s="90">
        <f t="shared" si="21"/>
        <v>-415842.94826932874</v>
      </c>
      <c r="T133" s="90">
        <f t="shared" si="21"/>
        <v>0</v>
      </c>
      <c r="U133" s="90">
        <f t="shared" si="21"/>
        <v>0</v>
      </c>
      <c r="V133" s="90">
        <f t="shared" si="21"/>
        <v>0</v>
      </c>
      <c r="W133" s="90">
        <f t="shared" si="21"/>
        <v>0</v>
      </c>
      <c r="X133" s="90">
        <f t="shared" si="21"/>
        <v>0</v>
      </c>
      <c r="Y133" s="90">
        <f t="shared" si="21"/>
        <v>0</v>
      </c>
      <c r="Z133" s="90">
        <f t="shared" si="21"/>
        <v>0</v>
      </c>
      <c r="AA133" s="90">
        <f t="shared" si="21"/>
        <v>0</v>
      </c>
      <c r="AB133" s="90">
        <f t="shared" si="21"/>
        <v>0</v>
      </c>
      <c r="AC133" s="90">
        <f t="shared" si="21"/>
        <v>0</v>
      </c>
      <c r="AD133" s="90">
        <f t="shared" si="21"/>
        <v>0</v>
      </c>
      <c r="AE133" s="90">
        <f t="shared" si="21"/>
        <v>0</v>
      </c>
      <c r="AF133" s="90">
        <f t="shared" si="21"/>
        <v>0</v>
      </c>
      <c r="AG133" s="90">
        <f t="shared" si="21"/>
        <v>0</v>
      </c>
      <c r="AH133" s="90">
        <f t="shared" si="21"/>
        <v>0</v>
      </c>
      <c r="AI133" s="90">
        <f t="shared" si="21"/>
        <v>0</v>
      </c>
      <c r="AJ133" s="90">
        <f t="shared" si="21"/>
        <v>0</v>
      </c>
      <c r="AK133" s="90">
        <f t="shared" si="21"/>
        <v>0</v>
      </c>
      <c r="AL133" s="90">
        <f t="shared" si="21"/>
        <v>0</v>
      </c>
      <c r="AM133" s="90">
        <f t="shared" si="21"/>
        <v>0</v>
      </c>
      <c r="AN133" s="90">
        <f t="shared" si="21"/>
        <v>0</v>
      </c>
      <c r="AO133" s="90">
        <f t="shared" si="21"/>
        <v>0</v>
      </c>
      <c r="AP133" s="90">
        <f t="shared" si="21"/>
        <v>0</v>
      </c>
      <c r="AQ133" s="90">
        <f t="shared" si="21"/>
        <v>0</v>
      </c>
      <c r="AR133" s="91">
        <f t="shared" si="21"/>
        <v>0</v>
      </c>
    </row>
    <row r="134" spans="1:45" x14ac:dyDescent="0.2">
      <c r="B134" s="2" t="s">
        <v>341</v>
      </c>
      <c r="C134" s="73"/>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5"/>
    </row>
    <row r="135" spans="1:45" x14ac:dyDescent="0.2">
      <c r="B135" s="4" t="s">
        <v>342</v>
      </c>
      <c r="C135" s="76" t="s">
        <v>288</v>
      </c>
      <c r="D135" s="77"/>
      <c r="E135" s="95">
        <f>E128+E130+E131</f>
        <v>-792566.94270833326</v>
      </c>
      <c r="F135" s="95">
        <f t="shared" ref="F135:AR135" si="22">F128+F130+F131</f>
        <v>-786595.64911085262</v>
      </c>
      <c r="G135" s="95">
        <f t="shared" si="22"/>
        <v>-780234.13181749173</v>
      </c>
      <c r="H135" s="95">
        <f t="shared" si="22"/>
        <v>-773461.72345769615</v>
      </c>
      <c r="I135" s="95">
        <f t="shared" si="22"/>
        <v>-766256.73232591024</v>
      </c>
      <c r="J135" s="95">
        <f t="shared" si="22"/>
        <v>-758596.39287296659</v>
      </c>
      <c r="K135" s="95">
        <f t="shared" si="22"/>
        <v>-750456.81382876204</v>
      </c>
      <c r="L135" s="95">
        <f t="shared" si="22"/>
        <v>-741812.92384336691</v>
      </c>
      <c r="M135" s="95">
        <f t="shared" si="22"/>
        <v>-732638.4145283429</v>
      </c>
      <c r="N135" s="95">
        <f t="shared" si="22"/>
        <v>-722905.68077442609</v>
      </c>
      <c r="O135" s="95">
        <f t="shared" si="22"/>
        <v>-712585.75821584032</v>
      </c>
      <c r="P135" s="95">
        <f t="shared" si="22"/>
        <v>-863286.91779664182</v>
      </c>
      <c r="Q135" s="95">
        <f t="shared" si="22"/>
        <v>-690061.29665759217</v>
      </c>
      <c r="R135" s="95">
        <f t="shared" si="22"/>
        <v>-677791.42711182719</v>
      </c>
      <c r="S135" s="95">
        <f t="shared" si="22"/>
        <v>-664803.56035742059</v>
      </c>
      <c r="T135" s="95">
        <f t="shared" si="22"/>
        <v>698505.66759022314</v>
      </c>
      <c r="U135" s="95">
        <f t="shared" si="22"/>
        <v>712475.78094202769</v>
      </c>
      <c r="V135" s="95">
        <f t="shared" si="22"/>
        <v>726725.29656086827</v>
      </c>
      <c r="W135" s="95">
        <f t="shared" si="22"/>
        <v>741259.80249208573</v>
      </c>
      <c r="X135" s="95">
        <f t="shared" si="22"/>
        <v>756084.9985419272</v>
      </c>
      <c r="Y135" s="95">
        <f t="shared" si="22"/>
        <v>0</v>
      </c>
      <c r="Z135" s="95">
        <f t="shared" si="22"/>
        <v>0</v>
      </c>
      <c r="AA135" s="95">
        <f t="shared" si="22"/>
        <v>0</v>
      </c>
      <c r="AB135" s="95">
        <f t="shared" si="22"/>
        <v>0</v>
      </c>
      <c r="AC135" s="95">
        <f t="shared" si="22"/>
        <v>0</v>
      </c>
      <c r="AD135" s="95">
        <f t="shared" si="22"/>
        <v>0</v>
      </c>
      <c r="AE135" s="95">
        <f t="shared" si="22"/>
        <v>0</v>
      </c>
      <c r="AF135" s="95">
        <f t="shared" si="22"/>
        <v>0</v>
      </c>
      <c r="AG135" s="95">
        <f t="shared" si="22"/>
        <v>0</v>
      </c>
      <c r="AH135" s="95">
        <f t="shared" si="22"/>
        <v>0</v>
      </c>
      <c r="AI135" s="95">
        <f t="shared" si="22"/>
        <v>0</v>
      </c>
      <c r="AJ135" s="95">
        <f t="shared" si="22"/>
        <v>0</v>
      </c>
      <c r="AK135" s="95">
        <f t="shared" si="22"/>
        <v>0</v>
      </c>
      <c r="AL135" s="95">
        <f t="shared" si="22"/>
        <v>0</v>
      </c>
      <c r="AM135" s="95">
        <f t="shared" si="22"/>
        <v>0</v>
      </c>
      <c r="AN135" s="95">
        <f t="shared" si="22"/>
        <v>0</v>
      </c>
      <c r="AO135" s="95">
        <f t="shared" si="22"/>
        <v>0</v>
      </c>
      <c r="AP135" s="95">
        <f t="shared" si="22"/>
        <v>0</v>
      </c>
      <c r="AQ135" s="95">
        <f t="shared" si="22"/>
        <v>0</v>
      </c>
      <c r="AR135" s="96">
        <f t="shared" si="22"/>
        <v>0</v>
      </c>
    </row>
    <row r="136" spans="1:45" x14ac:dyDescent="0.2">
      <c r="B136" s="87" t="s">
        <v>343</v>
      </c>
      <c r="C136" s="88" t="s">
        <v>288</v>
      </c>
      <c r="D136" s="89"/>
      <c r="E136" s="97">
        <f t="shared" ref="E136:AR136" si="23">-$C$89*E135</f>
        <v>150587.71911458333</v>
      </c>
      <c r="F136" s="97">
        <f t="shared" si="23"/>
        <v>149453.17333106199</v>
      </c>
      <c r="G136" s="97">
        <f t="shared" si="23"/>
        <v>148244.48504532344</v>
      </c>
      <c r="H136" s="97">
        <f t="shared" si="23"/>
        <v>146957.72745696228</v>
      </c>
      <c r="I136" s="97">
        <f t="shared" si="23"/>
        <v>145588.77914192295</v>
      </c>
      <c r="J136" s="97">
        <f t="shared" si="23"/>
        <v>144133.31464586366</v>
      </c>
      <c r="K136" s="97">
        <f t="shared" si="23"/>
        <v>142586.79462746478</v>
      </c>
      <c r="L136" s="97">
        <f t="shared" si="23"/>
        <v>140944.45553023971</v>
      </c>
      <c r="M136" s="97">
        <f t="shared" si="23"/>
        <v>139201.29876038517</v>
      </c>
      <c r="N136" s="97">
        <f t="shared" si="23"/>
        <v>137352.07934714097</v>
      </c>
      <c r="O136" s="97">
        <f t="shared" si="23"/>
        <v>135391.29406100966</v>
      </c>
      <c r="P136" s="97">
        <f t="shared" si="23"/>
        <v>164024.51438136195</v>
      </c>
      <c r="Q136" s="97">
        <f t="shared" si="23"/>
        <v>131111.64636494251</v>
      </c>
      <c r="R136" s="97">
        <f t="shared" si="23"/>
        <v>128780.37115124716</v>
      </c>
      <c r="S136" s="97">
        <f t="shared" si="23"/>
        <v>126312.67646790991</v>
      </c>
      <c r="T136" s="97">
        <f t="shared" si="23"/>
        <v>-132716.07684214239</v>
      </c>
      <c r="U136" s="97">
        <f t="shared" si="23"/>
        <v>-135370.39837898526</v>
      </c>
      <c r="V136" s="97">
        <f t="shared" si="23"/>
        <v>-138077.80634656496</v>
      </c>
      <c r="W136" s="97">
        <f t="shared" si="23"/>
        <v>-140839.36247349629</v>
      </c>
      <c r="X136" s="97">
        <f t="shared" si="23"/>
        <v>-143656.14972296616</v>
      </c>
      <c r="Y136" s="97">
        <f t="shared" si="23"/>
        <v>0</v>
      </c>
      <c r="Z136" s="97">
        <f t="shared" si="23"/>
        <v>0</v>
      </c>
      <c r="AA136" s="97">
        <f t="shared" si="23"/>
        <v>0</v>
      </c>
      <c r="AB136" s="97">
        <f t="shared" si="23"/>
        <v>0</v>
      </c>
      <c r="AC136" s="97">
        <f t="shared" si="23"/>
        <v>0</v>
      </c>
      <c r="AD136" s="97">
        <f t="shared" si="23"/>
        <v>0</v>
      </c>
      <c r="AE136" s="97">
        <f t="shared" si="23"/>
        <v>0</v>
      </c>
      <c r="AF136" s="97">
        <f t="shared" si="23"/>
        <v>0</v>
      </c>
      <c r="AG136" s="97">
        <f t="shared" si="23"/>
        <v>0</v>
      </c>
      <c r="AH136" s="97">
        <f t="shared" si="23"/>
        <v>0</v>
      </c>
      <c r="AI136" s="97">
        <f t="shared" si="23"/>
        <v>0</v>
      </c>
      <c r="AJ136" s="97">
        <f t="shared" si="23"/>
        <v>0</v>
      </c>
      <c r="AK136" s="97">
        <f t="shared" si="23"/>
        <v>0</v>
      </c>
      <c r="AL136" s="97">
        <f t="shared" si="23"/>
        <v>0</v>
      </c>
      <c r="AM136" s="97">
        <f t="shared" si="23"/>
        <v>0</v>
      </c>
      <c r="AN136" s="97">
        <f t="shared" si="23"/>
        <v>0</v>
      </c>
      <c r="AO136" s="97">
        <f t="shared" si="23"/>
        <v>0</v>
      </c>
      <c r="AP136" s="97">
        <f t="shared" si="23"/>
        <v>0</v>
      </c>
      <c r="AQ136" s="97">
        <f t="shared" si="23"/>
        <v>0</v>
      </c>
      <c r="AR136" s="98">
        <f t="shared" si="23"/>
        <v>0</v>
      </c>
    </row>
    <row r="137" spans="1:45" x14ac:dyDescent="0.2">
      <c r="B137" s="2" t="s">
        <v>344</v>
      </c>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5"/>
    </row>
    <row r="138" spans="1:45" x14ac:dyDescent="0.2">
      <c r="B138" s="99" t="s">
        <v>345</v>
      </c>
      <c r="C138" s="100" t="s">
        <v>288</v>
      </c>
      <c r="D138" s="100"/>
      <c r="E138" s="101">
        <f t="shared" ref="E138:AR138" si="24">E128+E133+E136</f>
        <v>-459050.22915474547</v>
      </c>
      <c r="F138" s="101">
        <f t="shared" si="24"/>
        <v>-464060.67493826686</v>
      </c>
      <c r="G138" s="101">
        <f t="shared" si="24"/>
        <v>-469222.78122400533</v>
      </c>
      <c r="H138" s="101">
        <f t="shared" si="24"/>
        <v>-474542.02517236647</v>
      </c>
      <c r="I138" s="101">
        <f t="shared" si="24"/>
        <v>-480024.10957460571</v>
      </c>
      <c r="J138" s="101">
        <f t="shared" si="24"/>
        <v>-485674.97287960915</v>
      </c>
      <c r="K138" s="101">
        <f t="shared" si="24"/>
        <v>-491500.79968313075</v>
      </c>
      <c r="L138" s="101">
        <f t="shared" si="24"/>
        <v>-497508.0317011812</v>
      </c>
      <c r="M138" s="101">
        <f t="shared" si="24"/>
        <v>-503703.37925027765</v>
      </c>
      <c r="N138" s="101">
        <f t="shared" si="24"/>
        <v>-510093.83325834852</v>
      </c>
      <c r="O138" s="101">
        <f t="shared" si="24"/>
        <v>-516686.67783120309</v>
      </c>
      <c r="P138" s="101">
        <f t="shared" si="24"/>
        <v>-654416.81807461311</v>
      </c>
      <c r="Q138" s="101">
        <f t="shared" si="24"/>
        <v>-530510.22048163472</v>
      </c>
      <c r="R138" s="101">
        <f t="shared" si="24"/>
        <v>-537757.07406687504</v>
      </c>
      <c r="S138" s="101">
        <f t="shared" si="24"/>
        <v>-545238.65868918807</v>
      </c>
      <c r="T138" s="101">
        <f t="shared" si="24"/>
        <v>565789.59074808075</v>
      </c>
      <c r="U138" s="101">
        <f t="shared" si="24"/>
        <v>577105.38256304245</v>
      </c>
      <c r="V138" s="101">
        <f t="shared" si="24"/>
        <v>588647.49021430337</v>
      </c>
      <c r="W138" s="101">
        <f t="shared" si="24"/>
        <v>600420.44001858938</v>
      </c>
      <c r="X138" s="101">
        <f t="shared" si="24"/>
        <v>612428.84881896107</v>
      </c>
      <c r="Y138" s="101">
        <f t="shared" si="24"/>
        <v>0</v>
      </c>
      <c r="Z138" s="101">
        <f t="shared" si="24"/>
        <v>0</v>
      </c>
      <c r="AA138" s="101">
        <f t="shared" si="24"/>
        <v>0</v>
      </c>
      <c r="AB138" s="101">
        <f t="shared" si="24"/>
        <v>0</v>
      </c>
      <c r="AC138" s="101">
        <f t="shared" si="24"/>
        <v>0</v>
      </c>
      <c r="AD138" s="101">
        <f t="shared" si="24"/>
        <v>0</v>
      </c>
      <c r="AE138" s="101">
        <f t="shared" si="24"/>
        <v>0</v>
      </c>
      <c r="AF138" s="101">
        <f t="shared" si="24"/>
        <v>0</v>
      </c>
      <c r="AG138" s="101">
        <f t="shared" si="24"/>
        <v>0</v>
      </c>
      <c r="AH138" s="101">
        <f t="shared" si="24"/>
        <v>0</v>
      </c>
      <c r="AI138" s="101">
        <f t="shared" si="24"/>
        <v>0</v>
      </c>
      <c r="AJ138" s="101">
        <f t="shared" si="24"/>
        <v>0</v>
      </c>
      <c r="AK138" s="101">
        <f t="shared" si="24"/>
        <v>0</v>
      </c>
      <c r="AL138" s="101">
        <f t="shared" si="24"/>
        <v>0</v>
      </c>
      <c r="AM138" s="101">
        <f t="shared" si="24"/>
        <v>0</v>
      </c>
      <c r="AN138" s="101">
        <f t="shared" si="24"/>
        <v>0</v>
      </c>
      <c r="AO138" s="101">
        <f t="shared" si="24"/>
        <v>0</v>
      </c>
      <c r="AP138" s="101">
        <f t="shared" si="24"/>
        <v>0</v>
      </c>
      <c r="AQ138" s="101">
        <f t="shared" si="24"/>
        <v>0</v>
      </c>
      <c r="AR138" s="102">
        <f t="shared" si="24"/>
        <v>0</v>
      </c>
    </row>
    <row r="139" spans="1:45" x14ac:dyDescent="0.2">
      <c r="B139" s="103" t="s">
        <v>346</v>
      </c>
      <c r="C139" s="104" t="s">
        <v>288</v>
      </c>
      <c r="D139" s="105">
        <f>-SUM(D153:D154)</f>
        <v>-5853575</v>
      </c>
      <c r="E139" s="106">
        <f>E128+E136</f>
        <v>-43207.280885416665</v>
      </c>
      <c r="F139" s="106">
        <f t="shared" ref="F139:AR139" si="25">F128+F136</f>
        <v>-48217.726668938005</v>
      </c>
      <c r="G139" s="106">
        <f t="shared" si="25"/>
        <v>-53379.83295467656</v>
      </c>
      <c r="H139" s="106">
        <f t="shared" si="25"/>
        <v>-58699.076903037698</v>
      </c>
      <c r="I139" s="106">
        <f t="shared" si="25"/>
        <v>-64181.161305277055</v>
      </c>
      <c r="J139" s="106">
        <f t="shared" si="25"/>
        <v>-69832.02461028035</v>
      </c>
      <c r="K139" s="106">
        <f t="shared" si="25"/>
        <v>-75657.851413802098</v>
      </c>
      <c r="L139" s="106">
        <f t="shared" si="25"/>
        <v>-81665.083431852487</v>
      </c>
      <c r="M139" s="106">
        <f t="shared" si="25"/>
        <v>-87860.430980948877</v>
      </c>
      <c r="N139" s="106">
        <f t="shared" si="25"/>
        <v>-94250.884989019745</v>
      </c>
      <c r="O139" s="106">
        <f t="shared" si="25"/>
        <v>-100843.72956187429</v>
      </c>
      <c r="P139" s="106">
        <f t="shared" si="25"/>
        <v>-238573.86980528437</v>
      </c>
      <c r="Q139" s="106">
        <f t="shared" si="25"/>
        <v>-114667.27221230595</v>
      </c>
      <c r="R139" s="106">
        <f t="shared" si="25"/>
        <v>-121914.12579754625</v>
      </c>
      <c r="S139" s="106">
        <f t="shared" si="25"/>
        <v>-129395.71041985939</v>
      </c>
      <c r="T139" s="106">
        <f t="shared" si="25"/>
        <v>565789.59074808075</v>
      </c>
      <c r="U139" s="106">
        <f t="shared" si="25"/>
        <v>577105.38256304245</v>
      </c>
      <c r="V139" s="106">
        <f t="shared" si="25"/>
        <v>588647.49021430337</v>
      </c>
      <c r="W139" s="106">
        <f t="shared" si="25"/>
        <v>600420.44001858938</v>
      </c>
      <c r="X139" s="106">
        <f t="shared" si="25"/>
        <v>612428.84881896107</v>
      </c>
      <c r="Y139" s="106">
        <f t="shared" si="25"/>
        <v>0</v>
      </c>
      <c r="Z139" s="106">
        <f t="shared" si="25"/>
        <v>0</v>
      </c>
      <c r="AA139" s="106">
        <f t="shared" si="25"/>
        <v>0</v>
      </c>
      <c r="AB139" s="106">
        <f t="shared" si="25"/>
        <v>0</v>
      </c>
      <c r="AC139" s="106">
        <f t="shared" si="25"/>
        <v>0</v>
      </c>
      <c r="AD139" s="106">
        <f t="shared" si="25"/>
        <v>0</v>
      </c>
      <c r="AE139" s="106">
        <f t="shared" si="25"/>
        <v>0</v>
      </c>
      <c r="AF139" s="106">
        <f t="shared" si="25"/>
        <v>0</v>
      </c>
      <c r="AG139" s="106">
        <f t="shared" si="25"/>
        <v>0</v>
      </c>
      <c r="AH139" s="106">
        <f t="shared" si="25"/>
        <v>0</v>
      </c>
      <c r="AI139" s="106">
        <f t="shared" si="25"/>
        <v>0</v>
      </c>
      <c r="AJ139" s="106">
        <f t="shared" si="25"/>
        <v>0</v>
      </c>
      <c r="AK139" s="106">
        <f t="shared" si="25"/>
        <v>0</v>
      </c>
      <c r="AL139" s="106">
        <f t="shared" si="25"/>
        <v>0</v>
      </c>
      <c r="AM139" s="106">
        <f t="shared" si="25"/>
        <v>0</v>
      </c>
      <c r="AN139" s="106">
        <f t="shared" si="25"/>
        <v>0</v>
      </c>
      <c r="AO139" s="106">
        <f t="shared" si="25"/>
        <v>0</v>
      </c>
      <c r="AP139" s="106">
        <f t="shared" si="25"/>
        <v>0</v>
      </c>
      <c r="AQ139" s="106">
        <f t="shared" si="25"/>
        <v>0</v>
      </c>
      <c r="AR139" s="121">
        <f t="shared" si="25"/>
        <v>0</v>
      </c>
    </row>
    <row r="140" spans="1:45" x14ac:dyDescent="0.2">
      <c r="B140" s="103" t="s">
        <v>347</v>
      </c>
      <c r="C140" s="104" t="s">
        <v>288</v>
      </c>
      <c r="D140" s="105">
        <f>-D154</f>
        <v>-1463393.75</v>
      </c>
      <c r="E140" s="106">
        <f>E138</f>
        <v>-459050.22915474547</v>
      </c>
      <c r="F140" s="106">
        <f t="shared" ref="F140:AR140" si="26">F138</f>
        <v>-464060.67493826686</v>
      </c>
      <c r="G140" s="106">
        <f t="shared" si="26"/>
        <v>-469222.78122400533</v>
      </c>
      <c r="H140" s="106">
        <f t="shared" si="26"/>
        <v>-474542.02517236647</v>
      </c>
      <c r="I140" s="106">
        <f t="shared" si="26"/>
        <v>-480024.10957460571</v>
      </c>
      <c r="J140" s="106">
        <f t="shared" si="26"/>
        <v>-485674.97287960915</v>
      </c>
      <c r="K140" s="106">
        <f t="shared" si="26"/>
        <v>-491500.79968313075</v>
      </c>
      <c r="L140" s="106">
        <f t="shared" si="26"/>
        <v>-497508.0317011812</v>
      </c>
      <c r="M140" s="106">
        <f t="shared" si="26"/>
        <v>-503703.37925027765</v>
      </c>
      <c r="N140" s="106">
        <f t="shared" si="26"/>
        <v>-510093.83325834852</v>
      </c>
      <c r="O140" s="106">
        <f t="shared" si="26"/>
        <v>-516686.67783120309</v>
      </c>
      <c r="P140" s="106">
        <f t="shared" si="26"/>
        <v>-654416.81807461311</v>
      </c>
      <c r="Q140" s="106">
        <f t="shared" si="26"/>
        <v>-530510.22048163472</v>
      </c>
      <c r="R140" s="106">
        <f t="shared" si="26"/>
        <v>-537757.07406687504</v>
      </c>
      <c r="S140" s="106">
        <f t="shared" si="26"/>
        <v>-545238.65868918807</v>
      </c>
      <c r="T140" s="106">
        <f t="shared" si="26"/>
        <v>565789.59074808075</v>
      </c>
      <c r="U140" s="106">
        <f t="shared" si="26"/>
        <v>577105.38256304245</v>
      </c>
      <c r="V140" s="106">
        <f t="shared" si="26"/>
        <v>588647.49021430337</v>
      </c>
      <c r="W140" s="106">
        <f t="shared" si="26"/>
        <v>600420.44001858938</v>
      </c>
      <c r="X140" s="106">
        <f t="shared" si="26"/>
        <v>612428.84881896107</v>
      </c>
      <c r="Y140" s="106">
        <f t="shared" si="26"/>
        <v>0</v>
      </c>
      <c r="Z140" s="106">
        <f t="shared" si="26"/>
        <v>0</v>
      </c>
      <c r="AA140" s="106">
        <f t="shared" si="26"/>
        <v>0</v>
      </c>
      <c r="AB140" s="106">
        <f t="shared" si="26"/>
        <v>0</v>
      </c>
      <c r="AC140" s="106">
        <f t="shared" si="26"/>
        <v>0</v>
      </c>
      <c r="AD140" s="106">
        <f t="shared" si="26"/>
        <v>0</v>
      </c>
      <c r="AE140" s="106">
        <f t="shared" si="26"/>
        <v>0</v>
      </c>
      <c r="AF140" s="106">
        <f t="shared" si="26"/>
        <v>0</v>
      </c>
      <c r="AG140" s="106">
        <f t="shared" si="26"/>
        <v>0</v>
      </c>
      <c r="AH140" s="106">
        <f t="shared" si="26"/>
        <v>0</v>
      </c>
      <c r="AI140" s="106">
        <f t="shared" si="26"/>
        <v>0</v>
      </c>
      <c r="AJ140" s="106">
        <f t="shared" si="26"/>
        <v>0</v>
      </c>
      <c r="AK140" s="106">
        <f t="shared" si="26"/>
        <v>0</v>
      </c>
      <c r="AL140" s="106">
        <f t="shared" si="26"/>
        <v>0</v>
      </c>
      <c r="AM140" s="106">
        <f t="shared" si="26"/>
        <v>0</v>
      </c>
      <c r="AN140" s="106">
        <f t="shared" si="26"/>
        <v>0</v>
      </c>
      <c r="AO140" s="106">
        <f t="shared" si="26"/>
        <v>0</v>
      </c>
      <c r="AP140" s="106">
        <f t="shared" si="26"/>
        <v>0</v>
      </c>
      <c r="AQ140" s="106">
        <f t="shared" si="26"/>
        <v>0</v>
      </c>
      <c r="AR140" s="121">
        <f t="shared" si="26"/>
        <v>0</v>
      </c>
    </row>
    <row r="141" spans="1:45" x14ac:dyDescent="0.2">
      <c r="B141" s="82" t="s">
        <v>348</v>
      </c>
      <c r="C141" s="217" t="str">
        <f>$C$9</f>
        <v>kWh</v>
      </c>
      <c r="D141" s="107"/>
      <c r="E141" s="108">
        <f t="shared" ref="E141:AR141" si="27">IF(E108&gt;$C$94,0,E114)</f>
        <v>8550000</v>
      </c>
      <c r="F141" s="108">
        <f t="shared" si="27"/>
        <v>8550000</v>
      </c>
      <c r="G141" s="108">
        <f t="shared" si="27"/>
        <v>8550000</v>
      </c>
      <c r="H141" s="108">
        <f t="shared" si="27"/>
        <v>8550000</v>
      </c>
      <c r="I141" s="108">
        <f t="shared" si="27"/>
        <v>8550000</v>
      </c>
      <c r="J141" s="108">
        <f t="shared" si="27"/>
        <v>8550000</v>
      </c>
      <c r="K141" s="108">
        <f t="shared" si="27"/>
        <v>8550000</v>
      </c>
      <c r="L141" s="108">
        <f t="shared" si="27"/>
        <v>8550000</v>
      </c>
      <c r="M141" s="108">
        <f t="shared" si="27"/>
        <v>8550000</v>
      </c>
      <c r="N141" s="108">
        <f t="shared" si="27"/>
        <v>8550000</v>
      </c>
      <c r="O141" s="108">
        <f t="shared" si="27"/>
        <v>8550000</v>
      </c>
      <c r="P141" s="108">
        <f t="shared" si="27"/>
        <v>8550000</v>
      </c>
      <c r="Q141" s="108">
        <f t="shared" si="27"/>
        <v>8550000</v>
      </c>
      <c r="R141" s="108">
        <f t="shared" si="27"/>
        <v>8550000</v>
      </c>
      <c r="S141" s="108">
        <f t="shared" si="27"/>
        <v>8550000</v>
      </c>
      <c r="T141" s="108">
        <f t="shared" si="27"/>
        <v>0</v>
      </c>
      <c r="U141" s="108">
        <f t="shared" si="27"/>
        <v>0</v>
      </c>
      <c r="V141" s="108">
        <f t="shared" si="27"/>
        <v>0</v>
      </c>
      <c r="W141" s="108">
        <f t="shared" si="27"/>
        <v>0</v>
      </c>
      <c r="X141" s="108">
        <f t="shared" si="27"/>
        <v>0</v>
      </c>
      <c r="Y141" s="108">
        <f t="shared" si="27"/>
        <v>0</v>
      </c>
      <c r="Z141" s="108">
        <f t="shared" si="27"/>
        <v>0</v>
      </c>
      <c r="AA141" s="108">
        <f t="shared" si="27"/>
        <v>0</v>
      </c>
      <c r="AB141" s="108">
        <f t="shared" si="27"/>
        <v>0</v>
      </c>
      <c r="AC141" s="108">
        <f t="shared" si="27"/>
        <v>0</v>
      </c>
      <c r="AD141" s="108">
        <f t="shared" si="27"/>
        <v>0</v>
      </c>
      <c r="AE141" s="108">
        <f t="shared" si="27"/>
        <v>0</v>
      </c>
      <c r="AF141" s="108">
        <f t="shared" si="27"/>
        <v>0</v>
      </c>
      <c r="AG141" s="108">
        <f t="shared" si="27"/>
        <v>0</v>
      </c>
      <c r="AH141" s="108">
        <f t="shared" si="27"/>
        <v>0</v>
      </c>
      <c r="AI141" s="108">
        <f t="shared" si="27"/>
        <v>0</v>
      </c>
      <c r="AJ141" s="108">
        <f t="shared" si="27"/>
        <v>0</v>
      </c>
      <c r="AK141" s="108">
        <f t="shared" si="27"/>
        <v>0</v>
      </c>
      <c r="AL141" s="108">
        <f t="shared" si="27"/>
        <v>0</v>
      </c>
      <c r="AM141" s="108">
        <f t="shared" si="27"/>
        <v>0</v>
      </c>
      <c r="AN141" s="108">
        <f t="shared" si="27"/>
        <v>0</v>
      </c>
      <c r="AO141" s="108">
        <f t="shared" si="27"/>
        <v>0</v>
      </c>
      <c r="AP141" s="108">
        <f t="shared" si="27"/>
        <v>0</v>
      </c>
      <c r="AQ141" s="108">
        <f t="shared" si="27"/>
        <v>0</v>
      </c>
      <c r="AR141" s="109">
        <f t="shared" si="27"/>
        <v>0</v>
      </c>
    </row>
    <row r="142" spans="1:45" x14ac:dyDescent="0.2">
      <c r="B142" s="4" t="s">
        <v>349</v>
      </c>
      <c r="C142" s="122"/>
      <c r="D142" s="123">
        <f>-D109</f>
        <v>5853575</v>
      </c>
      <c r="E142" s="124">
        <f>D142-($C$5*E114+E128+E131)</f>
        <v>5546253.609375</v>
      </c>
      <c r="F142" s="124">
        <f t="shared" ref="F142:AR142" si="28">E142-($C$5*F114+F128+F131)</f>
        <v>5232960.9251525197</v>
      </c>
      <c r="G142" s="124">
        <f t="shared" si="28"/>
        <v>4913306.7236366784</v>
      </c>
      <c r="H142" s="124">
        <f t="shared" si="28"/>
        <v>4586880.1137610413</v>
      </c>
      <c r="I142" s="124">
        <f t="shared" si="28"/>
        <v>4253248.5127536179</v>
      </c>
      <c r="J142" s="124">
        <f t="shared" si="28"/>
        <v>3911956.5722932513</v>
      </c>
      <c r="K142" s="124">
        <f t="shared" si="28"/>
        <v>3562525.05278868</v>
      </c>
      <c r="L142" s="124">
        <f t="shared" si="28"/>
        <v>3204449.6432987135</v>
      </c>
      <c r="M142" s="124">
        <f t="shared" si="28"/>
        <v>2837199.7244937229</v>
      </c>
      <c r="N142" s="124">
        <f t="shared" si="28"/>
        <v>2460217.0719348155</v>
      </c>
      <c r="O142" s="124">
        <f t="shared" si="28"/>
        <v>2072914.4968173227</v>
      </c>
      <c r="P142" s="124">
        <f t="shared" si="28"/>
        <v>1836313.081280631</v>
      </c>
      <c r="Q142" s="124">
        <f t="shared" si="28"/>
        <v>1426486.04460489</v>
      </c>
      <c r="R142" s="124">
        <f t="shared" si="28"/>
        <v>1004389.1383833839</v>
      </c>
      <c r="S142" s="124">
        <f t="shared" si="28"/>
        <v>569304.3654074712</v>
      </c>
      <c r="T142" s="124">
        <f t="shared" si="28"/>
        <v>-793201.30218275206</v>
      </c>
      <c r="U142" s="124">
        <f t="shared" si="28"/>
        <v>-2169677.0831247796</v>
      </c>
      <c r="V142" s="124">
        <f t="shared" si="28"/>
        <v>-3560402.3796856478</v>
      </c>
      <c r="W142" s="124">
        <f t="shared" si="28"/>
        <v>-4965662.1821777336</v>
      </c>
      <c r="X142" s="124">
        <f t="shared" si="28"/>
        <v>-6385747.1807196606</v>
      </c>
      <c r="Y142" s="124">
        <f t="shared" si="28"/>
        <v>-6385747.1807196606</v>
      </c>
      <c r="Z142" s="124">
        <f t="shared" si="28"/>
        <v>-6385747.1807196606</v>
      </c>
      <c r="AA142" s="124">
        <f t="shared" si="28"/>
        <v>-6385747.1807196606</v>
      </c>
      <c r="AB142" s="124">
        <f t="shared" si="28"/>
        <v>-6385747.1807196606</v>
      </c>
      <c r="AC142" s="124">
        <f t="shared" si="28"/>
        <v>-6385747.1807196606</v>
      </c>
      <c r="AD142" s="124">
        <f t="shared" si="28"/>
        <v>-6385747.1807196606</v>
      </c>
      <c r="AE142" s="124">
        <f t="shared" si="28"/>
        <v>-6385747.1807196606</v>
      </c>
      <c r="AF142" s="124">
        <f t="shared" si="28"/>
        <v>-6385747.1807196606</v>
      </c>
      <c r="AG142" s="124">
        <f t="shared" si="28"/>
        <v>-6385747.1807196606</v>
      </c>
      <c r="AH142" s="124">
        <f t="shared" si="28"/>
        <v>-6385747.1807196606</v>
      </c>
      <c r="AI142" s="124">
        <f t="shared" si="28"/>
        <v>-6385747.1807196606</v>
      </c>
      <c r="AJ142" s="124">
        <f t="shared" si="28"/>
        <v>-6385747.1807196606</v>
      </c>
      <c r="AK142" s="124">
        <f t="shared" si="28"/>
        <v>-6385747.1807196606</v>
      </c>
      <c r="AL142" s="124">
        <f t="shared" si="28"/>
        <v>-6385747.1807196606</v>
      </c>
      <c r="AM142" s="124">
        <f t="shared" si="28"/>
        <v>-6385747.1807196606</v>
      </c>
      <c r="AN142" s="124">
        <f t="shared" si="28"/>
        <v>-6385747.1807196606</v>
      </c>
      <c r="AO142" s="124">
        <f t="shared" si="28"/>
        <v>-6385747.1807196606</v>
      </c>
      <c r="AP142" s="124">
        <f t="shared" si="28"/>
        <v>-6385747.1807196606</v>
      </c>
      <c r="AQ142" s="124">
        <f t="shared" si="28"/>
        <v>-6385747.1807196606</v>
      </c>
      <c r="AR142" s="124">
        <f t="shared" si="28"/>
        <v>-6385747.1807196606</v>
      </c>
    </row>
    <row r="143" spans="1:45" x14ac:dyDescent="0.2">
      <c r="B143" s="5" t="s">
        <v>350</v>
      </c>
      <c r="C143" s="195"/>
      <c r="D143" s="196"/>
      <c r="E143" s="197">
        <f>IF(E108&gt;$C$92,"",(-$C$89*(E135+$C$5*E114)+E128+$C$5*E114)/-E133)</f>
        <v>1.2783894047670041</v>
      </c>
      <c r="F143" s="197">
        <f>IF(F108&gt;$C$92,"",(-$C$89*(F135+$C$5*F114)+F128+$C$5*F114)/-F133)</f>
        <v>1.2663405151456362</v>
      </c>
      <c r="G143" s="197">
        <f>IF(G108&gt;$C$92,"",(-$C$89*(G135+$C$5*G114)+G128+$C$5*G114)/-G133)</f>
        <v>1.2539269193224478</v>
      </c>
      <c r="H143" s="197">
        <f>IF(H108&gt;$C$92,"",(-$C$89*(H135+$C$5*H114)+H128+$C$5*H114)/-H133)</f>
        <v>1.2411354460739559</v>
      </c>
      <c r="I143" s="197">
        <f t="shared" ref="I143:AR143" si="29">IF(I108&gt;$C$92,"",(-$C$89*(I135+$C$5*I114)+I128+$C$5*I114)/-I133)</f>
        <v>1.2279523815899847</v>
      </c>
      <c r="J143" s="197">
        <f t="shared" si="29"/>
        <v>1.2143634453617249</v>
      </c>
      <c r="K143" s="197">
        <f t="shared" si="29"/>
        <v>1.2003537649576979</v>
      </c>
      <c r="L143" s="197">
        <f t="shared" si="29"/>
        <v>1.1859078496354551</v>
      </c>
      <c r="M143" s="197">
        <f t="shared" si="29"/>
        <v>1.1710095627344017</v>
      </c>
      <c r="N143" s="197">
        <f t="shared" si="29"/>
        <v>1.1556420927925237</v>
      </c>
      <c r="O143" s="197">
        <f t="shared" si="29"/>
        <v>1.1397879233271211</v>
      </c>
      <c r="P143" s="197">
        <f t="shared" si="29"/>
        <v>0.80858081541145088</v>
      </c>
      <c r="Q143" s="197">
        <f t="shared" si="29"/>
        <v>1.1065457036190245</v>
      </c>
      <c r="R143" s="197">
        <f t="shared" si="29"/>
        <v>1.0891188033543922</v>
      </c>
      <c r="S143" s="197">
        <f t="shared" si="29"/>
        <v>1.0711274326856091</v>
      </c>
      <c r="T143" s="197" t="str">
        <f t="shared" si="29"/>
        <v/>
      </c>
      <c r="U143" s="197" t="str">
        <f t="shared" si="29"/>
        <v/>
      </c>
      <c r="V143" s="197" t="str">
        <f t="shared" si="29"/>
        <v/>
      </c>
      <c r="W143" s="197" t="str">
        <f t="shared" si="29"/>
        <v/>
      </c>
      <c r="X143" s="197" t="str">
        <f t="shared" si="29"/>
        <v/>
      </c>
      <c r="Y143" s="197" t="str">
        <f t="shared" si="29"/>
        <v/>
      </c>
      <c r="Z143" s="197" t="str">
        <f t="shared" si="29"/>
        <v/>
      </c>
      <c r="AA143" s="197" t="str">
        <f t="shared" si="29"/>
        <v/>
      </c>
      <c r="AB143" s="197" t="str">
        <f t="shared" si="29"/>
        <v/>
      </c>
      <c r="AC143" s="197" t="str">
        <f t="shared" si="29"/>
        <v/>
      </c>
      <c r="AD143" s="197" t="str">
        <f t="shared" si="29"/>
        <v/>
      </c>
      <c r="AE143" s="197" t="str">
        <f t="shared" si="29"/>
        <v/>
      </c>
      <c r="AF143" s="197" t="str">
        <f t="shared" si="29"/>
        <v/>
      </c>
      <c r="AG143" s="197" t="str">
        <f t="shared" si="29"/>
        <v/>
      </c>
      <c r="AH143" s="197" t="str">
        <f t="shared" si="29"/>
        <v/>
      </c>
      <c r="AI143" s="197" t="str">
        <f t="shared" si="29"/>
        <v/>
      </c>
      <c r="AJ143" s="197" t="str">
        <f t="shared" si="29"/>
        <v/>
      </c>
      <c r="AK143" s="197" t="str">
        <f t="shared" si="29"/>
        <v/>
      </c>
      <c r="AL143" s="197" t="str">
        <f t="shared" si="29"/>
        <v/>
      </c>
      <c r="AM143" s="197" t="str">
        <f t="shared" si="29"/>
        <v/>
      </c>
      <c r="AN143" s="197" t="str">
        <f t="shared" si="29"/>
        <v/>
      </c>
      <c r="AO143" s="197" t="str">
        <f t="shared" si="29"/>
        <v/>
      </c>
      <c r="AP143" s="197" t="str">
        <f t="shared" si="29"/>
        <v/>
      </c>
      <c r="AQ143" s="197" t="str">
        <f t="shared" si="29"/>
        <v/>
      </c>
      <c r="AR143" s="197" t="str">
        <f t="shared" si="29"/>
        <v/>
      </c>
    </row>
    <row r="144" spans="1:45" ht="13.5" thickBot="1" x14ac:dyDescent="0.25">
      <c r="A144" s="94"/>
      <c r="B144" s="94"/>
      <c r="C144" s="94"/>
      <c r="D144" s="28"/>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row>
    <row r="145" spans="2:45" ht="15" thickTop="1" x14ac:dyDescent="0.2">
      <c r="B145" s="433" t="s">
        <v>351</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c r="AN145" s="433"/>
      <c r="AO145" s="433"/>
      <c r="AP145" s="433"/>
      <c r="AQ145" s="433"/>
      <c r="AR145" s="433"/>
    </row>
    <row r="146" spans="2:45" x14ac:dyDescent="0.2">
      <c r="B146" s="4" t="s">
        <v>352</v>
      </c>
      <c r="C146" s="80" t="s">
        <v>353</v>
      </c>
      <c r="D146" s="126">
        <f>NPV($C$86,E138:AR138)</f>
        <v>-3588013.5949690877</v>
      </c>
    </row>
    <row r="147" spans="2:45" x14ac:dyDescent="0.2">
      <c r="B147" s="79" t="s">
        <v>354</v>
      </c>
      <c r="C147" s="216" t="str">
        <f>$C$9</f>
        <v>kWh</v>
      </c>
      <c r="D147" s="126">
        <f>(1-$C$89)*NPV($C$86,E141:AR141)</f>
        <v>61132217.794251621</v>
      </c>
      <c r="E147" s="131"/>
      <c r="F147" s="127"/>
    </row>
    <row r="148" spans="2:45" x14ac:dyDescent="0.2">
      <c r="B148" s="79" t="s">
        <v>355</v>
      </c>
      <c r="C148" s="80" t="s">
        <v>288</v>
      </c>
      <c r="D148" s="126">
        <f>$C$48*1000000</f>
        <v>5853575</v>
      </c>
      <c r="F148" s="128"/>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row>
    <row r="149" spans="2:45" x14ac:dyDescent="0.2">
      <c r="B149" s="79" t="s">
        <v>356</v>
      </c>
      <c r="C149" s="80"/>
      <c r="D149" s="129">
        <f>AVERAGE(E143:AR143)</f>
        <v>1.1606788040518954</v>
      </c>
      <c r="F149" s="128"/>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row>
    <row r="150" spans="2:45" x14ac:dyDescent="0.2">
      <c r="B150" s="79" t="s">
        <v>357</v>
      </c>
      <c r="C150" s="80"/>
      <c r="D150" s="130" t="str">
        <f>CONCATENATE(ROUND(((1-$C$89)*$C$85*$C$87+$C$88*$C$86)*100,1),"% / ",ROUND((((1+(1-$C$89)*$C$85*$C$87+$C$88*$C$86)/(1+$C$84))-1)*100,1),"%")</f>
        <v>4.8% / 2.7%</v>
      </c>
      <c r="E150" s="131"/>
      <c r="F150" s="127"/>
      <c r="G150" s="112"/>
    </row>
    <row r="151" spans="2:45" x14ac:dyDescent="0.2">
      <c r="B151" s="79" t="s">
        <v>358</v>
      </c>
      <c r="C151" s="80"/>
      <c r="D151" s="132">
        <f>IFERROR(IRR(D139:AR139),"n.v.t.")</f>
        <v>-5.5757950089763031E-2</v>
      </c>
      <c r="E151" s="131"/>
      <c r="F151" s="128"/>
      <c r="G151" s="112"/>
    </row>
    <row r="152" spans="2:45" x14ac:dyDescent="0.2">
      <c r="B152" s="79" t="s">
        <v>359</v>
      </c>
      <c r="C152" s="80"/>
      <c r="D152" s="132">
        <f>IFERROR(IRR(D140:AR140),"n.v.t.")</f>
        <v>-0.10851257520346358</v>
      </c>
      <c r="G152" s="112"/>
    </row>
    <row r="153" spans="2:45" x14ac:dyDescent="0.2">
      <c r="B153" s="133" t="s">
        <v>360</v>
      </c>
      <c r="C153" s="80" t="s">
        <v>288</v>
      </c>
      <c r="D153" s="126">
        <f>D148*$C$87-C81</f>
        <v>4390181.25</v>
      </c>
      <c r="F153" s="134"/>
    </row>
    <row r="154" spans="2:45" x14ac:dyDescent="0.2">
      <c r="B154" s="135" t="s">
        <v>361</v>
      </c>
      <c r="C154" s="80" t="s">
        <v>288</v>
      </c>
      <c r="D154" s="126">
        <f>$C$88*D148-C82</f>
        <v>1463393.75</v>
      </c>
      <c r="F154" s="134"/>
    </row>
    <row r="155" spans="2:45" x14ac:dyDescent="0.2">
      <c r="B155" s="135" t="s">
        <v>106</v>
      </c>
      <c r="C155" s="136" t="s">
        <v>362</v>
      </c>
      <c r="D155" s="137">
        <f>IF(AND(E111&gt;0,E112&gt;0),ROUND(E112/E111,2),0)</f>
        <v>0</v>
      </c>
      <c r="F155" s="134"/>
    </row>
    <row r="156" spans="2:45" x14ac:dyDescent="0.2">
      <c r="B156" s="135" t="s">
        <v>363</v>
      </c>
      <c r="C156" s="138" t="s">
        <v>233</v>
      </c>
      <c r="D156" s="139">
        <f>IF(D155=0,MAX(C38:C39),E114/SUM(C35,C37))</f>
        <v>855</v>
      </c>
      <c r="F156" s="134"/>
    </row>
    <row r="157" spans="2:45" x14ac:dyDescent="0.2">
      <c r="B157" s="135" t="s">
        <v>364</v>
      </c>
      <c r="C157" s="138" t="s">
        <v>365</v>
      </c>
      <c r="D157" s="139" t="str">
        <f>CONCATENATE( "tussen ", INDEX(D108:X108, MATCH(0,D142:X142, -1)), " en ",  1 + INDEX(D108:X108, MATCH(0,D142:X142, -1)), " jaren")</f>
        <v>tussen 15 en 16 jaren</v>
      </c>
      <c r="E157" s="57"/>
      <c r="F157" s="140"/>
      <c r="G157" s="57"/>
      <c r="I157" s="57"/>
      <c r="J157" s="57"/>
      <c r="K157" s="57"/>
      <c r="L157" s="57"/>
      <c r="M157" s="57"/>
      <c r="N157" s="57"/>
      <c r="O157" s="57"/>
      <c r="P157" s="57"/>
      <c r="Q157" s="57"/>
      <c r="R157" s="57"/>
      <c r="S157" s="57"/>
      <c r="T157" s="112"/>
    </row>
    <row r="158" spans="2:45" ht="15" x14ac:dyDescent="0.25">
      <c r="B158"/>
      <c r="C158"/>
      <c r="D158" s="141"/>
      <c r="E158" s="57"/>
      <c r="F158" s="140"/>
      <c r="G158" s="57"/>
      <c r="H158" s="57"/>
      <c r="I158" s="57"/>
      <c r="J158" s="57"/>
      <c r="K158" s="57"/>
      <c r="L158" s="57"/>
      <c r="M158" s="57"/>
      <c r="N158" s="57"/>
      <c r="O158" s="57"/>
      <c r="P158" s="57"/>
      <c r="Q158" s="57"/>
      <c r="R158" s="57"/>
      <c r="S158" s="57"/>
    </row>
    <row r="159" spans="2:45" ht="15" x14ac:dyDescent="0.25">
      <c r="B159"/>
      <c r="C159"/>
      <c r="D159"/>
      <c r="E159" s="57"/>
      <c r="F159" s="140"/>
      <c r="G159" s="57"/>
      <c r="H159" s="57"/>
      <c r="I159" s="57"/>
      <c r="J159" s="57"/>
      <c r="K159" s="57"/>
      <c r="L159" s="57"/>
      <c r="M159" s="57"/>
      <c r="N159" s="57"/>
      <c r="O159" s="57"/>
      <c r="P159" s="57"/>
      <c r="Q159" s="57"/>
      <c r="R159" s="57"/>
      <c r="S159" s="57"/>
    </row>
    <row r="160" spans="2:45" ht="15" x14ac:dyDescent="0.25">
      <c r="B160" s="249" t="s">
        <v>39</v>
      </c>
      <c r="C160" s="250" t="str">
        <f>IF(OR($C12=25,$C12=24,$C12=23),ROUND((VLOOKUP(1,Correctiebedragen!$A$3:$J$66,8)+$D155*VLOOKUP($C12-9,Correctiebedragen!$A$3:$J$66,8))/(1+$D155),decimalen),IF(C16&gt;0,"netlevering: " &amp; C161 &amp; ", niet-netlevering: " &amp; C162,ROUND(VLOOKUP($C12,Correctiebedragen!$A$3:$J$66,8),decimalen)))</f>
        <v>netlevering: 0.048, niet-netlevering: 0.082</v>
      </c>
      <c r="D160"/>
    </row>
    <row r="161" spans="2:20" x14ac:dyDescent="0.2">
      <c r="B161" s="248" t="s">
        <v>366</v>
      </c>
      <c r="C161" s="246">
        <f>IFERROR(ROUND(INDEX(Correctiebedragen!$A$1:$K$256,MATCH('5'!C16,Correctiebedragen!$A$1:$A$256,0),8),decimalen),"n.v.t.")</f>
        <v>4.8000000000000001E-2</v>
      </c>
    </row>
    <row r="162" spans="2:20" customFormat="1" ht="15" x14ac:dyDescent="0.25">
      <c r="B162" s="248" t="s">
        <v>367</v>
      </c>
      <c r="C162" s="250">
        <f>IFERROR(ROUND(INDEX(Correctiebedragen!$A$1:$K$256,MATCH('5'!C17,Correctiebedragen!$A$1:$A$256,0),8),decimalen),"n.v.t.")</f>
        <v>8.2000000000000003E-2</v>
      </c>
    </row>
    <row r="163" spans="2:20" customFormat="1" ht="15" x14ac:dyDescent="0.25">
      <c r="B163" s="248" t="str">
        <f>"Voorlopig correctiebedrag "&amp;Colofon!$B$21</f>
        <v>Voorlopig correctiebedrag 2024</v>
      </c>
      <c r="C163" s="270" t="str">
        <f>IF(OR($C12=25,$C12=24,$C12=23),ROUND((VLOOKUP(1,Correctiebedragen!$A$3:$J$66,4)+$D155*VLOOKUP($C12-9,Correctiebedragen!$A$3:$J$66,4))/(1+$D155),decimalen),IF(C16&gt;0,"netlevering: " &amp; C164 &amp; ", niet-netlevering: " &amp; C165,ROUND(VLOOKUP($C12,Correctiebedragen!$A$3:$J$66,4),decimalen)))</f>
        <v>netlevering: 0.122, niet-netlevering: 0.153</v>
      </c>
      <c r="D163" s="142"/>
      <c r="E163" s="57"/>
      <c r="F163" s="57"/>
      <c r="G163" s="57"/>
      <c r="H163" s="57"/>
      <c r="I163" s="57"/>
      <c r="J163" s="57"/>
      <c r="K163" s="57"/>
      <c r="L163" s="57"/>
      <c r="M163" s="57"/>
      <c r="N163" s="57"/>
      <c r="O163" s="57"/>
      <c r="P163" s="57"/>
      <c r="Q163" s="57"/>
      <c r="R163" s="57"/>
      <c r="S163" s="57"/>
      <c r="T163" s="143"/>
    </row>
    <row r="164" spans="2:20" customFormat="1" ht="15" x14ac:dyDescent="0.25">
      <c r="B164" s="248" t="str">
        <f>"Voorlopig correctiebedrag "&amp;Colofon!$B$21&amp;" netlevering"</f>
        <v>Voorlopig correctiebedrag 2024 netlevering</v>
      </c>
      <c r="C164" s="247">
        <f>IFERROR(ROUND(INDEX(Correctiebedragen!$A$1:$K$256,MATCH('5'!C16,Correctiebedragen!$A$1:$A$256,0),4),decimalen),"n.v.t.")</f>
        <v>0.122</v>
      </c>
      <c r="D164" s="142"/>
      <c r="E164" s="144"/>
      <c r="F164" s="144"/>
      <c r="G164" s="144"/>
      <c r="H164" s="144"/>
      <c r="I164" s="144"/>
      <c r="J164" s="144"/>
      <c r="K164" s="144"/>
      <c r="L164" s="144"/>
      <c r="M164" s="144"/>
      <c r="N164" s="144"/>
      <c r="O164" s="144"/>
      <c r="P164" s="144"/>
      <c r="Q164" s="144"/>
      <c r="R164" s="144"/>
      <c r="S164" s="144"/>
      <c r="T164" s="143"/>
    </row>
    <row r="165" spans="2:20" customFormat="1" ht="15" x14ac:dyDescent="0.25">
      <c r="B165" s="248" t="str">
        <f>"Voorlopig correctiebedrag "&amp;Colofon!$B$21&amp;" niet-netlevering"</f>
        <v>Voorlopig correctiebedrag 2024 niet-netlevering</v>
      </c>
      <c r="C165" s="384">
        <f>IFERROR(ROUND(INDEX(Correctiebedragen!$A$1:$K$256,MATCH('5'!C17,Correctiebedragen!$A$1:$A$256,0),4),decimalen),"n.v.t.")</f>
        <v>0.153</v>
      </c>
    </row>
    <row r="166" spans="2:20" customFormat="1" ht="15" x14ac:dyDescent="0.25">
      <c r="B166" s="248" t="str">
        <f>"Voorlopig correctiebedrag "&amp;Colofon!$B$21&amp;" excl. negatieve uurblokken elektriciteit (NUE)"</f>
        <v>Voorlopig correctiebedrag 2024 excl. negatieve uurblokken elektriciteit (NUE)</v>
      </c>
      <c r="C166" s="250" t="str">
        <f>IF(OR($C12=25,$C12=24,$C12=23),ROUND((VLOOKUP(1,Correctiebedragen!$A$3:$J$66,4)+$D155*VLOOKUP($C12-9,Correctiebedragen!$A$3:$J$66,4))/(1+$D155),decimalen),IF(C16&gt;0,"netlevering: " &amp; C167 &amp; ", niet-netlevering: " &amp; C168,ROUND(VLOOKUP($C12,Correctiebedragen!$A$3:$J$66,6),decimalen)))</f>
        <v>netlevering: 0.128, niet-netlevering: 0.159</v>
      </c>
    </row>
    <row r="167" spans="2:20" customFormat="1" ht="15" x14ac:dyDescent="0.25">
      <c r="B167" s="248" t="str">
        <f>"Voorlopig correctiebedrag "&amp;Colofon!$B$21&amp;" netlevering excl. NUE"</f>
        <v>Voorlopig correctiebedrag 2024 netlevering excl. NUE</v>
      </c>
      <c r="C167" s="250">
        <f>IFERROR(ROUND(INDEX(Correctiebedragen!$A$1:$K$256,MATCH('5'!C16,Correctiebedragen!$A$1:$A$256,0),6),decimalen),"n.v.t.")</f>
        <v>0.128</v>
      </c>
    </row>
    <row r="168" spans="2:20" customFormat="1" ht="15" x14ac:dyDescent="0.25">
      <c r="B168" s="248" t="str">
        <f>"Voorlopig correctiebedrag "&amp;Colofon!$B$21&amp;" niet-netlevering excl. NUE"</f>
        <v>Voorlopig correctiebedrag 2024 niet-netlevering excl. NUE</v>
      </c>
      <c r="C168" s="250">
        <f>IFERROR(ROUND(INDEX(Correctiebedragen!$A$1:$K$256,MATCH('5'!C17,Correctiebedragen!$A$1:$A$256,0),6),decimalen),"n.v.t.")</f>
        <v>0.159</v>
      </c>
    </row>
    <row r="169" spans="2:20" customFormat="1" ht="15" x14ac:dyDescent="0.25">
      <c r="B169" s="249" t="str">
        <f>"Voorlopige GvO-waarde "&amp;Colofon!$B$21</f>
        <v>Voorlopige GvO-waarde 2024</v>
      </c>
      <c r="C169" s="250" t="str">
        <f>IF(C16&gt;0,"netlevering: " &amp; C170 &amp; ", niet-netlevering: " &amp;C171, INDEX(Correctiebedragen!$A$1:$Q$256,MATCH(C12,Correctiebedragen!$A$1:$A$256,0),12))</f>
        <v>netlevering: 0.004, niet-netlevering: 0</v>
      </c>
    </row>
    <row r="170" spans="2:20" customFormat="1" ht="15" x14ac:dyDescent="0.25">
      <c r="B170" s="249" t="str">
        <f>"Voorlopige GvO-waarde "&amp;Colofon!$B$21&amp;" netlevering"</f>
        <v>Voorlopige GvO-waarde 2024 netlevering</v>
      </c>
      <c r="C170" s="250">
        <f>IFERROR(ROUND(INDEX(Correctiebedragen!$A$1:$Q$256,MATCH(C16,Correctiebedragen!$A$1:$A$256,0),12),decimalen),"n.v.t.")</f>
        <v>4.0000000000000001E-3</v>
      </c>
    </row>
    <row r="171" spans="2:20" customFormat="1" ht="15" x14ac:dyDescent="0.25">
      <c r="B171" s="249" t="str">
        <f>"Voorlopige GvO-waarde "&amp;Colofon!$B$21&amp;" niet-netlevering"</f>
        <v>Voorlopige GvO-waarde 2024 niet-netlevering</v>
      </c>
      <c r="C171" s="250">
        <f>IFERROR(ROUND(INDEX(Correctiebedragen!$A$1:$Q$256,MATCH(C17,Correctiebedragen!$A$1:$A$256,0),12),decimalen),"n.v.t.")</f>
        <v>0</v>
      </c>
    </row>
    <row r="172" spans="2:20" customFormat="1" ht="15" x14ac:dyDescent="0.25">
      <c r="B172" s="249" t="s">
        <v>368</v>
      </c>
      <c r="C172" s="292">
        <f>ROUND(IF(AND($C$13=2,$D$155&gt;0),ETS_max_warmte*($D$155/(1+$D$155)),IF(AND($C$13=8,$D$155&gt;0),ETS_max_warmte*($D$155/(1+$D$155))*Aandeel_gasketelwarmtevervanging_in_warmtenet_niet_flexibele_warmte,IF(AND($C$13=6,$C$31&gt;0),ETS_max_warmte*Allocatie_gratis_EUA_warmtenet*(($C$31-1)/$C$31),IF(AND($C$13=7,$C$31&gt;0),ETS_max_warmte*(($C$31-1)/$C$31),IF(AND($C$13=9,$C$31&gt;0),ETS_max_warmte*Aandeel_gasketelwarmtevervanging_in_warmtenet_niet_flexibele_warmte*(100%-((1/$C$31)*Allocatie_gratis_EUA_warmtenet)),VLOOKUP($C$13,'ETS correctie methodes'!$B$4:$G$14,6,FALSE)))))),4)</f>
        <v>0</v>
      </c>
    </row>
    <row r="173" spans="2:20" customFormat="1" ht="15" x14ac:dyDescent="0.25"/>
    <row r="174" spans="2:20" customFormat="1" ht="15" x14ac:dyDescent="0.25">
      <c r="B174" s="7" t="s">
        <v>369</v>
      </c>
      <c r="C174" s="271">
        <f>SUM(E114:INDEX(E114:AR114,1,C94))</f>
        <v>128250000</v>
      </c>
      <c r="E174" s="28"/>
    </row>
    <row r="175" spans="2:20" customFormat="1" ht="26.25" x14ac:dyDescent="0.25">
      <c r="B175" s="256" t="s">
        <v>370</v>
      </c>
      <c r="C175" s="271">
        <f>IF(C95=0,SUM(E114:INDEX(E114:AR114,1,C91)),SUM(E114:INDEX(E114:AR114,1,C95)))</f>
        <v>168250000</v>
      </c>
      <c r="D175" s="257"/>
    </row>
    <row r="176" spans="2:20" customFormat="1" ht="15" x14ac:dyDescent="0.25">
      <c r="B176" s="251" t="s">
        <v>51</v>
      </c>
      <c r="C176" s="269">
        <f>C175/C174</f>
        <v>1.3118908382066277</v>
      </c>
    </row>
    <row r="177" spans="8:8" customFormat="1" ht="15" x14ac:dyDescent="0.25"/>
    <row r="178" spans="8:8" customFormat="1" ht="15" x14ac:dyDescent="0.25"/>
    <row r="179" spans="8:8" customFormat="1" ht="15" x14ac:dyDescent="0.25"/>
    <row r="180" spans="8:8" customFormat="1" ht="15" x14ac:dyDescent="0.25"/>
    <row r="181" spans="8:8" customFormat="1" ht="15" x14ac:dyDescent="0.25"/>
    <row r="182" spans="8:8" customFormat="1" ht="15" x14ac:dyDescent="0.25"/>
    <row r="183" spans="8:8" customFormat="1" ht="15" x14ac:dyDescent="0.25"/>
    <row r="184" spans="8:8" customFormat="1" ht="15" x14ac:dyDescent="0.25"/>
    <row r="185" spans="8:8" customFormat="1" ht="15" x14ac:dyDescent="0.25"/>
    <row r="186" spans="8:8" ht="15" x14ac:dyDescent="0.25">
      <c r="H186"/>
    </row>
    <row r="187" spans="8:8" ht="15" x14ac:dyDescent="0.25">
      <c r="H187"/>
    </row>
    <row r="188" spans="8:8" ht="15" x14ac:dyDescent="0.25">
      <c r="H188"/>
    </row>
    <row r="189" spans="8:8" ht="15" x14ac:dyDescent="0.25">
      <c r="H189"/>
    </row>
    <row r="190" spans="8:8" ht="15" x14ac:dyDescent="0.25">
      <c r="H190"/>
    </row>
    <row r="191" spans="8:8" ht="15" x14ac:dyDescent="0.25">
      <c r="H191"/>
    </row>
    <row r="192" spans="8:8" ht="15" x14ac:dyDescent="0.25">
      <c r="H192"/>
    </row>
    <row r="193" spans="8:8" ht="15" x14ac:dyDescent="0.25">
      <c r="H193"/>
    </row>
    <row r="194" spans="8:8" ht="15" x14ac:dyDescent="0.25">
      <c r="H194"/>
    </row>
    <row r="195" spans="8:8" ht="15" x14ac:dyDescent="0.25">
      <c r="H195"/>
    </row>
    <row r="196" spans="8:8" ht="15" x14ac:dyDescent="0.25">
      <c r="H196"/>
    </row>
    <row r="197" spans="8:8" ht="15" x14ac:dyDescent="0.25">
      <c r="H197"/>
    </row>
    <row r="198" spans="8:8" ht="15" x14ac:dyDescent="0.25">
      <c r="H198"/>
    </row>
  </sheetData>
  <mergeCells count="72">
    <mergeCell ref="B145:AR145"/>
    <mergeCell ref="E90:M90"/>
    <mergeCell ref="E91:M91"/>
    <mergeCell ref="E92:M92"/>
    <mergeCell ref="E93:M93"/>
    <mergeCell ref="E94:M94"/>
    <mergeCell ref="E95:M95"/>
    <mergeCell ref="E96:M96"/>
    <mergeCell ref="E97:M97"/>
    <mergeCell ref="E98:M98"/>
    <mergeCell ref="E99:M99"/>
    <mergeCell ref="B107:AR107"/>
    <mergeCell ref="E89:M89"/>
    <mergeCell ref="E67:M67"/>
    <mergeCell ref="E75:M75"/>
    <mergeCell ref="E80:M80"/>
    <mergeCell ref="E81:M81"/>
    <mergeCell ref="E82:M82"/>
    <mergeCell ref="E83:M83"/>
    <mergeCell ref="E84:M84"/>
    <mergeCell ref="E85:M85"/>
    <mergeCell ref="E86:M86"/>
    <mergeCell ref="E87:M87"/>
    <mergeCell ref="E88:M88"/>
    <mergeCell ref="E60:M60"/>
    <mergeCell ref="E48:M48"/>
    <mergeCell ref="E49:M49"/>
    <mergeCell ref="E50:M50"/>
    <mergeCell ref="E51:M51"/>
    <mergeCell ref="E52:M52"/>
    <mergeCell ref="E53:M53"/>
    <mergeCell ref="E54:M54"/>
    <mergeCell ref="E55:M55"/>
    <mergeCell ref="E57:M57"/>
    <mergeCell ref="E58:M58"/>
    <mergeCell ref="E59:M59"/>
    <mergeCell ref="E46:M46"/>
    <mergeCell ref="E35:M35"/>
    <mergeCell ref="E36:M36"/>
    <mergeCell ref="E37:M37"/>
    <mergeCell ref="E38:M38"/>
    <mergeCell ref="E39:M39"/>
    <mergeCell ref="E40:M40"/>
    <mergeCell ref="E41:M41"/>
    <mergeCell ref="E42:M42"/>
    <mergeCell ref="E43:M43"/>
    <mergeCell ref="E44:M44"/>
    <mergeCell ref="E45:M45"/>
    <mergeCell ref="E34:M34"/>
    <mergeCell ref="E20:M20"/>
    <mergeCell ref="E21:M21"/>
    <mergeCell ref="E23:M23"/>
    <mergeCell ref="E24:M24"/>
    <mergeCell ref="E25:M25"/>
    <mergeCell ref="E26:M26"/>
    <mergeCell ref="E27:M27"/>
    <mergeCell ref="E29:M29"/>
    <mergeCell ref="E30:M30"/>
    <mergeCell ref="E31:M31"/>
    <mergeCell ref="E33:M33"/>
    <mergeCell ref="E19:M19"/>
    <mergeCell ref="E4:M4"/>
    <mergeCell ref="E5:M5"/>
    <mergeCell ref="E6:M6"/>
    <mergeCell ref="E7:M7"/>
    <mergeCell ref="E10:M10"/>
    <mergeCell ref="E12:M12"/>
    <mergeCell ref="E13:M13"/>
    <mergeCell ref="E15:M15"/>
    <mergeCell ref="E16:M16"/>
    <mergeCell ref="E17:M17"/>
    <mergeCell ref="E18:M18"/>
  </mergeCells>
  <conditionalFormatting sqref="G1:G3 G28 G145:G156 G22 G160:G161 G187:G1048576 G105:G110 G171:G185">
    <cfRule type="containsText" dxfId="74" priority="5" operator="containsText" text="Pas op">
      <formula>NOT(ISERROR(SEARCH("Pas op",G1)))</formula>
    </cfRule>
  </conditionalFormatting>
  <conditionalFormatting sqref="G186">
    <cfRule type="containsText" dxfId="73" priority="4" operator="containsText" text="Pas op">
      <formula>NOT(ISERROR(SEARCH("Pas op",G186)))</formula>
    </cfRule>
  </conditionalFormatting>
  <conditionalFormatting sqref="G162 G165 G169:G170">
    <cfRule type="containsText" dxfId="72" priority="3" operator="containsText" text="Pas op">
      <formula>NOT(ISERROR(SEARCH("Pas op",G162)))</formula>
    </cfRule>
  </conditionalFormatting>
  <conditionalFormatting sqref="G100">
    <cfRule type="containsText" dxfId="71" priority="2" operator="containsText" text="Pas op">
      <formula>NOT(ISERROR(SEARCH("Pas op",G100)))</formula>
    </cfRule>
  </conditionalFormatting>
  <conditionalFormatting sqref="G166:G168">
    <cfRule type="containsText" dxfId="70" priority="1" operator="containsText" text="Pas op">
      <formula>NOT(ISERROR(SEARCH("Pas op",G166)))</formula>
    </cfRule>
  </conditionalFormatting>
  <dataValidations count="3">
    <dataValidation type="list" allowBlank="1" showInputMessage="1" showErrorMessage="1" sqref="C10" xr:uid="{1F81024A-8D0D-46DC-97E5-5A579A61FE9A}">
      <formula1>INDIRECT("lst_vermogenseenheid")</formula1>
    </dataValidation>
    <dataValidation type="list" allowBlank="1" showInputMessage="1" showErrorMessage="1" sqref="C9" xr:uid="{EAC617EB-B579-482B-8BF6-C10B23E21F30}">
      <formula1>INDIRECT("lst_productie_eenheid")</formula1>
    </dataValidation>
    <dataValidation type="list" allowBlank="1" showInputMessage="1" showErrorMessage="1" sqref="C37361 IY37361 SU37361 ACQ37361 AMM37361 AWI37361 BGE37361 BQA37361 BZW37361 CJS37361 CTO37361 DDK37361 DNG37361 DXC37361 EGY37361 EQU37361 FAQ37361 FKM37361 FUI37361 GEE37361 GOA37361 GXW37361 HHS37361 HRO37361 IBK37361 ILG37361 IVC37361 JEY37361 JOU37361 JYQ37361 KIM37361 KSI37361 LCE37361 LMA37361 LVW37361 MFS37361 MPO37361 MZK37361 NJG37361 NTC37361 OCY37361 OMU37361 OWQ37361 PGM37361 PQI37361 QAE37361 QKA37361 QTW37361 RDS37361 RNO37361 RXK37361 SHG37361 SRC37361 TAY37361 TKU37361 TUQ37361 UEM37361 UOI37361 UYE37361 VIA37361 VRW37361 WBS37361 WLO37361 WVK37361 C102897 IY102897 SU102897 ACQ102897 AMM102897 AWI102897 BGE102897 BQA102897 BZW102897 CJS102897 CTO102897 DDK102897 DNG102897 DXC102897 EGY102897 EQU102897 FAQ102897 FKM102897 FUI102897 GEE102897 GOA102897 GXW102897 HHS102897 HRO102897 IBK102897 ILG102897 IVC102897 JEY102897 JOU102897 JYQ102897 KIM102897 KSI102897 LCE102897 LMA102897 LVW102897 MFS102897 MPO102897 MZK102897 NJG102897 NTC102897 OCY102897 OMU102897 OWQ102897 PGM102897 PQI102897 QAE102897 QKA102897 QTW102897 RDS102897 RNO102897 RXK102897 SHG102897 SRC102897 TAY102897 TKU102897 TUQ102897 UEM102897 UOI102897 UYE102897 VIA102897 VRW102897 WBS102897 WLO102897 WVK102897 C168433 IY168433 SU168433 ACQ168433 AMM168433 AWI168433 BGE168433 BQA168433 BZW168433 CJS168433 CTO168433 DDK168433 DNG168433 DXC168433 EGY168433 EQU168433 FAQ168433 FKM168433 FUI168433 GEE168433 GOA168433 GXW168433 HHS168433 HRO168433 IBK168433 ILG168433 IVC168433 JEY168433 JOU168433 JYQ168433 KIM168433 KSI168433 LCE168433 LMA168433 LVW168433 MFS168433 MPO168433 MZK168433 NJG168433 NTC168433 OCY168433 OMU168433 OWQ168433 PGM168433 PQI168433 QAE168433 QKA168433 QTW168433 RDS168433 RNO168433 RXK168433 SHG168433 SRC168433 TAY168433 TKU168433 TUQ168433 UEM168433 UOI168433 UYE168433 VIA168433 VRW168433 WBS168433 WLO168433 WVK168433 C233969 IY233969 SU233969 ACQ233969 AMM233969 AWI233969 BGE233969 BQA233969 BZW233969 CJS233969 CTO233969 DDK233969 DNG233969 DXC233969 EGY233969 EQU233969 FAQ233969 FKM233969 FUI233969 GEE233969 GOA233969 GXW233969 HHS233969 HRO233969 IBK233969 ILG233969 IVC233969 JEY233969 JOU233969 JYQ233969 KIM233969 KSI233969 LCE233969 LMA233969 LVW233969 MFS233969 MPO233969 MZK233969 NJG233969 NTC233969 OCY233969 OMU233969 OWQ233969 PGM233969 PQI233969 QAE233969 QKA233969 QTW233969 RDS233969 RNO233969 RXK233969 SHG233969 SRC233969 TAY233969 TKU233969 TUQ233969 UEM233969 UOI233969 UYE233969 VIA233969 VRW233969 WBS233969 WLO233969 WVK233969 C299505 IY299505 SU299505 ACQ299505 AMM299505 AWI299505 BGE299505 BQA299505 BZW299505 CJS299505 CTO299505 DDK299505 DNG299505 DXC299505 EGY299505 EQU299505 FAQ299505 FKM299505 FUI299505 GEE299505 GOA299505 GXW299505 HHS299505 HRO299505 IBK299505 ILG299505 IVC299505 JEY299505 JOU299505 JYQ299505 KIM299505 KSI299505 LCE299505 LMA299505 LVW299505 MFS299505 MPO299505 MZK299505 NJG299505 NTC299505 OCY299505 OMU299505 OWQ299505 PGM299505 PQI299505 QAE299505 QKA299505 QTW299505 RDS299505 RNO299505 RXK299505 SHG299505 SRC299505 TAY299505 TKU299505 TUQ299505 UEM299505 UOI299505 UYE299505 VIA299505 VRW299505 WBS299505 WLO299505 WVK299505 C365041 IY365041 SU365041 ACQ365041 AMM365041 AWI365041 BGE365041 BQA365041 BZW365041 CJS365041 CTO365041 DDK365041 DNG365041 DXC365041 EGY365041 EQU365041 FAQ365041 FKM365041 FUI365041 GEE365041 GOA365041 GXW365041 HHS365041 HRO365041 IBK365041 ILG365041 IVC365041 JEY365041 JOU365041 JYQ365041 KIM365041 KSI365041 LCE365041 LMA365041 LVW365041 MFS365041 MPO365041 MZK365041 NJG365041 NTC365041 OCY365041 OMU365041 OWQ365041 PGM365041 PQI365041 QAE365041 QKA365041 QTW365041 RDS365041 RNO365041 RXK365041 SHG365041 SRC365041 TAY365041 TKU365041 TUQ365041 UEM365041 UOI365041 UYE365041 VIA365041 VRW365041 WBS365041 WLO365041 WVK365041 C430577 IY430577 SU430577 ACQ430577 AMM430577 AWI430577 BGE430577 BQA430577 BZW430577 CJS430577 CTO430577 DDK430577 DNG430577 DXC430577 EGY430577 EQU430577 FAQ430577 FKM430577 FUI430577 GEE430577 GOA430577 GXW430577 HHS430577 HRO430577 IBK430577 ILG430577 IVC430577 JEY430577 JOU430577 JYQ430577 KIM430577 KSI430577 LCE430577 LMA430577 LVW430577 MFS430577 MPO430577 MZK430577 NJG430577 NTC430577 OCY430577 OMU430577 OWQ430577 PGM430577 PQI430577 QAE430577 QKA430577 QTW430577 RDS430577 RNO430577 RXK430577 SHG430577 SRC430577 TAY430577 TKU430577 TUQ430577 UEM430577 UOI430577 UYE430577 VIA430577 VRW430577 WBS430577 WLO430577 WVK430577 C496113 IY496113 SU496113 ACQ496113 AMM496113 AWI496113 BGE496113 BQA496113 BZW496113 CJS496113 CTO496113 DDK496113 DNG496113 DXC496113 EGY496113 EQU496113 FAQ496113 FKM496113 FUI496113 GEE496113 GOA496113 GXW496113 HHS496113 HRO496113 IBK496113 ILG496113 IVC496113 JEY496113 JOU496113 JYQ496113 KIM496113 KSI496113 LCE496113 LMA496113 LVW496113 MFS496113 MPO496113 MZK496113 NJG496113 NTC496113 OCY496113 OMU496113 OWQ496113 PGM496113 PQI496113 QAE496113 QKA496113 QTW496113 RDS496113 RNO496113 RXK496113 SHG496113 SRC496113 TAY496113 TKU496113 TUQ496113 UEM496113 UOI496113 UYE496113 VIA496113 VRW496113 WBS496113 WLO496113 WVK496113 C561649 IY561649 SU561649 ACQ561649 AMM561649 AWI561649 BGE561649 BQA561649 BZW561649 CJS561649 CTO561649 DDK561649 DNG561649 DXC561649 EGY561649 EQU561649 FAQ561649 FKM561649 FUI561649 GEE561649 GOA561649 GXW561649 HHS561649 HRO561649 IBK561649 ILG561649 IVC561649 JEY561649 JOU561649 JYQ561649 KIM561649 KSI561649 LCE561649 LMA561649 LVW561649 MFS561649 MPO561649 MZK561649 NJG561649 NTC561649 OCY561649 OMU561649 OWQ561649 PGM561649 PQI561649 QAE561649 QKA561649 QTW561649 RDS561649 RNO561649 RXK561649 SHG561649 SRC561649 TAY561649 TKU561649 TUQ561649 UEM561649 UOI561649 UYE561649 VIA561649 VRW561649 WBS561649 WLO561649 WVK561649 C627185 IY627185 SU627185 ACQ627185 AMM627185 AWI627185 BGE627185 BQA627185 BZW627185 CJS627185 CTO627185 DDK627185 DNG627185 DXC627185 EGY627185 EQU627185 FAQ627185 FKM627185 FUI627185 GEE627185 GOA627185 GXW627185 HHS627185 HRO627185 IBK627185 ILG627185 IVC627185 JEY627185 JOU627185 JYQ627185 KIM627185 KSI627185 LCE627185 LMA627185 LVW627185 MFS627185 MPO627185 MZK627185 NJG627185 NTC627185 OCY627185 OMU627185 OWQ627185 PGM627185 PQI627185 QAE627185 QKA627185 QTW627185 RDS627185 RNO627185 RXK627185 SHG627185 SRC627185 TAY627185 TKU627185 TUQ627185 UEM627185 UOI627185 UYE627185 VIA627185 VRW627185 WBS627185 WLO627185 WVK627185 C692721 IY692721 SU692721 ACQ692721 AMM692721 AWI692721 BGE692721 BQA692721 BZW692721 CJS692721 CTO692721 DDK692721 DNG692721 DXC692721 EGY692721 EQU692721 FAQ692721 FKM692721 FUI692721 GEE692721 GOA692721 GXW692721 HHS692721 HRO692721 IBK692721 ILG692721 IVC692721 JEY692721 JOU692721 JYQ692721 KIM692721 KSI692721 LCE692721 LMA692721 LVW692721 MFS692721 MPO692721 MZK692721 NJG692721 NTC692721 OCY692721 OMU692721 OWQ692721 PGM692721 PQI692721 QAE692721 QKA692721 QTW692721 RDS692721 RNO692721 RXK692721 SHG692721 SRC692721 TAY692721 TKU692721 TUQ692721 UEM692721 UOI692721 UYE692721 VIA692721 VRW692721 WBS692721 WLO692721 WVK692721 C758257 IY758257 SU758257 ACQ758257 AMM758257 AWI758257 BGE758257 BQA758257 BZW758257 CJS758257 CTO758257 DDK758257 DNG758257 DXC758257 EGY758257 EQU758257 FAQ758257 FKM758257 FUI758257 GEE758257 GOA758257 GXW758257 HHS758257 HRO758257 IBK758257 ILG758257 IVC758257 JEY758257 JOU758257 JYQ758257 KIM758257 KSI758257 LCE758257 LMA758257 LVW758257 MFS758257 MPO758257 MZK758257 NJG758257 NTC758257 OCY758257 OMU758257 OWQ758257 PGM758257 PQI758257 QAE758257 QKA758257 QTW758257 RDS758257 RNO758257 RXK758257 SHG758257 SRC758257 TAY758257 TKU758257 TUQ758257 UEM758257 UOI758257 UYE758257 VIA758257 VRW758257 WBS758257 WLO758257 WVK758257 C823793 IY823793 SU823793 ACQ823793 AMM823793 AWI823793 BGE823793 BQA823793 BZW823793 CJS823793 CTO823793 DDK823793 DNG823793 DXC823793 EGY823793 EQU823793 FAQ823793 FKM823793 FUI823793 GEE823793 GOA823793 GXW823793 HHS823793 HRO823793 IBK823793 ILG823793 IVC823793 JEY823793 JOU823793 JYQ823793 KIM823793 KSI823793 LCE823793 LMA823793 LVW823793 MFS823793 MPO823793 MZK823793 NJG823793 NTC823793 OCY823793 OMU823793 OWQ823793 PGM823793 PQI823793 QAE823793 QKA823793 QTW823793 RDS823793 RNO823793 RXK823793 SHG823793 SRC823793 TAY823793 TKU823793 TUQ823793 UEM823793 UOI823793 UYE823793 VIA823793 VRW823793 WBS823793 WLO823793 WVK823793 C889329 IY889329 SU889329 ACQ889329 AMM889329 AWI889329 BGE889329 BQA889329 BZW889329 CJS889329 CTO889329 DDK889329 DNG889329 DXC889329 EGY889329 EQU889329 FAQ889329 FKM889329 FUI889329 GEE889329 GOA889329 GXW889329 HHS889329 HRO889329 IBK889329 ILG889329 IVC889329 JEY889329 JOU889329 JYQ889329 KIM889329 KSI889329 LCE889329 LMA889329 LVW889329 MFS889329 MPO889329 MZK889329 NJG889329 NTC889329 OCY889329 OMU889329 OWQ889329 PGM889329 PQI889329 QAE889329 QKA889329 QTW889329 RDS889329 RNO889329 RXK889329 SHG889329 SRC889329 TAY889329 TKU889329 TUQ889329 UEM889329 UOI889329 UYE889329 VIA889329 VRW889329 WBS889329 WLO889329 WVK889329 C954865 IY954865 SU954865 ACQ954865 AMM954865 AWI954865 BGE954865 BQA954865 BZW954865 CJS954865 CTO954865 DDK954865 DNG954865 DXC954865 EGY954865 EQU954865 FAQ954865 FKM954865 FUI954865 GEE954865 GOA954865 GXW954865 HHS954865 HRO954865 IBK954865 ILG954865 IVC954865 JEY954865 JOU954865 JYQ954865 KIM954865 KSI954865 LCE954865 LMA954865 LVW954865 MFS954865 MPO954865 MZK954865 NJG954865 NTC954865 OCY954865 OMU954865 OWQ954865 PGM954865 PQI954865 QAE954865 QKA954865 QTW954865 RDS954865 RNO954865 RXK954865 SHG954865 SRC954865 TAY954865 TKU954865 TUQ954865 UEM954865 UOI954865 UYE954865 VIA954865 VRW954865 WBS954865 WLO954865 WVK954865" xr:uid="{8757D201-1C4A-41CD-8A48-32B552F55FFD}">
      <formula1>"ja,nee"</formula1>
    </dataValidation>
  </dataValidations>
  <pageMargins left="0.7" right="0.7" top="0.75" bottom="0.75" header="0.3" footer="0.3"/>
  <pageSetup paperSize="9" scale="1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4C6EE49-33C9-4B9E-AD54-E2E10365B4B9}">
          <x14:formula1>
            <xm:f>'ETS correctie methodes'!$B$4:$B$14</xm:f>
          </x14:formula1>
          <xm:sqref>C13</xm:sqref>
        </x14:dataValidation>
        <x14:dataValidation type="list" allowBlank="1" showInputMessage="1" showErrorMessage="1" xr:uid="{34400860-2202-4F7D-99C0-35BE27BC9B17}">
          <x14:formula1>
            <xm:f>Colofon!$A$51:$A$56</xm:f>
          </x14:formula1>
          <xm:sqref>C11</xm:sqref>
        </x14:dataValidation>
        <x14:dataValidation type="list" allowBlank="1" showInputMessage="1" showErrorMessage="1" xr:uid="{140C66AA-4CCC-439A-A20A-EA959DEF0628}">
          <x14:formula1>
            <xm:f>Correctiebedragen!$A$3:$A$7</xm:f>
          </x14:formula1>
          <xm:sqref>C12 C16:C17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cdee1c-0907-4074-9b46-ea45381e496c" xsi:nil="true"/>
    <lcf76f155ced4ddcb4097134ff3c332f xmlns="83b1ee3b-81ea-4e1d-9c3c-7dade408bfdb">
      <Terms xmlns="http://schemas.microsoft.com/office/infopath/2007/PartnerControls"/>
    </lcf76f155ced4ddcb4097134ff3c332f>
    <SharedWithUsers xmlns="0ecdee1c-0907-4074-9b46-ea45381e496c">
      <UserInfo>
        <DisplayName>Beurskens, L.W.M. (Luuk)</DisplayName>
        <AccountId>16</AccountId>
        <AccountType/>
      </UserInfo>
      <UserInfo>
        <DisplayName>Welle, A.J. (Adriaan) van der</DisplayName>
        <AccountId>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A13979C982CE41BB9A7BED8F58D331" ma:contentTypeVersion="16" ma:contentTypeDescription="Een nieuw document maken." ma:contentTypeScope="" ma:versionID="bbbb926ca7dc2a5444ead17dce44d7e7">
  <xsd:schema xmlns:xsd="http://www.w3.org/2001/XMLSchema" xmlns:xs="http://www.w3.org/2001/XMLSchema" xmlns:p="http://schemas.microsoft.com/office/2006/metadata/properties" xmlns:ns2="83b1ee3b-81ea-4e1d-9c3c-7dade408bfdb" xmlns:ns3="0ecdee1c-0907-4074-9b46-ea45381e496c" targetNamespace="http://schemas.microsoft.com/office/2006/metadata/properties" ma:root="true" ma:fieldsID="111d73014017a1a0d7bbbdb9d656bf86" ns2:_="" ns3:_="">
    <xsd:import namespace="83b1ee3b-81ea-4e1d-9c3c-7dade408bfdb"/>
    <xsd:import namespace="0ecdee1c-0907-4074-9b46-ea45381e49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b1ee3b-81ea-4e1d-9c3c-7dade408b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990300c-d600-4513-9bff-3e9eb93c7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dee1c-0907-4074-9b46-ea45381e49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afbf30-835a-4e61-b939-986c174f6194}" ma:internalName="TaxCatchAll" ma:showField="CatchAllData" ma:web="0ecdee1c-0907-4074-9b46-ea45381e49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A7A46-51D7-496B-9017-6F1A38F19821}">
  <ds:schemaRefs>
    <ds:schemaRef ds:uri="http://schemas.microsoft.com/sharepoint/v3/contenttype/forms"/>
  </ds:schemaRefs>
</ds:datastoreItem>
</file>

<file path=customXml/itemProps2.xml><?xml version="1.0" encoding="utf-8"?>
<ds:datastoreItem xmlns:ds="http://schemas.openxmlformats.org/officeDocument/2006/customXml" ds:itemID="{9DC0500D-77FB-4B1E-9C16-A19748FE7E0D}">
  <ds:schemaRefs>
    <ds:schemaRef ds:uri="http://schemas.openxmlformats.org/package/2006/metadata/core-properties"/>
    <ds:schemaRef ds:uri="http://schemas.microsoft.com/office/2006/documentManagement/types"/>
    <ds:schemaRef ds:uri="83b1ee3b-81ea-4e1d-9c3c-7dade408bfdb"/>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0ecdee1c-0907-4074-9b46-ea45381e496c"/>
    <ds:schemaRef ds:uri="http://purl.org/dc/dcmitype/"/>
  </ds:schemaRefs>
</ds:datastoreItem>
</file>

<file path=customXml/itemProps3.xml><?xml version="1.0" encoding="utf-8"?>
<ds:datastoreItem xmlns:ds="http://schemas.openxmlformats.org/officeDocument/2006/customXml" ds:itemID="{11B43259-1467-48DF-9045-7382A1604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b1ee3b-81ea-4e1d-9c3c-7dade408bfdb"/>
    <ds:schemaRef ds:uri="0ecdee1c-0907-4074-9b46-ea45381e49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11</vt:i4>
      </vt:variant>
    </vt:vector>
  </HeadingPairs>
  <TitlesOfParts>
    <vt:vector size="34" baseType="lpstr">
      <vt:lpstr>Colofon</vt:lpstr>
      <vt:lpstr>Overzicht</vt:lpstr>
      <vt:lpstr>Correctiebedragen</vt:lpstr>
      <vt:lpstr>ETS correctie methodes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Aandeel_gasketelwarmtevervanging_in_warmtenet_flexibele_warmte</vt:lpstr>
      <vt:lpstr>Aandeel_gasketelwarmtevervanging_in_warmtenet_niet_flexibele_warmte</vt:lpstr>
      <vt:lpstr>Allocatie_gratis_EUA_warmtenet</vt:lpstr>
      <vt:lpstr>decimalen</vt:lpstr>
      <vt:lpstr>eff_gasketel</vt:lpstr>
      <vt:lpstr>Emfac_gas</vt:lpstr>
      <vt:lpstr>ETS_max_warmte</vt:lpstr>
      <vt:lpstr>EUA_prijs</vt:lpstr>
      <vt:lpstr>Gasbesparing_EOP</vt:lpstr>
      <vt:lpstr>Gasbesparing_HG</vt:lpstr>
      <vt:lpstr>Niet_CL_gevoelig_offshore_gaswinning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Pisca, iulia</dc:creator>
  <cp:keywords/>
  <dc:description/>
  <cp:lastModifiedBy>Peters, Jeroen</cp:lastModifiedBy>
  <cp:revision/>
  <dcterms:created xsi:type="dcterms:W3CDTF">2019-08-15T13:37:42Z</dcterms:created>
  <dcterms:modified xsi:type="dcterms:W3CDTF">2024-02-13T12:27:21Z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0x01010038A13979C982CE41BB9A7BED8F58D331</vt:lpwstr>
  </property>
  <property fmtid="{D5CDD505-2E9C-101B-9397-08002B2CF9AE}" pid="3" name="MediaServiceImageTags">
    <vt:lpwstr/>
  </property>
</Properties>
</file>