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:\Desktop\Maximum\"/>
    </mc:Choice>
  </mc:AlternateContent>
  <xr:revisionPtr revIDLastSave="0" documentId="13_ncr:1_{C583B580-B2D4-49F9-AB0D-1A6648ED4B88}" xr6:coauthVersionLast="47" xr6:coauthVersionMax="47" xr10:uidLastSave="{00000000-0000-0000-0000-000000000000}"/>
  <bookViews>
    <workbookView xWindow="-120" yWindow="-120" windowWidth="29040" windowHeight="16440" tabRatio="744" xr2:uid="{00000000-000D-0000-FFFF-FFFF00000000}"/>
  </bookViews>
  <sheets>
    <sheet name="Colofon" sheetId="1" r:id="rId1"/>
    <sheet name="Correcties" sheetId="5" r:id="rId2"/>
    <sheet name="IJv-a" sheetId="2319" r:id="rId3"/>
    <sheet name="IJv-b" sheetId="2480" r:id="rId4"/>
    <sheet name="IJv-g (a)" sheetId="2481" r:id="rId5"/>
    <sheet name="IJv-g (b)" sheetId="2482" r:id="rId6"/>
    <sheet name="N1 (a)" sheetId="2483" r:id="rId7"/>
    <sheet name="N1 (b)" sheetId="2484" r:id="rId8"/>
    <sheet name="N2" sheetId="2485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0" i="2485" l="1"/>
  <c r="C80" i="2484"/>
  <c r="C80" i="2483"/>
  <c r="C80" i="2482"/>
  <c r="C80" i="2481"/>
  <c r="C80" i="2480"/>
  <c r="C80" i="2319"/>
  <c r="D101" i="2485" l="1"/>
  <c r="D101" i="2484"/>
  <c r="D101" i="2483"/>
  <c r="D101" i="2482"/>
  <c r="D101" i="2480"/>
  <c r="D101" i="2319"/>
  <c r="D101" i="2481" l="1"/>
  <c r="E105" i="2319" l="1"/>
  <c r="D169" i="2485"/>
  <c r="C169" i="2485"/>
  <c r="D168" i="2485"/>
  <c r="C168" i="2485"/>
  <c r="D166" i="2485"/>
  <c r="C166" i="2485"/>
  <c r="B166" i="2485"/>
  <c r="D165" i="2485"/>
  <c r="B165" i="2485"/>
  <c r="D164" i="2485"/>
  <c r="D163" i="2485"/>
  <c r="D150" i="2485"/>
  <c r="AR146" i="2485"/>
  <c r="AQ146" i="2485"/>
  <c r="AP146" i="2485"/>
  <c r="AO146" i="2485"/>
  <c r="AN146" i="2485"/>
  <c r="AM146" i="2485"/>
  <c r="AL146" i="2485"/>
  <c r="AK146" i="2485"/>
  <c r="AJ146" i="2485"/>
  <c r="AI146" i="2485"/>
  <c r="AH146" i="2485"/>
  <c r="AG146" i="2485"/>
  <c r="AF146" i="2485"/>
  <c r="AE146" i="2485"/>
  <c r="AD146" i="2485"/>
  <c r="AC146" i="2485"/>
  <c r="AB146" i="2485"/>
  <c r="AA146" i="2485"/>
  <c r="Z146" i="2485"/>
  <c r="Y146" i="2485"/>
  <c r="X146" i="2485"/>
  <c r="W146" i="2485"/>
  <c r="V146" i="2485"/>
  <c r="U146" i="2485"/>
  <c r="T146" i="2485"/>
  <c r="AR144" i="2485"/>
  <c r="AQ144" i="2485"/>
  <c r="AP144" i="2485"/>
  <c r="AO144" i="2485"/>
  <c r="AN144" i="2485"/>
  <c r="AM144" i="2485"/>
  <c r="AL144" i="2485"/>
  <c r="AK144" i="2485"/>
  <c r="AJ144" i="2485"/>
  <c r="AI144" i="2485"/>
  <c r="AH144" i="2485"/>
  <c r="AG144" i="2485"/>
  <c r="AF144" i="2485"/>
  <c r="AE144" i="2485"/>
  <c r="AD144" i="2485"/>
  <c r="AC144" i="2485"/>
  <c r="AB144" i="2485"/>
  <c r="AA144" i="2485"/>
  <c r="Z144" i="2485"/>
  <c r="Y144" i="2485"/>
  <c r="X144" i="2485"/>
  <c r="W144" i="2485"/>
  <c r="V144" i="2485"/>
  <c r="U144" i="2485"/>
  <c r="T144" i="2485"/>
  <c r="C144" i="2485"/>
  <c r="AR135" i="2485"/>
  <c r="AQ135" i="2485"/>
  <c r="AP135" i="2485"/>
  <c r="AO135" i="2485"/>
  <c r="AN135" i="2485"/>
  <c r="AM135" i="2485"/>
  <c r="AL135" i="2485"/>
  <c r="AK135" i="2485"/>
  <c r="AJ135" i="2485"/>
  <c r="AI135" i="2485"/>
  <c r="AH135" i="2485"/>
  <c r="AG135" i="2485"/>
  <c r="AF135" i="2485"/>
  <c r="AE135" i="2485"/>
  <c r="AD135" i="2485"/>
  <c r="AC135" i="2485"/>
  <c r="AB135" i="2485"/>
  <c r="AA135" i="2485"/>
  <c r="Z135" i="2485"/>
  <c r="Y135" i="2485"/>
  <c r="X135" i="2485"/>
  <c r="W135" i="2485"/>
  <c r="V135" i="2485"/>
  <c r="U135" i="2485"/>
  <c r="T135" i="2485"/>
  <c r="AR134" i="2485"/>
  <c r="AQ134" i="2485"/>
  <c r="AP134" i="2485"/>
  <c r="AO134" i="2485"/>
  <c r="AN134" i="2485"/>
  <c r="AM134" i="2485"/>
  <c r="AL134" i="2485"/>
  <c r="AK134" i="2485"/>
  <c r="AJ134" i="2485"/>
  <c r="AI134" i="2485"/>
  <c r="AH134" i="2485"/>
  <c r="AG134" i="2485"/>
  <c r="AF134" i="2485"/>
  <c r="AE134" i="2485"/>
  <c r="AD134" i="2485"/>
  <c r="AC134" i="2485"/>
  <c r="AB134" i="2485"/>
  <c r="AA134" i="2485"/>
  <c r="Z134" i="2485"/>
  <c r="Y134" i="2485"/>
  <c r="X134" i="2485"/>
  <c r="W134" i="2485"/>
  <c r="V134" i="2485"/>
  <c r="U134" i="2485"/>
  <c r="T134" i="2485"/>
  <c r="AR133" i="2485"/>
  <c r="AQ133" i="2485"/>
  <c r="AP133" i="2485"/>
  <c r="AO133" i="2485"/>
  <c r="AN133" i="2485"/>
  <c r="AM133" i="2485"/>
  <c r="AL133" i="2485"/>
  <c r="AK133" i="2485"/>
  <c r="AJ133" i="2485"/>
  <c r="AI133" i="2485"/>
  <c r="AH133" i="2485"/>
  <c r="AG133" i="2485"/>
  <c r="AF133" i="2485"/>
  <c r="AE133" i="2485"/>
  <c r="AD133" i="2485"/>
  <c r="AC133" i="2485"/>
  <c r="AB133" i="2485"/>
  <c r="AA133" i="2485"/>
  <c r="Z133" i="2485"/>
  <c r="Y133" i="2485"/>
  <c r="W124" i="2485"/>
  <c r="E124" i="2485"/>
  <c r="C124" i="2485"/>
  <c r="E123" i="2485"/>
  <c r="C123" i="2485"/>
  <c r="AR122" i="2485"/>
  <c r="AQ122" i="2485"/>
  <c r="AP122" i="2485"/>
  <c r="AO122" i="2485"/>
  <c r="AN122" i="2485"/>
  <c r="AM122" i="2485"/>
  <c r="AL122" i="2485"/>
  <c r="AK122" i="2485"/>
  <c r="AJ122" i="2485"/>
  <c r="AI122" i="2485"/>
  <c r="AH122" i="2485"/>
  <c r="AG122" i="2485"/>
  <c r="AF122" i="2485"/>
  <c r="AE122" i="2485"/>
  <c r="AD122" i="2485"/>
  <c r="AC122" i="2485"/>
  <c r="AB122" i="2485"/>
  <c r="AA122" i="2485"/>
  <c r="Z122" i="2485"/>
  <c r="Y122" i="2485"/>
  <c r="X122" i="2485"/>
  <c r="W122" i="2485"/>
  <c r="V122" i="2485"/>
  <c r="U122" i="2485"/>
  <c r="T122" i="2485"/>
  <c r="S122" i="2485"/>
  <c r="R122" i="2485"/>
  <c r="Q122" i="2485"/>
  <c r="P122" i="2485"/>
  <c r="O122" i="2485"/>
  <c r="N122" i="2485"/>
  <c r="M122" i="2485"/>
  <c r="L122" i="2485"/>
  <c r="K122" i="2485"/>
  <c r="J122" i="2485"/>
  <c r="I122" i="2485"/>
  <c r="H122" i="2485"/>
  <c r="G122" i="2485"/>
  <c r="F122" i="2485"/>
  <c r="E122" i="2485"/>
  <c r="AR121" i="2485"/>
  <c r="AQ121" i="2485"/>
  <c r="AP121" i="2485"/>
  <c r="AO121" i="2485"/>
  <c r="AN121" i="2485"/>
  <c r="S121" i="2485"/>
  <c r="R121" i="2485"/>
  <c r="Q121" i="2485"/>
  <c r="P121" i="2485"/>
  <c r="O121" i="2485"/>
  <c r="N121" i="2485"/>
  <c r="M121" i="2485"/>
  <c r="L121" i="2485"/>
  <c r="K121" i="2485"/>
  <c r="J121" i="2485"/>
  <c r="I121" i="2485"/>
  <c r="H121" i="2485"/>
  <c r="G121" i="2485"/>
  <c r="F121" i="2485"/>
  <c r="E121" i="2485"/>
  <c r="AR120" i="2485"/>
  <c r="AQ120" i="2485"/>
  <c r="AP120" i="2485"/>
  <c r="AO120" i="2485"/>
  <c r="AN120" i="2485"/>
  <c r="AM120" i="2485"/>
  <c r="AL120" i="2485"/>
  <c r="AK120" i="2485"/>
  <c r="AJ120" i="2485"/>
  <c r="AI120" i="2485"/>
  <c r="AH120" i="2485"/>
  <c r="AG120" i="2485"/>
  <c r="AF120" i="2485"/>
  <c r="AE120" i="2485"/>
  <c r="AD120" i="2485"/>
  <c r="AC120" i="2485"/>
  <c r="AB120" i="2485"/>
  <c r="AA120" i="2485"/>
  <c r="Z120" i="2485"/>
  <c r="Y120" i="2485"/>
  <c r="X120" i="2485"/>
  <c r="W120" i="2485"/>
  <c r="V120" i="2485"/>
  <c r="U120" i="2485"/>
  <c r="T120" i="2485"/>
  <c r="S120" i="2485"/>
  <c r="R120" i="2485"/>
  <c r="Q120" i="2485"/>
  <c r="P120" i="2485"/>
  <c r="O120" i="2485"/>
  <c r="N120" i="2485"/>
  <c r="M120" i="2485"/>
  <c r="L120" i="2485"/>
  <c r="K120" i="2485"/>
  <c r="J120" i="2485"/>
  <c r="I120" i="2485"/>
  <c r="H120" i="2485"/>
  <c r="G120" i="2485"/>
  <c r="F120" i="2485"/>
  <c r="E120" i="2485"/>
  <c r="AR119" i="2485"/>
  <c r="AQ119" i="2485"/>
  <c r="AP119" i="2485"/>
  <c r="AO119" i="2485"/>
  <c r="AN119" i="2485"/>
  <c r="C117" i="2485"/>
  <c r="AR116" i="2485"/>
  <c r="AQ116" i="2485"/>
  <c r="AP116" i="2485"/>
  <c r="AO116" i="2485"/>
  <c r="AN116" i="2485"/>
  <c r="AM116" i="2485"/>
  <c r="AL116" i="2485"/>
  <c r="AK116" i="2485"/>
  <c r="AJ116" i="2485"/>
  <c r="AI116" i="2485"/>
  <c r="AH116" i="2485"/>
  <c r="AG116" i="2485"/>
  <c r="AF116" i="2485"/>
  <c r="AE116" i="2485"/>
  <c r="AD116" i="2485"/>
  <c r="AC116" i="2485"/>
  <c r="AB116" i="2485"/>
  <c r="AA116" i="2485"/>
  <c r="Z116" i="2485"/>
  <c r="Y116" i="2485"/>
  <c r="X116" i="2485"/>
  <c r="W116" i="2485"/>
  <c r="V116" i="2485"/>
  <c r="U116" i="2485"/>
  <c r="T116" i="2485"/>
  <c r="S116" i="2485"/>
  <c r="R116" i="2485"/>
  <c r="Q116" i="2485"/>
  <c r="P116" i="2485"/>
  <c r="O116" i="2485"/>
  <c r="N116" i="2485"/>
  <c r="M116" i="2485"/>
  <c r="L116" i="2485"/>
  <c r="K116" i="2485"/>
  <c r="J116" i="2485"/>
  <c r="I116" i="2485"/>
  <c r="H116" i="2485"/>
  <c r="G116" i="2485"/>
  <c r="F116" i="2485"/>
  <c r="E116" i="2485"/>
  <c r="AR115" i="2485"/>
  <c r="AQ115" i="2485"/>
  <c r="AP115" i="2485"/>
  <c r="AO115" i="2485"/>
  <c r="AN115" i="2485"/>
  <c r="AM115" i="2485"/>
  <c r="AL115" i="2485"/>
  <c r="AK115" i="2485"/>
  <c r="AJ115" i="2485"/>
  <c r="AI115" i="2485"/>
  <c r="AH115" i="2485"/>
  <c r="AG115" i="2485"/>
  <c r="AF115" i="2485"/>
  <c r="AE115" i="2485"/>
  <c r="AD115" i="2485"/>
  <c r="AC115" i="2485"/>
  <c r="AB115" i="2485"/>
  <c r="AA115" i="2485"/>
  <c r="Z115" i="2485"/>
  <c r="Y115" i="2485"/>
  <c r="X115" i="2485"/>
  <c r="W115" i="2485"/>
  <c r="V115" i="2485"/>
  <c r="U115" i="2485"/>
  <c r="T115" i="2485"/>
  <c r="S115" i="2485"/>
  <c r="R115" i="2485"/>
  <c r="Q115" i="2485"/>
  <c r="P115" i="2485"/>
  <c r="O115" i="2485"/>
  <c r="N115" i="2485"/>
  <c r="M115" i="2485"/>
  <c r="L115" i="2485"/>
  <c r="K115" i="2485"/>
  <c r="J115" i="2485"/>
  <c r="I115" i="2485"/>
  <c r="H115" i="2485"/>
  <c r="G115" i="2485"/>
  <c r="F115" i="2485"/>
  <c r="E115" i="2485"/>
  <c r="C115" i="2485"/>
  <c r="C114" i="2485"/>
  <c r="AR108" i="2485"/>
  <c r="AQ108" i="2485"/>
  <c r="AP108" i="2485"/>
  <c r="AO108" i="2485"/>
  <c r="AN108" i="2485"/>
  <c r="AM108" i="2485"/>
  <c r="AM107" i="2485" s="1"/>
  <c r="AL108" i="2485"/>
  <c r="AK108" i="2485"/>
  <c r="AJ108" i="2485"/>
  <c r="AI108" i="2485"/>
  <c r="AI107" i="2485" s="1"/>
  <c r="AH108" i="2485"/>
  <c r="AH107" i="2485" s="1"/>
  <c r="AG108" i="2485"/>
  <c r="AG107" i="2485" s="1"/>
  <c r="AF108" i="2485"/>
  <c r="AF107" i="2485" s="1"/>
  <c r="AF123" i="2485" s="1"/>
  <c r="AE108" i="2485"/>
  <c r="AE107" i="2485" s="1"/>
  <c r="AE123" i="2485" s="1"/>
  <c r="AD108" i="2485"/>
  <c r="AD107" i="2485" s="1"/>
  <c r="AC108" i="2485"/>
  <c r="AB108" i="2485"/>
  <c r="AB107" i="2485" s="1"/>
  <c r="AA108" i="2485"/>
  <c r="Z108" i="2485"/>
  <c r="Z107" i="2485" s="1"/>
  <c r="Y108" i="2485"/>
  <c r="Y107" i="2485" s="1"/>
  <c r="X108" i="2485"/>
  <c r="X107" i="2485" s="1"/>
  <c r="X123" i="2485" s="1"/>
  <c r="W108" i="2485"/>
  <c r="W107" i="2485" s="1"/>
  <c r="W123" i="2485" s="1"/>
  <c r="V108" i="2485"/>
  <c r="V107" i="2485" s="1"/>
  <c r="V123" i="2485" s="1"/>
  <c r="U108" i="2485"/>
  <c r="U107" i="2485" s="1"/>
  <c r="T108" i="2485"/>
  <c r="S108" i="2485"/>
  <c r="R108" i="2485"/>
  <c r="R107" i="2485" s="1"/>
  <c r="R123" i="2485" s="1"/>
  <c r="Q108" i="2485"/>
  <c r="Q107" i="2485" s="1"/>
  <c r="P108" i="2485"/>
  <c r="P107" i="2485" s="1"/>
  <c r="O108" i="2485"/>
  <c r="O107" i="2485" s="1"/>
  <c r="N108" i="2485"/>
  <c r="N107" i="2485" s="1"/>
  <c r="N123" i="2485" s="1"/>
  <c r="M108" i="2485"/>
  <c r="M107" i="2485" s="1"/>
  <c r="M123" i="2485" s="1"/>
  <c r="L108" i="2485"/>
  <c r="K108" i="2485"/>
  <c r="J108" i="2485"/>
  <c r="I108" i="2485"/>
  <c r="I107" i="2485" s="1"/>
  <c r="I123" i="2485" s="1"/>
  <c r="H108" i="2485"/>
  <c r="H107" i="2485" s="1"/>
  <c r="G108" i="2485"/>
  <c r="G107" i="2485" s="1"/>
  <c r="F108" i="2485"/>
  <c r="E108" i="2485"/>
  <c r="AR107" i="2485"/>
  <c r="AR123" i="2485" s="1"/>
  <c r="AQ107" i="2485"/>
  <c r="AP107" i="2485"/>
  <c r="AO107" i="2485"/>
  <c r="AO123" i="2485" s="1"/>
  <c r="AN107" i="2485"/>
  <c r="AN123" i="2485" s="1"/>
  <c r="AK107" i="2485"/>
  <c r="AK123" i="2485" s="1"/>
  <c r="AJ107" i="2485"/>
  <c r="AJ123" i="2485" s="1"/>
  <c r="AA107" i="2485"/>
  <c r="AA123" i="2485" s="1"/>
  <c r="S107" i="2485"/>
  <c r="L107" i="2485"/>
  <c r="J107" i="2485"/>
  <c r="J123" i="2485" s="1"/>
  <c r="F107" i="2485"/>
  <c r="D107" i="2485"/>
  <c r="AR106" i="2485"/>
  <c r="AR124" i="2485" s="1"/>
  <c r="AQ106" i="2485"/>
  <c r="AQ124" i="2485" s="1"/>
  <c r="AP106" i="2485"/>
  <c r="AP124" i="2485" s="1"/>
  <c r="AO106" i="2485"/>
  <c r="AO124" i="2485" s="1"/>
  <c r="AN106" i="2485"/>
  <c r="AN124" i="2485" s="1"/>
  <c r="AM106" i="2485"/>
  <c r="AM124" i="2485" s="1"/>
  <c r="AL106" i="2485"/>
  <c r="AL124" i="2485" s="1"/>
  <c r="AK106" i="2485"/>
  <c r="AK124" i="2485" s="1"/>
  <c r="AJ106" i="2485"/>
  <c r="AJ124" i="2485" s="1"/>
  <c r="AI106" i="2485"/>
  <c r="AI124" i="2485" s="1"/>
  <c r="AH106" i="2485"/>
  <c r="AH124" i="2485" s="1"/>
  <c r="AG106" i="2485"/>
  <c r="AG124" i="2485" s="1"/>
  <c r="AF106" i="2485"/>
  <c r="AF124" i="2485" s="1"/>
  <c r="AE106" i="2485"/>
  <c r="AE124" i="2485" s="1"/>
  <c r="AD106" i="2485"/>
  <c r="AD124" i="2485" s="1"/>
  <c r="AC106" i="2485"/>
  <c r="AC124" i="2485" s="1"/>
  <c r="AB106" i="2485"/>
  <c r="AB124" i="2485" s="1"/>
  <c r="AA106" i="2485"/>
  <c r="AA124" i="2485" s="1"/>
  <c r="Z106" i="2485"/>
  <c r="Z124" i="2485" s="1"/>
  <c r="Y106" i="2485"/>
  <c r="Y124" i="2485" s="1"/>
  <c r="X106" i="2485"/>
  <c r="X124" i="2485" s="1"/>
  <c r="W106" i="2485"/>
  <c r="V106" i="2485"/>
  <c r="V124" i="2485" s="1"/>
  <c r="U106" i="2485"/>
  <c r="U124" i="2485" s="1"/>
  <c r="T106" i="2485"/>
  <c r="T124" i="2485" s="1"/>
  <c r="S106" i="2485"/>
  <c r="S124" i="2485" s="1"/>
  <c r="R106" i="2485"/>
  <c r="R124" i="2485" s="1"/>
  <c r="Q106" i="2485"/>
  <c r="Q124" i="2485" s="1"/>
  <c r="P106" i="2485"/>
  <c r="P124" i="2485" s="1"/>
  <c r="O106" i="2485"/>
  <c r="O124" i="2485" s="1"/>
  <c r="N106" i="2485"/>
  <c r="N124" i="2485" s="1"/>
  <c r="M106" i="2485"/>
  <c r="M124" i="2485" s="1"/>
  <c r="L106" i="2485"/>
  <c r="L124" i="2485" s="1"/>
  <c r="K106" i="2485"/>
  <c r="K124" i="2485" s="1"/>
  <c r="J106" i="2485"/>
  <c r="J124" i="2485" s="1"/>
  <c r="I106" i="2485"/>
  <c r="I124" i="2485" s="1"/>
  <c r="H106" i="2485"/>
  <c r="H124" i="2485" s="1"/>
  <c r="G106" i="2485"/>
  <c r="G124" i="2485" s="1"/>
  <c r="F106" i="2485"/>
  <c r="F124" i="2485" s="1"/>
  <c r="D106" i="2485"/>
  <c r="E105" i="2485"/>
  <c r="C92" i="2485"/>
  <c r="C153" i="2485" s="1"/>
  <c r="D85" i="2485"/>
  <c r="D84" i="2485"/>
  <c r="D70" i="2485"/>
  <c r="D65" i="2485"/>
  <c r="D64" i="2485"/>
  <c r="D63" i="2485"/>
  <c r="C60" i="2485"/>
  <c r="D59" i="2485"/>
  <c r="C58" i="2485"/>
  <c r="D57" i="2485"/>
  <c r="C56" i="2485"/>
  <c r="D55" i="2485"/>
  <c r="C53" i="2485"/>
  <c r="D49" i="2485"/>
  <c r="C49" i="2485"/>
  <c r="D48" i="2485"/>
  <c r="E47" i="2485"/>
  <c r="D47" i="2485"/>
  <c r="E46" i="2485"/>
  <c r="D46" i="2485"/>
  <c r="E45" i="2485"/>
  <c r="D45" i="2485"/>
  <c r="C35" i="2485"/>
  <c r="C33" i="2485"/>
  <c r="C27" i="2485"/>
  <c r="C25" i="2485"/>
  <c r="E16" i="2485"/>
  <c r="D16" i="2485"/>
  <c r="E15" i="2485"/>
  <c r="D15" i="2485"/>
  <c r="E13" i="2485"/>
  <c r="D13" i="2485"/>
  <c r="E12" i="2485"/>
  <c r="D12" i="2485"/>
  <c r="C8" i="2485"/>
  <c r="D40" i="2485" s="1"/>
  <c r="D5" i="2485"/>
  <c r="A1" i="2485"/>
  <c r="D169" i="2484"/>
  <c r="C169" i="2484"/>
  <c r="D168" i="2484"/>
  <c r="C168" i="2484"/>
  <c r="D166" i="2484"/>
  <c r="C166" i="2484"/>
  <c r="B166" i="2484"/>
  <c r="D165" i="2484"/>
  <c r="B165" i="2484"/>
  <c r="D164" i="2484"/>
  <c r="D163" i="2484"/>
  <c r="D150" i="2484"/>
  <c r="AR146" i="2484"/>
  <c r="AQ146" i="2484"/>
  <c r="AP146" i="2484"/>
  <c r="AO146" i="2484"/>
  <c r="AN146" i="2484"/>
  <c r="AM146" i="2484"/>
  <c r="AL146" i="2484"/>
  <c r="AK146" i="2484"/>
  <c r="AJ146" i="2484"/>
  <c r="AI146" i="2484"/>
  <c r="AH146" i="2484"/>
  <c r="AG146" i="2484"/>
  <c r="AF146" i="2484"/>
  <c r="AE146" i="2484"/>
  <c r="AD146" i="2484"/>
  <c r="AC146" i="2484"/>
  <c r="AB146" i="2484"/>
  <c r="AA146" i="2484"/>
  <c r="Z146" i="2484"/>
  <c r="Y146" i="2484"/>
  <c r="X146" i="2484"/>
  <c r="W146" i="2484"/>
  <c r="V146" i="2484"/>
  <c r="U146" i="2484"/>
  <c r="T146" i="2484"/>
  <c r="AR144" i="2484"/>
  <c r="AQ144" i="2484"/>
  <c r="AP144" i="2484"/>
  <c r="AO144" i="2484"/>
  <c r="AN144" i="2484"/>
  <c r="AM144" i="2484"/>
  <c r="AL144" i="2484"/>
  <c r="AK144" i="2484"/>
  <c r="AJ144" i="2484"/>
  <c r="AI144" i="2484"/>
  <c r="AH144" i="2484"/>
  <c r="AG144" i="2484"/>
  <c r="AF144" i="2484"/>
  <c r="AE144" i="2484"/>
  <c r="AD144" i="2484"/>
  <c r="AC144" i="2484"/>
  <c r="AB144" i="2484"/>
  <c r="AA144" i="2484"/>
  <c r="Z144" i="2484"/>
  <c r="Y144" i="2484"/>
  <c r="X144" i="2484"/>
  <c r="W144" i="2484"/>
  <c r="V144" i="2484"/>
  <c r="U144" i="2484"/>
  <c r="T144" i="2484"/>
  <c r="C144" i="2484"/>
  <c r="AR135" i="2484"/>
  <c r="AQ135" i="2484"/>
  <c r="AP135" i="2484"/>
  <c r="AO135" i="2484"/>
  <c r="AN135" i="2484"/>
  <c r="AM135" i="2484"/>
  <c r="AL135" i="2484"/>
  <c r="AK135" i="2484"/>
  <c r="AJ135" i="2484"/>
  <c r="AI135" i="2484"/>
  <c r="AH135" i="2484"/>
  <c r="AG135" i="2484"/>
  <c r="AF135" i="2484"/>
  <c r="AE135" i="2484"/>
  <c r="AD135" i="2484"/>
  <c r="AC135" i="2484"/>
  <c r="AB135" i="2484"/>
  <c r="AA135" i="2484"/>
  <c r="Z135" i="2484"/>
  <c r="Y135" i="2484"/>
  <c r="X135" i="2484"/>
  <c r="W135" i="2484"/>
  <c r="V135" i="2484"/>
  <c r="U135" i="2484"/>
  <c r="T135" i="2484"/>
  <c r="AR134" i="2484"/>
  <c r="AQ134" i="2484"/>
  <c r="AP134" i="2484"/>
  <c r="AO134" i="2484"/>
  <c r="AN134" i="2484"/>
  <c r="AM134" i="2484"/>
  <c r="AL134" i="2484"/>
  <c r="AK134" i="2484"/>
  <c r="AJ134" i="2484"/>
  <c r="AI134" i="2484"/>
  <c r="AH134" i="2484"/>
  <c r="AG134" i="2484"/>
  <c r="AF134" i="2484"/>
  <c r="AE134" i="2484"/>
  <c r="AD134" i="2484"/>
  <c r="AC134" i="2484"/>
  <c r="AB134" i="2484"/>
  <c r="AA134" i="2484"/>
  <c r="Z134" i="2484"/>
  <c r="Y134" i="2484"/>
  <c r="X134" i="2484"/>
  <c r="W134" i="2484"/>
  <c r="V134" i="2484"/>
  <c r="U134" i="2484"/>
  <c r="T134" i="2484"/>
  <c r="AR133" i="2484"/>
  <c r="AQ133" i="2484"/>
  <c r="AP133" i="2484"/>
  <c r="AO133" i="2484"/>
  <c r="AN133" i="2484"/>
  <c r="AM133" i="2484"/>
  <c r="AL133" i="2484"/>
  <c r="AK133" i="2484"/>
  <c r="AJ133" i="2484"/>
  <c r="AI133" i="2484"/>
  <c r="AH133" i="2484"/>
  <c r="AG133" i="2484"/>
  <c r="AF133" i="2484"/>
  <c r="AE133" i="2484"/>
  <c r="AD133" i="2484"/>
  <c r="AC133" i="2484"/>
  <c r="AB133" i="2484"/>
  <c r="AA133" i="2484"/>
  <c r="Z133" i="2484"/>
  <c r="Y133" i="2484"/>
  <c r="AF124" i="2484"/>
  <c r="E124" i="2484"/>
  <c r="C124" i="2484"/>
  <c r="E123" i="2484"/>
  <c r="C123" i="2484"/>
  <c r="AR122" i="2484"/>
  <c r="AQ122" i="2484"/>
  <c r="AP122" i="2484"/>
  <c r="AO122" i="2484"/>
  <c r="AN122" i="2484"/>
  <c r="AM122" i="2484"/>
  <c r="AL122" i="2484"/>
  <c r="AK122" i="2484"/>
  <c r="AJ122" i="2484"/>
  <c r="AI122" i="2484"/>
  <c r="AH122" i="2484"/>
  <c r="AG122" i="2484"/>
  <c r="AF122" i="2484"/>
  <c r="AE122" i="2484"/>
  <c r="AD122" i="2484"/>
  <c r="AC122" i="2484"/>
  <c r="AB122" i="2484"/>
  <c r="AA122" i="2484"/>
  <c r="Z122" i="2484"/>
  <c r="Y122" i="2484"/>
  <c r="X122" i="2484"/>
  <c r="W122" i="2484"/>
  <c r="V122" i="2484"/>
  <c r="U122" i="2484"/>
  <c r="T122" i="2484"/>
  <c r="S122" i="2484"/>
  <c r="R122" i="2484"/>
  <c r="Q122" i="2484"/>
  <c r="P122" i="2484"/>
  <c r="O122" i="2484"/>
  <c r="N122" i="2484"/>
  <c r="M122" i="2484"/>
  <c r="L122" i="2484"/>
  <c r="K122" i="2484"/>
  <c r="J122" i="2484"/>
  <c r="I122" i="2484"/>
  <c r="H122" i="2484"/>
  <c r="G122" i="2484"/>
  <c r="F122" i="2484"/>
  <c r="E122" i="2484"/>
  <c r="AR121" i="2484"/>
  <c r="AQ121" i="2484"/>
  <c r="AP121" i="2484"/>
  <c r="AO121" i="2484"/>
  <c r="AN121" i="2484"/>
  <c r="S121" i="2484"/>
  <c r="R121" i="2484"/>
  <c r="Q121" i="2484"/>
  <c r="P121" i="2484"/>
  <c r="O121" i="2484"/>
  <c r="N121" i="2484"/>
  <c r="M121" i="2484"/>
  <c r="L121" i="2484"/>
  <c r="K121" i="2484"/>
  <c r="J121" i="2484"/>
  <c r="I121" i="2484"/>
  <c r="H121" i="2484"/>
  <c r="G121" i="2484"/>
  <c r="F121" i="2484"/>
  <c r="E121" i="2484"/>
  <c r="AR120" i="2484"/>
  <c r="AQ120" i="2484"/>
  <c r="AP120" i="2484"/>
  <c r="AO120" i="2484"/>
  <c r="AN120" i="2484"/>
  <c r="AM120" i="2484"/>
  <c r="AL120" i="2484"/>
  <c r="AK120" i="2484"/>
  <c r="AJ120" i="2484"/>
  <c r="AI120" i="2484"/>
  <c r="AH120" i="2484"/>
  <c r="AG120" i="2484"/>
  <c r="AF120" i="2484"/>
  <c r="AE120" i="2484"/>
  <c r="AD120" i="2484"/>
  <c r="AC120" i="2484"/>
  <c r="AB120" i="2484"/>
  <c r="AA120" i="2484"/>
  <c r="Z120" i="2484"/>
  <c r="Y120" i="2484"/>
  <c r="X120" i="2484"/>
  <c r="W120" i="2484"/>
  <c r="V120" i="2484"/>
  <c r="U120" i="2484"/>
  <c r="T120" i="2484"/>
  <c r="S120" i="2484"/>
  <c r="R120" i="2484"/>
  <c r="Q120" i="2484"/>
  <c r="P120" i="2484"/>
  <c r="O120" i="2484"/>
  <c r="N120" i="2484"/>
  <c r="M120" i="2484"/>
  <c r="L120" i="2484"/>
  <c r="K120" i="2484"/>
  <c r="J120" i="2484"/>
  <c r="I120" i="2484"/>
  <c r="H120" i="2484"/>
  <c r="G120" i="2484"/>
  <c r="F120" i="2484"/>
  <c r="E120" i="2484"/>
  <c r="AR119" i="2484"/>
  <c r="AQ119" i="2484"/>
  <c r="AP119" i="2484"/>
  <c r="AO119" i="2484"/>
  <c r="AN119" i="2484"/>
  <c r="C117" i="2484"/>
  <c r="AR116" i="2484"/>
  <c r="AQ116" i="2484"/>
  <c r="AP116" i="2484"/>
  <c r="AO116" i="2484"/>
  <c r="AN116" i="2484"/>
  <c r="AM116" i="2484"/>
  <c r="AL116" i="2484"/>
  <c r="AK116" i="2484"/>
  <c r="AJ116" i="2484"/>
  <c r="AI116" i="2484"/>
  <c r="AH116" i="2484"/>
  <c r="AG116" i="2484"/>
  <c r="AF116" i="2484"/>
  <c r="AE116" i="2484"/>
  <c r="AD116" i="2484"/>
  <c r="AC116" i="2484"/>
  <c r="AB116" i="2484"/>
  <c r="AA116" i="2484"/>
  <c r="Z116" i="2484"/>
  <c r="Y116" i="2484"/>
  <c r="X116" i="2484"/>
  <c r="W116" i="2484"/>
  <c r="V116" i="2484"/>
  <c r="U116" i="2484"/>
  <c r="T116" i="2484"/>
  <c r="S116" i="2484"/>
  <c r="R116" i="2484"/>
  <c r="Q116" i="2484"/>
  <c r="P116" i="2484"/>
  <c r="O116" i="2484"/>
  <c r="N116" i="2484"/>
  <c r="M116" i="2484"/>
  <c r="L116" i="2484"/>
  <c r="K116" i="2484"/>
  <c r="J116" i="2484"/>
  <c r="I116" i="2484"/>
  <c r="H116" i="2484"/>
  <c r="G116" i="2484"/>
  <c r="F116" i="2484"/>
  <c r="E116" i="2484"/>
  <c r="AR115" i="2484"/>
  <c r="AQ115" i="2484"/>
  <c r="AP115" i="2484"/>
  <c r="AO115" i="2484"/>
  <c r="AN115" i="2484"/>
  <c r="AM115" i="2484"/>
  <c r="AL115" i="2484"/>
  <c r="AK115" i="2484"/>
  <c r="AJ115" i="2484"/>
  <c r="AI115" i="2484"/>
  <c r="AH115" i="2484"/>
  <c r="AG115" i="2484"/>
  <c r="AF115" i="2484"/>
  <c r="AE115" i="2484"/>
  <c r="AD115" i="2484"/>
  <c r="AC115" i="2484"/>
  <c r="AB115" i="2484"/>
  <c r="AA115" i="2484"/>
  <c r="Z115" i="2484"/>
  <c r="Y115" i="2484"/>
  <c r="X115" i="2484"/>
  <c r="W115" i="2484"/>
  <c r="V115" i="2484"/>
  <c r="U115" i="2484"/>
  <c r="T115" i="2484"/>
  <c r="S115" i="2484"/>
  <c r="R115" i="2484"/>
  <c r="Q115" i="2484"/>
  <c r="P115" i="2484"/>
  <c r="O115" i="2484"/>
  <c r="N115" i="2484"/>
  <c r="M115" i="2484"/>
  <c r="L115" i="2484"/>
  <c r="K115" i="2484"/>
  <c r="J115" i="2484"/>
  <c r="I115" i="2484"/>
  <c r="H115" i="2484"/>
  <c r="G115" i="2484"/>
  <c r="F115" i="2484"/>
  <c r="E115" i="2484"/>
  <c r="C115" i="2484"/>
  <c r="C114" i="2484"/>
  <c r="AR108" i="2484"/>
  <c r="AQ108" i="2484"/>
  <c r="AP108" i="2484"/>
  <c r="AO108" i="2484"/>
  <c r="AN108" i="2484"/>
  <c r="AM108" i="2484"/>
  <c r="AM107" i="2484" s="1"/>
  <c r="AL108" i="2484"/>
  <c r="AK108" i="2484"/>
  <c r="AJ108" i="2484"/>
  <c r="AI108" i="2484"/>
  <c r="AH108" i="2484"/>
  <c r="AH107" i="2484" s="1"/>
  <c r="AH123" i="2484" s="1"/>
  <c r="AG108" i="2484"/>
  <c r="AF108" i="2484"/>
  <c r="AF107" i="2484" s="1"/>
  <c r="AE108" i="2484"/>
  <c r="AE107" i="2484" s="1"/>
  <c r="AE123" i="2484" s="1"/>
  <c r="AD108" i="2484"/>
  <c r="AC108" i="2484"/>
  <c r="AB108" i="2484"/>
  <c r="AA108" i="2484"/>
  <c r="Z108" i="2484"/>
  <c r="Y108" i="2484"/>
  <c r="Y107" i="2484" s="1"/>
  <c r="X108" i="2484"/>
  <c r="X107" i="2484" s="1"/>
  <c r="X123" i="2484" s="1"/>
  <c r="W108" i="2484"/>
  <c r="W107" i="2484" s="1"/>
  <c r="V108" i="2484"/>
  <c r="V107" i="2484" s="1"/>
  <c r="V123" i="2484" s="1"/>
  <c r="U108" i="2484"/>
  <c r="T108" i="2484"/>
  <c r="S108" i="2484"/>
  <c r="R108" i="2484"/>
  <c r="R107" i="2484" s="1"/>
  <c r="Q108" i="2484"/>
  <c r="P108" i="2484"/>
  <c r="P107" i="2484" s="1"/>
  <c r="O108" i="2484"/>
  <c r="N108" i="2484"/>
  <c r="N107" i="2484" s="1"/>
  <c r="M108" i="2484"/>
  <c r="M107" i="2484" s="1"/>
  <c r="M123" i="2484" s="1"/>
  <c r="L108" i="2484"/>
  <c r="L107" i="2484" s="1"/>
  <c r="K108" i="2484"/>
  <c r="J108" i="2484"/>
  <c r="I108" i="2484"/>
  <c r="H108" i="2484"/>
  <c r="G108" i="2484"/>
  <c r="G107" i="2484" s="1"/>
  <c r="G123" i="2484" s="1"/>
  <c r="F108" i="2484"/>
  <c r="E108" i="2484"/>
  <c r="AR107" i="2484"/>
  <c r="AQ107" i="2484"/>
  <c r="AQ123" i="2484" s="1"/>
  <c r="AP107" i="2484"/>
  <c r="AP123" i="2484" s="1"/>
  <c r="AO107" i="2484"/>
  <c r="AO123" i="2484" s="1"/>
  <c r="AN107" i="2484"/>
  <c r="AN123" i="2484" s="1"/>
  <c r="AL107" i="2484"/>
  <c r="AJ107" i="2484"/>
  <c r="AI107" i="2484"/>
  <c r="AG107" i="2484"/>
  <c r="AG123" i="2484" s="1"/>
  <c r="AD107" i="2484"/>
  <c r="AC107" i="2484"/>
  <c r="AA107" i="2484"/>
  <c r="AA123" i="2484" s="1"/>
  <c r="Z107" i="2484"/>
  <c r="U107" i="2484"/>
  <c r="T107" i="2484"/>
  <c r="T123" i="2484" s="1"/>
  <c r="Q107" i="2484"/>
  <c r="O107" i="2484"/>
  <c r="O123" i="2484" s="1"/>
  <c r="K107" i="2484"/>
  <c r="I107" i="2484"/>
  <c r="H107" i="2484"/>
  <c r="F107" i="2484"/>
  <c r="F123" i="2484" s="1"/>
  <c r="D107" i="2484"/>
  <c r="AR106" i="2484"/>
  <c r="AR124" i="2484" s="1"/>
  <c r="AQ106" i="2484"/>
  <c r="AQ124" i="2484" s="1"/>
  <c r="AP106" i="2484"/>
  <c r="AP124" i="2484" s="1"/>
  <c r="AO106" i="2484"/>
  <c r="AO124" i="2484" s="1"/>
  <c r="AN106" i="2484"/>
  <c r="AN124" i="2484" s="1"/>
  <c r="AM106" i="2484"/>
  <c r="AM124" i="2484" s="1"/>
  <c r="AL106" i="2484"/>
  <c r="AL124" i="2484" s="1"/>
  <c r="AK106" i="2484"/>
  <c r="AK124" i="2484" s="1"/>
  <c r="AJ106" i="2484"/>
  <c r="AJ124" i="2484" s="1"/>
  <c r="AI106" i="2484"/>
  <c r="AI124" i="2484" s="1"/>
  <c r="AH106" i="2484"/>
  <c r="AH124" i="2484" s="1"/>
  <c r="AG106" i="2484"/>
  <c r="AG124" i="2484" s="1"/>
  <c r="AF106" i="2484"/>
  <c r="AE106" i="2484"/>
  <c r="AE124" i="2484" s="1"/>
  <c r="AD106" i="2484"/>
  <c r="AD124" i="2484" s="1"/>
  <c r="AC106" i="2484"/>
  <c r="AC124" i="2484" s="1"/>
  <c r="AB106" i="2484"/>
  <c r="AB124" i="2484" s="1"/>
  <c r="AA106" i="2484"/>
  <c r="AA124" i="2484" s="1"/>
  <c r="Z106" i="2484"/>
  <c r="Z124" i="2484" s="1"/>
  <c r="Y106" i="2484"/>
  <c r="Y124" i="2484" s="1"/>
  <c r="X106" i="2484"/>
  <c r="X124" i="2484" s="1"/>
  <c r="W106" i="2484"/>
  <c r="W124" i="2484" s="1"/>
  <c r="V106" i="2484"/>
  <c r="V124" i="2484" s="1"/>
  <c r="U106" i="2484"/>
  <c r="U124" i="2484" s="1"/>
  <c r="T106" i="2484"/>
  <c r="T124" i="2484" s="1"/>
  <c r="S106" i="2484"/>
  <c r="S124" i="2484" s="1"/>
  <c r="R106" i="2484"/>
  <c r="R124" i="2484" s="1"/>
  <c r="Q106" i="2484"/>
  <c r="Q124" i="2484" s="1"/>
  <c r="P106" i="2484"/>
  <c r="P124" i="2484" s="1"/>
  <c r="O106" i="2484"/>
  <c r="O124" i="2484" s="1"/>
  <c r="N106" i="2484"/>
  <c r="N124" i="2484" s="1"/>
  <c r="M106" i="2484"/>
  <c r="M124" i="2484" s="1"/>
  <c r="L106" i="2484"/>
  <c r="L124" i="2484" s="1"/>
  <c r="K106" i="2484"/>
  <c r="K124" i="2484" s="1"/>
  <c r="J106" i="2484"/>
  <c r="J124" i="2484" s="1"/>
  <c r="I106" i="2484"/>
  <c r="I124" i="2484" s="1"/>
  <c r="H106" i="2484"/>
  <c r="H124" i="2484" s="1"/>
  <c r="G106" i="2484"/>
  <c r="G124" i="2484" s="1"/>
  <c r="F106" i="2484"/>
  <c r="F124" i="2484" s="1"/>
  <c r="D106" i="2484"/>
  <c r="E105" i="2484"/>
  <c r="C92" i="2484"/>
  <c r="C153" i="2484" s="1"/>
  <c r="D85" i="2484"/>
  <c r="D84" i="2484"/>
  <c r="D70" i="2484"/>
  <c r="D65" i="2484"/>
  <c r="D64" i="2484"/>
  <c r="D63" i="2484"/>
  <c r="C60" i="2484"/>
  <c r="D59" i="2484"/>
  <c r="C58" i="2484"/>
  <c r="D57" i="2484"/>
  <c r="C56" i="2484"/>
  <c r="D55" i="2484"/>
  <c r="C53" i="2484"/>
  <c r="D49" i="2484"/>
  <c r="C49" i="2484"/>
  <c r="D48" i="2484"/>
  <c r="E47" i="2484"/>
  <c r="D47" i="2484"/>
  <c r="E46" i="2484"/>
  <c r="D46" i="2484"/>
  <c r="E45" i="2484"/>
  <c r="D45" i="2484"/>
  <c r="C35" i="2484"/>
  <c r="C33" i="2484"/>
  <c r="C27" i="2484"/>
  <c r="C25" i="2484"/>
  <c r="E16" i="2484"/>
  <c r="D16" i="2484"/>
  <c r="E15" i="2484"/>
  <c r="D15" i="2484"/>
  <c r="E13" i="2484"/>
  <c r="D13" i="2484"/>
  <c r="E12" i="2484"/>
  <c r="D12" i="2484"/>
  <c r="C8" i="2484"/>
  <c r="D43" i="2484" s="1"/>
  <c r="D5" i="2484"/>
  <c r="A1" i="2484"/>
  <c r="D169" i="2483"/>
  <c r="C169" i="2483"/>
  <c r="D168" i="2483"/>
  <c r="C168" i="2483"/>
  <c r="D166" i="2483"/>
  <c r="C166" i="2483"/>
  <c r="B166" i="2483"/>
  <c r="D165" i="2483"/>
  <c r="B165" i="2483"/>
  <c r="D164" i="2483"/>
  <c r="D163" i="2483"/>
  <c r="D150" i="2483"/>
  <c r="AR146" i="2483"/>
  <c r="AQ146" i="2483"/>
  <c r="AP146" i="2483"/>
  <c r="AO146" i="2483"/>
  <c r="AN146" i="2483"/>
  <c r="AM146" i="2483"/>
  <c r="AL146" i="2483"/>
  <c r="AK146" i="2483"/>
  <c r="AJ146" i="2483"/>
  <c r="AI146" i="2483"/>
  <c r="AH146" i="2483"/>
  <c r="AG146" i="2483"/>
  <c r="AF146" i="2483"/>
  <c r="AE146" i="2483"/>
  <c r="AD146" i="2483"/>
  <c r="AC146" i="2483"/>
  <c r="AB146" i="2483"/>
  <c r="AA146" i="2483"/>
  <c r="Z146" i="2483"/>
  <c r="Y146" i="2483"/>
  <c r="X146" i="2483"/>
  <c r="W146" i="2483"/>
  <c r="V146" i="2483"/>
  <c r="U146" i="2483"/>
  <c r="T146" i="2483"/>
  <c r="AR144" i="2483"/>
  <c r="AQ144" i="2483"/>
  <c r="AP144" i="2483"/>
  <c r="AO144" i="2483"/>
  <c r="AN144" i="2483"/>
  <c r="AM144" i="2483"/>
  <c r="AL144" i="2483"/>
  <c r="AK144" i="2483"/>
  <c r="AJ144" i="2483"/>
  <c r="AI144" i="2483"/>
  <c r="AH144" i="2483"/>
  <c r="AG144" i="2483"/>
  <c r="AF144" i="2483"/>
  <c r="AE144" i="2483"/>
  <c r="AD144" i="2483"/>
  <c r="AC144" i="2483"/>
  <c r="AB144" i="2483"/>
  <c r="AA144" i="2483"/>
  <c r="Z144" i="2483"/>
  <c r="Y144" i="2483"/>
  <c r="X144" i="2483"/>
  <c r="W144" i="2483"/>
  <c r="V144" i="2483"/>
  <c r="U144" i="2483"/>
  <c r="T144" i="2483"/>
  <c r="C144" i="2483"/>
  <c r="AR135" i="2483"/>
  <c r="AQ135" i="2483"/>
  <c r="AP135" i="2483"/>
  <c r="AO135" i="2483"/>
  <c r="AN135" i="2483"/>
  <c r="AM135" i="2483"/>
  <c r="AL135" i="2483"/>
  <c r="AK135" i="2483"/>
  <c r="AJ135" i="2483"/>
  <c r="AI135" i="2483"/>
  <c r="AH135" i="2483"/>
  <c r="AG135" i="2483"/>
  <c r="AF135" i="2483"/>
  <c r="AE135" i="2483"/>
  <c r="AD135" i="2483"/>
  <c r="AC135" i="2483"/>
  <c r="AB135" i="2483"/>
  <c r="AA135" i="2483"/>
  <c r="Z135" i="2483"/>
  <c r="Y135" i="2483"/>
  <c r="X135" i="2483"/>
  <c r="W135" i="2483"/>
  <c r="V135" i="2483"/>
  <c r="U135" i="2483"/>
  <c r="T135" i="2483"/>
  <c r="AR134" i="2483"/>
  <c r="AQ134" i="2483"/>
  <c r="AP134" i="2483"/>
  <c r="AO134" i="2483"/>
  <c r="AN134" i="2483"/>
  <c r="AM134" i="2483"/>
  <c r="AL134" i="2483"/>
  <c r="AK134" i="2483"/>
  <c r="AJ134" i="2483"/>
  <c r="AI134" i="2483"/>
  <c r="AH134" i="2483"/>
  <c r="AG134" i="2483"/>
  <c r="AF134" i="2483"/>
  <c r="AE134" i="2483"/>
  <c r="AD134" i="2483"/>
  <c r="AC134" i="2483"/>
  <c r="AB134" i="2483"/>
  <c r="AA134" i="2483"/>
  <c r="Z134" i="2483"/>
  <c r="Y134" i="2483"/>
  <c r="X134" i="2483"/>
  <c r="W134" i="2483"/>
  <c r="V134" i="2483"/>
  <c r="U134" i="2483"/>
  <c r="T134" i="2483"/>
  <c r="AR133" i="2483"/>
  <c r="AQ133" i="2483"/>
  <c r="AP133" i="2483"/>
  <c r="AO133" i="2483"/>
  <c r="AN133" i="2483"/>
  <c r="AM133" i="2483"/>
  <c r="AL133" i="2483"/>
  <c r="AK133" i="2483"/>
  <c r="AJ133" i="2483"/>
  <c r="AI133" i="2483"/>
  <c r="AH133" i="2483"/>
  <c r="AG133" i="2483"/>
  <c r="AF133" i="2483"/>
  <c r="AE133" i="2483"/>
  <c r="AD133" i="2483"/>
  <c r="AC133" i="2483"/>
  <c r="AB133" i="2483"/>
  <c r="AA133" i="2483"/>
  <c r="Z133" i="2483"/>
  <c r="Y133" i="2483"/>
  <c r="P124" i="2483"/>
  <c r="E124" i="2483"/>
  <c r="C124" i="2483"/>
  <c r="E123" i="2483"/>
  <c r="C123" i="2483"/>
  <c r="AR122" i="2483"/>
  <c r="AQ122" i="2483"/>
  <c r="AP122" i="2483"/>
  <c r="AO122" i="2483"/>
  <c r="AN122" i="2483"/>
  <c r="AM122" i="2483"/>
  <c r="AL122" i="2483"/>
  <c r="AK122" i="2483"/>
  <c r="AJ122" i="2483"/>
  <c r="AI122" i="2483"/>
  <c r="AH122" i="2483"/>
  <c r="AG122" i="2483"/>
  <c r="AF122" i="2483"/>
  <c r="AE122" i="2483"/>
  <c r="AD122" i="2483"/>
  <c r="AC122" i="2483"/>
  <c r="AB122" i="2483"/>
  <c r="AA122" i="2483"/>
  <c r="Z122" i="2483"/>
  <c r="Y122" i="2483"/>
  <c r="X122" i="2483"/>
  <c r="W122" i="2483"/>
  <c r="V122" i="2483"/>
  <c r="U122" i="2483"/>
  <c r="T122" i="2483"/>
  <c r="S122" i="2483"/>
  <c r="R122" i="2483"/>
  <c r="Q122" i="2483"/>
  <c r="P122" i="2483"/>
  <c r="O122" i="2483"/>
  <c r="N122" i="2483"/>
  <c r="M122" i="2483"/>
  <c r="L122" i="2483"/>
  <c r="K122" i="2483"/>
  <c r="J122" i="2483"/>
  <c r="I122" i="2483"/>
  <c r="H122" i="2483"/>
  <c r="G122" i="2483"/>
  <c r="F122" i="2483"/>
  <c r="E122" i="2483"/>
  <c r="AR121" i="2483"/>
  <c r="AQ121" i="2483"/>
  <c r="AP121" i="2483"/>
  <c r="AO121" i="2483"/>
  <c r="AN121" i="2483"/>
  <c r="S121" i="2483"/>
  <c r="R121" i="2483"/>
  <c r="Q121" i="2483"/>
  <c r="P121" i="2483"/>
  <c r="O121" i="2483"/>
  <c r="N121" i="2483"/>
  <c r="M121" i="2483"/>
  <c r="L121" i="2483"/>
  <c r="K121" i="2483"/>
  <c r="J121" i="2483"/>
  <c r="I121" i="2483"/>
  <c r="H121" i="2483"/>
  <c r="G121" i="2483"/>
  <c r="F121" i="2483"/>
  <c r="E121" i="2483"/>
  <c r="AR120" i="2483"/>
  <c r="AQ120" i="2483"/>
  <c r="AP120" i="2483"/>
  <c r="AO120" i="2483"/>
  <c r="AN120" i="2483"/>
  <c r="AM120" i="2483"/>
  <c r="AL120" i="2483"/>
  <c r="AK120" i="2483"/>
  <c r="AJ120" i="2483"/>
  <c r="AI120" i="2483"/>
  <c r="AH120" i="2483"/>
  <c r="AG120" i="2483"/>
  <c r="AF120" i="2483"/>
  <c r="AE120" i="2483"/>
  <c r="AD120" i="2483"/>
  <c r="AC120" i="2483"/>
  <c r="AB120" i="2483"/>
  <c r="AA120" i="2483"/>
  <c r="Z120" i="2483"/>
  <c r="Y120" i="2483"/>
  <c r="X120" i="2483"/>
  <c r="W120" i="2483"/>
  <c r="V120" i="2483"/>
  <c r="U120" i="2483"/>
  <c r="T120" i="2483"/>
  <c r="S120" i="2483"/>
  <c r="R120" i="2483"/>
  <c r="Q120" i="2483"/>
  <c r="P120" i="2483"/>
  <c r="O120" i="2483"/>
  <c r="N120" i="2483"/>
  <c r="M120" i="2483"/>
  <c r="L120" i="2483"/>
  <c r="K120" i="2483"/>
  <c r="J120" i="2483"/>
  <c r="I120" i="2483"/>
  <c r="H120" i="2483"/>
  <c r="G120" i="2483"/>
  <c r="F120" i="2483"/>
  <c r="E120" i="2483"/>
  <c r="AR119" i="2483"/>
  <c r="AQ119" i="2483"/>
  <c r="AP119" i="2483"/>
  <c r="AO119" i="2483"/>
  <c r="AN119" i="2483"/>
  <c r="C117" i="2483"/>
  <c r="AR116" i="2483"/>
  <c r="AQ116" i="2483"/>
  <c r="AP116" i="2483"/>
  <c r="AO116" i="2483"/>
  <c r="AN116" i="2483"/>
  <c r="AM116" i="2483"/>
  <c r="AL116" i="2483"/>
  <c r="AK116" i="2483"/>
  <c r="AJ116" i="2483"/>
  <c r="AI116" i="2483"/>
  <c r="AH116" i="2483"/>
  <c r="AG116" i="2483"/>
  <c r="AF116" i="2483"/>
  <c r="AE116" i="2483"/>
  <c r="AD116" i="2483"/>
  <c r="AC116" i="2483"/>
  <c r="AB116" i="2483"/>
  <c r="AA116" i="2483"/>
  <c r="Z116" i="2483"/>
  <c r="Y116" i="2483"/>
  <c r="X116" i="2483"/>
  <c r="W116" i="2483"/>
  <c r="V116" i="2483"/>
  <c r="U116" i="2483"/>
  <c r="T116" i="2483"/>
  <c r="S116" i="2483"/>
  <c r="R116" i="2483"/>
  <c r="Q116" i="2483"/>
  <c r="P116" i="2483"/>
  <c r="O116" i="2483"/>
  <c r="N116" i="2483"/>
  <c r="M116" i="2483"/>
  <c r="L116" i="2483"/>
  <c r="K116" i="2483"/>
  <c r="J116" i="2483"/>
  <c r="I116" i="2483"/>
  <c r="H116" i="2483"/>
  <c r="G116" i="2483"/>
  <c r="F116" i="2483"/>
  <c r="E116" i="2483"/>
  <c r="AR115" i="2483"/>
  <c r="AQ115" i="2483"/>
  <c r="AP115" i="2483"/>
  <c r="AO115" i="2483"/>
  <c r="AN115" i="2483"/>
  <c r="AM115" i="2483"/>
  <c r="AL115" i="2483"/>
  <c r="AK115" i="2483"/>
  <c r="AJ115" i="2483"/>
  <c r="AI115" i="2483"/>
  <c r="AH115" i="2483"/>
  <c r="AG115" i="2483"/>
  <c r="AF115" i="2483"/>
  <c r="AE115" i="2483"/>
  <c r="AD115" i="2483"/>
  <c r="AC115" i="2483"/>
  <c r="AB115" i="2483"/>
  <c r="AA115" i="2483"/>
  <c r="Z115" i="2483"/>
  <c r="Y115" i="2483"/>
  <c r="X115" i="2483"/>
  <c r="W115" i="2483"/>
  <c r="V115" i="2483"/>
  <c r="U115" i="2483"/>
  <c r="T115" i="2483"/>
  <c r="S115" i="2483"/>
  <c r="R115" i="2483"/>
  <c r="Q115" i="2483"/>
  <c r="P115" i="2483"/>
  <c r="O115" i="2483"/>
  <c r="N115" i="2483"/>
  <c r="M115" i="2483"/>
  <c r="L115" i="2483"/>
  <c r="K115" i="2483"/>
  <c r="J115" i="2483"/>
  <c r="I115" i="2483"/>
  <c r="H115" i="2483"/>
  <c r="G115" i="2483"/>
  <c r="F115" i="2483"/>
  <c r="E115" i="2483"/>
  <c r="C115" i="2483"/>
  <c r="C114" i="2483"/>
  <c r="AR108" i="2483"/>
  <c r="AQ108" i="2483"/>
  <c r="AP108" i="2483"/>
  <c r="AO108" i="2483"/>
  <c r="AN108" i="2483"/>
  <c r="AM108" i="2483"/>
  <c r="AM107" i="2483" s="1"/>
  <c r="AL108" i="2483"/>
  <c r="AK108" i="2483"/>
  <c r="AK107" i="2483" s="1"/>
  <c r="AK123" i="2483" s="1"/>
  <c r="AJ108" i="2483"/>
  <c r="AJ107" i="2483" s="1"/>
  <c r="AI108" i="2483"/>
  <c r="AH108" i="2483"/>
  <c r="AH107" i="2483" s="1"/>
  <c r="AG108" i="2483"/>
  <c r="AG107" i="2483" s="1"/>
  <c r="AG123" i="2483" s="1"/>
  <c r="AF108" i="2483"/>
  <c r="AF107" i="2483" s="1"/>
  <c r="AE108" i="2483"/>
  <c r="AD108" i="2483"/>
  <c r="AD107" i="2483" s="1"/>
  <c r="AD123" i="2483" s="1"/>
  <c r="AC108" i="2483"/>
  <c r="AB108" i="2483"/>
  <c r="AB107" i="2483" s="1"/>
  <c r="AB123" i="2483" s="1"/>
  <c r="AA108" i="2483"/>
  <c r="AA107" i="2483" s="1"/>
  <c r="Z108" i="2483"/>
  <c r="Y108" i="2483"/>
  <c r="Y107" i="2483" s="1"/>
  <c r="X108" i="2483"/>
  <c r="X107" i="2483" s="1"/>
  <c r="X123" i="2483" s="1"/>
  <c r="W108" i="2483"/>
  <c r="W107" i="2483" s="1"/>
  <c r="V108" i="2483"/>
  <c r="V107" i="2483" s="1"/>
  <c r="U108" i="2483"/>
  <c r="U107" i="2483" s="1"/>
  <c r="T108" i="2483"/>
  <c r="S108" i="2483"/>
  <c r="R108" i="2483"/>
  <c r="R107" i="2483" s="1"/>
  <c r="Q108" i="2483"/>
  <c r="P108" i="2483"/>
  <c r="P107" i="2483" s="1"/>
  <c r="O108" i="2483"/>
  <c r="O107" i="2483" s="1"/>
  <c r="O123" i="2483" s="1"/>
  <c r="N108" i="2483"/>
  <c r="N107" i="2483" s="1"/>
  <c r="M108" i="2483"/>
  <c r="M107" i="2483" s="1"/>
  <c r="L108" i="2483"/>
  <c r="L107" i="2483" s="1"/>
  <c r="K108" i="2483"/>
  <c r="J108" i="2483"/>
  <c r="J107" i="2483" s="1"/>
  <c r="J123" i="2483" s="1"/>
  <c r="I108" i="2483"/>
  <c r="I107" i="2483" s="1"/>
  <c r="H108" i="2483"/>
  <c r="G108" i="2483"/>
  <c r="G107" i="2483" s="1"/>
  <c r="F108" i="2483"/>
  <c r="F107" i="2483" s="1"/>
  <c r="F123" i="2483" s="1"/>
  <c r="E108" i="2483"/>
  <c r="AR107" i="2483"/>
  <c r="AR123" i="2483" s="1"/>
  <c r="AQ107" i="2483"/>
  <c r="AP107" i="2483"/>
  <c r="AO107" i="2483"/>
  <c r="AO123" i="2483" s="1"/>
  <c r="AN107" i="2483"/>
  <c r="AE107" i="2483"/>
  <c r="S107" i="2483"/>
  <c r="S123" i="2483" s="1"/>
  <c r="D107" i="2483"/>
  <c r="AR106" i="2483"/>
  <c r="AR124" i="2483" s="1"/>
  <c r="AQ106" i="2483"/>
  <c r="AQ124" i="2483" s="1"/>
  <c r="AP106" i="2483"/>
  <c r="AP124" i="2483" s="1"/>
  <c r="AO106" i="2483"/>
  <c r="AO124" i="2483" s="1"/>
  <c r="AN106" i="2483"/>
  <c r="AN124" i="2483" s="1"/>
  <c r="AM106" i="2483"/>
  <c r="AM124" i="2483" s="1"/>
  <c r="AL106" i="2483"/>
  <c r="AL124" i="2483" s="1"/>
  <c r="AK106" i="2483"/>
  <c r="AK124" i="2483" s="1"/>
  <c r="AJ106" i="2483"/>
  <c r="AJ124" i="2483" s="1"/>
  <c r="AI106" i="2483"/>
  <c r="AI124" i="2483" s="1"/>
  <c r="AH106" i="2483"/>
  <c r="AH124" i="2483" s="1"/>
  <c r="AG106" i="2483"/>
  <c r="AG124" i="2483" s="1"/>
  <c r="AF106" i="2483"/>
  <c r="AF124" i="2483" s="1"/>
  <c r="AE106" i="2483"/>
  <c r="AE124" i="2483" s="1"/>
  <c r="AD106" i="2483"/>
  <c r="AD124" i="2483" s="1"/>
  <c r="AC106" i="2483"/>
  <c r="AC124" i="2483" s="1"/>
  <c r="AB106" i="2483"/>
  <c r="AB124" i="2483" s="1"/>
  <c r="AA106" i="2483"/>
  <c r="AA124" i="2483" s="1"/>
  <c r="Z106" i="2483"/>
  <c r="Z124" i="2483" s="1"/>
  <c r="Y106" i="2483"/>
  <c r="Y124" i="2483" s="1"/>
  <c r="X106" i="2483"/>
  <c r="X124" i="2483" s="1"/>
  <c r="W106" i="2483"/>
  <c r="W124" i="2483" s="1"/>
  <c r="V106" i="2483"/>
  <c r="V124" i="2483" s="1"/>
  <c r="U106" i="2483"/>
  <c r="U124" i="2483" s="1"/>
  <c r="T106" i="2483"/>
  <c r="T124" i="2483" s="1"/>
  <c r="S106" i="2483"/>
  <c r="S124" i="2483" s="1"/>
  <c r="R106" i="2483"/>
  <c r="R124" i="2483" s="1"/>
  <c r="Q106" i="2483"/>
  <c r="Q124" i="2483" s="1"/>
  <c r="P106" i="2483"/>
  <c r="O106" i="2483"/>
  <c r="O124" i="2483" s="1"/>
  <c r="N106" i="2483"/>
  <c r="N124" i="2483" s="1"/>
  <c r="M106" i="2483"/>
  <c r="M124" i="2483" s="1"/>
  <c r="L106" i="2483"/>
  <c r="L124" i="2483" s="1"/>
  <c r="K106" i="2483"/>
  <c r="K124" i="2483" s="1"/>
  <c r="J106" i="2483"/>
  <c r="J124" i="2483" s="1"/>
  <c r="I106" i="2483"/>
  <c r="I124" i="2483" s="1"/>
  <c r="H106" i="2483"/>
  <c r="H124" i="2483" s="1"/>
  <c r="G106" i="2483"/>
  <c r="G124" i="2483" s="1"/>
  <c r="F106" i="2483"/>
  <c r="F124" i="2483" s="1"/>
  <c r="D106" i="2483"/>
  <c r="E105" i="2483"/>
  <c r="C92" i="2483"/>
  <c r="D85" i="2483"/>
  <c r="D84" i="2483"/>
  <c r="D70" i="2483"/>
  <c r="D65" i="2483"/>
  <c r="D64" i="2483"/>
  <c r="D63" i="2483"/>
  <c r="C60" i="2483"/>
  <c r="D59" i="2483"/>
  <c r="C58" i="2483"/>
  <c r="D57" i="2483"/>
  <c r="C56" i="2483"/>
  <c r="D55" i="2483"/>
  <c r="C53" i="2483"/>
  <c r="D49" i="2483"/>
  <c r="C49" i="2483"/>
  <c r="D48" i="2483"/>
  <c r="E47" i="2483"/>
  <c r="D47" i="2483"/>
  <c r="E46" i="2483"/>
  <c r="D46" i="2483"/>
  <c r="E45" i="2483"/>
  <c r="D45" i="2483"/>
  <c r="D40" i="2483"/>
  <c r="C35" i="2483"/>
  <c r="C33" i="2483"/>
  <c r="C34" i="2483" s="1"/>
  <c r="E114" i="2483" s="1"/>
  <c r="C27" i="2483"/>
  <c r="C25" i="2483"/>
  <c r="E16" i="2483"/>
  <c r="D16" i="2483"/>
  <c r="E15" i="2483"/>
  <c r="D15" i="2483"/>
  <c r="E13" i="2483"/>
  <c r="D13" i="2483"/>
  <c r="E12" i="2483"/>
  <c r="D12" i="2483"/>
  <c r="C8" i="2483"/>
  <c r="D5" i="2483"/>
  <c r="A1" i="2483"/>
  <c r="D169" i="2482"/>
  <c r="C169" i="2482"/>
  <c r="D168" i="2482"/>
  <c r="C168" i="2482"/>
  <c r="D166" i="2482"/>
  <c r="C166" i="2482"/>
  <c r="B166" i="2482"/>
  <c r="D165" i="2482"/>
  <c r="B165" i="2482"/>
  <c r="D164" i="2482"/>
  <c r="D163" i="2482"/>
  <c r="D150" i="2482"/>
  <c r="AR146" i="2482"/>
  <c r="AQ146" i="2482"/>
  <c r="AP146" i="2482"/>
  <c r="AO146" i="2482"/>
  <c r="AN146" i="2482"/>
  <c r="AM146" i="2482"/>
  <c r="AL146" i="2482"/>
  <c r="AK146" i="2482"/>
  <c r="AJ146" i="2482"/>
  <c r="AI146" i="2482"/>
  <c r="AH146" i="2482"/>
  <c r="AG146" i="2482"/>
  <c r="AF146" i="2482"/>
  <c r="AE146" i="2482"/>
  <c r="AD146" i="2482"/>
  <c r="AC146" i="2482"/>
  <c r="AB146" i="2482"/>
  <c r="AA146" i="2482"/>
  <c r="Z146" i="2482"/>
  <c r="Y146" i="2482"/>
  <c r="X146" i="2482"/>
  <c r="W146" i="2482"/>
  <c r="V146" i="2482"/>
  <c r="U146" i="2482"/>
  <c r="T146" i="2482"/>
  <c r="AR144" i="2482"/>
  <c r="AQ144" i="2482"/>
  <c r="AP144" i="2482"/>
  <c r="AO144" i="2482"/>
  <c r="AN144" i="2482"/>
  <c r="AM144" i="2482"/>
  <c r="AL144" i="2482"/>
  <c r="AK144" i="2482"/>
  <c r="AJ144" i="2482"/>
  <c r="AI144" i="2482"/>
  <c r="AH144" i="2482"/>
  <c r="AG144" i="2482"/>
  <c r="AF144" i="2482"/>
  <c r="AE144" i="2482"/>
  <c r="AD144" i="2482"/>
  <c r="AC144" i="2482"/>
  <c r="AB144" i="2482"/>
  <c r="AA144" i="2482"/>
  <c r="Z144" i="2482"/>
  <c r="Y144" i="2482"/>
  <c r="X144" i="2482"/>
  <c r="W144" i="2482"/>
  <c r="V144" i="2482"/>
  <c r="U144" i="2482"/>
  <c r="T144" i="2482"/>
  <c r="C144" i="2482"/>
  <c r="AR135" i="2482"/>
  <c r="AQ135" i="2482"/>
  <c r="AP135" i="2482"/>
  <c r="AO135" i="2482"/>
  <c r="AN135" i="2482"/>
  <c r="AM135" i="2482"/>
  <c r="AL135" i="2482"/>
  <c r="AK135" i="2482"/>
  <c r="AJ135" i="2482"/>
  <c r="AI135" i="2482"/>
  <c r="AH135" i="2482"/>
  <c r="AG135" i="2482"/>
  <c r="AF135" i="2482"/>
  <c r="AE135" i="2482"/>
  <c r="AD135" i="2482"/>
  <c r="AC135" i="2482"/>
  <c r="AB135" i="2482"/>
  <c r="AA135" i="2482"/>
  <c r="Z135" i="2482"/>
  <c r="Y135" i="2482"/>
  <c r="X135" i="2482"/>
  <c r="W135" i="2482"/>
  <c r="V135" i="2482"/>
  <c r="U135" i="2482"/>
  <c r="T135" i="2482"/>
  <c r="AR134" i="2482"/>
  <c r="AQ134" i="2482"/>
  <c r="AP134" i="2482"/>
  <c r="AO134" i="2482"/>
  <c r="AN134" i="2482"/>
  <c r="AM134" i="2482"/>
  <c r="AL134" i="2482"/>
  <c r="AK134" i="2482"/>
  <c r="AJ134" i="2482"/>
  <c r="AI134" i="2482"/>
  <c r="AH134" i="2482"/>
  <c r="AG134" i="2482"/>
  <c r="AF134" i="2482"/>
  <c r="AE134" i="2482"/>
  <c r="AD134" i="2482"/>
  <c r="AC134" i="2482"/>
  <c r="AB134" i="2482"/>
  <c r="AA134" i="2482"/>
  <c r="Z134" i="2482"/>
  <c r="Y134" i="2482"/>
  <c r="X134" i="2482"/>
  <c r="W134" i="2482"/>
  <c r="V134" i="2482"/>
  <c r="U134" i="2482"/>
  <c r="T134" i="2482"/>
  <c r="AR133" i="2482"/>
  <c r="AQ133" i="2482"/>
  <c r="AP133" i="2482"/>
  <c r="AO133" i="2482"/>
  <c r="AN133" i="2482"/>
  <c r="AM133" i="2482"/>
  <c r="AL133" i="2482"/>
  <c r="AK133" i="2482"/>
  <c r="AJ133" i="2482"/>
  <c r="AI133" i="2482"/>
  <c r="AH133" i="2482"/>
  <c r="AG133" i="2482"/>
  <c r="AF133" i="2482"/>
  <c r="AE133" i="2482"/>
  <c r="AD133" i="2482"/>
  <c r="AC133" i="2482"/>
  <c r="AB133" i="2482"/>
  <c r="AA133" i="2482"/>
  <c r="Z133" i="2482"/>
  <c r="Y133" i="2482"/>
  <c r="E124" i="2482"/>
  <c r="C124" i="2482"/>
  <c r="E123" i="2482"/>
  <c r="C123" i="2482"/>
  <c r="AR122" i="2482"/>
  <c r="AQ122" i="2482"/>
  <c r="AP122" i="2482"/>
  <c r="AO122" i="2482"/>
  <c r="AN122" i="2482"/>
  <c r="AM122" i="2482"/>
  <c r="AL122" i="2482"/>
  <c r="AK122" i="2482"/>
  <c r="AJ122" i="2482"/>
  <c r="AI122" i="2482"/>
  <c r="AH122" i="2482"/>
  <c r="AG122" i="2482"/>
  <c r="AF122" i="2482"/>
  <c r="AE122" i="2482"/>
  <c r="AD122" i="2482"/>
  <c r="AC122" i="2482"/>
  <c r="AB122" i="2482"/>
  <c r="AA122" i="2482"/>
  <c r="Z122" i="2482"/>
  <c r="Y122" i="2482"/>
  <c r="X122" i="2482"/>
  <c r="W122" i="2482"/>
  <c r="V122" i="2482"/>
  <c r="U122" i="2482"/>
  <c r="T122" i="2482"/>
  <c r="S122" i="2482"/>
  <c r="R122" i="2482"/>
  <c r="Q122" i="2482"/>
  <c r="P122" i="2482"/>
  <c r="O122" i="2482"/>
  <c r="N122" i="2482"/>
  <c r="M122" i="2482"/>
  <c r="L122" i="2482"/>
  <c r="K122" i="2482"/>
  <c r="J122" i="2482"/>
  <c r="I122" i="2482"/>
  <c r="H122" i="2482"/>
  <c r="G122" i="2482"/>
  <c r="F122" i="2482"/>
  <c r="E122" i="2482"/>
  <c r="AR121" i="2482"/>
  <c r="AQ121" i="2482"/>
  <c r="AP121" i="2482"/>
  <c r="AO121" i="2482"/>
  <c r="AN121" i="2482"/>
  <c r="S121" i="2482"/>
  <c r="R121" i="2482"/>
  <c r="Q121" i="2482"/>
  <c r="P121" i="2482"/>
  <c r="O121" i="2482"/>
  <c r="N121" i="2482"/>
  <c r="M121" i="2482"/>
  <c r="L121" i="2482"/>
  <c r="K121" i="2482"/>
  <c r="J121" i="2482"/>
  <c r="I121" i="2482"/>
  <c r="H121" i="2482"/>
  <c r="G121" i="2482"/>
  <c r="F121" i="2482"/>
  <c r="E121" i="2482"/>
  <c r="AR120" i="2482"/>
  <c r="AQ120" i="2482"/>
  <c r="AP120" i="2482"/>
  <c r="AO120" i="2482"/>
  <c r="AN120" i="2482"/>
  <c r="AM120" i="2482"/>
  <c r="AL120" i="2482"/>
  <c r="AK120" i="2482"/>
  <c r="AJ120" i="2482"/>
  <c r="AI120" i="2482"/>
  <c r="AH120" i="2482"/>
  <c r="AG120" i="2482"/>
  <c r="AF120" i="2482"/>
  <c r="AE120" i="2482"/>
  <c r="AD120" i="2482"/>
  <c r="AC120" i="2482"/>
  <c r="AB120" i="2482"/>
  <c r="AA120" i="2482"/>
  <c r="Z120" i="2482"/>
  <c r="Y120" i="2482"/>
  <c r="X120" i="2482"/>
  <c r="W120" i="2482"/>
  <c r="V120" i="2482"/>
  <c r="U120" i="2482"/>
  <c r="T120" i="2482"/>
  <c r="S120" i="2482"/>
  <c r="R120" i="2482"/>
  <c r="Q120" i="2482"/>
  <c r="P120" i="2482"/>
  <c r="O120" i="2482"/>
  <c r="N120" i="2482"/>
  <c r="M120" i="2482"/>
  <c r="L120" i="2482"/>
  <c r="K120" i="2482"/>
  <c r="J120" i="2482"/>
  <c r="I120" i="2482"/>
  <c r="H120" i="2482"/>
  <c r="G120" i="2482"/>
  <c r="F120" i="2482"/>
  <c r="E120" i="2482"/>
  <c r="AR119" i="2482"/>
  <c r="AQ119" i="2482"/>
  <c r="AP119" i="2482"/>
  <c r="AO119" i="2482"/>
  <c r="AN119" i="2482"/>
  <c r="C117" i="2482"/>
  <c r="AR116" i="2482"/>
  <c r="AQ116" i="2482"/>
  <c r="AP116" i="2482"/>
  <c r="AO116" i="2482"/>
  <c r="AN116" i="2482"/>
  <c r="AM116" i="2482"/>
  <c r="AL116" i="2482"/>
  <c r="AK116" i="2482"/>
  <c r="AJ116" i="2482"/>
  <c r="AI116" i="2482"/>
  <c r="AH116" i="2482"/>
  <c r="AG116" i="2482"/>
  <c r="AF116" i="2482"/>
  <c r="AE116" i="2482"/>
  <c r="AD116" i="2482"/>
  <c r="AC116" i="2482"/>
  <c r="AB116" i="2482"/>
  <c r="AA116" i="2482"/>
  <c r="Z116" i="2482"/>
  <c r="Y116" i="2482"/>
  <c r="X116" i="2482"/>
  <c r="W116" i="2482"/>
  <c r="V116" i="2482"/>
  <c r="U116" i="2482"/>
  <c r="T116" i="2482"/>
  <c r="S116" i="2482"/>
  <c r="R116" i="2482"/>
  <c r="Q116" i="2482"/>
  <c r="P116" i="2482"/>
  <c r="O116" i="2482"/>
  <c r="N116" i="2482"/>
  <c r="M116" i="2482"/>
  <c r="L116" i="2482"/>
  <c r="K116" i="2482"/>
  <c r="J116" i="2482"/>
  <c r="I116" i="2482"/>
  <c r="H116" i="2482"/>
  <c r="G116" i="2482"/>
  <c r="F116" i="2482"/>
  <c r="E116" i="2482"/>
  <c r="AR115" i="2482"/>
  <c r="AQ115" i="2482"/>
  <c r="AP115" i="2482"/>
  <c r="AO115" i="2482"/>
  <c r="AN115" i="2482"/>
  <c r="AM115" i="2482"/>
  <c r="AL115" i="2482"/>
  <c r="AK115" i="2482"/>
  <c r="AJ115" i="2482"/>
  <c r="AI115" i="2482"/>
  <c r="AH115" i="2482"/>
  <c r="AG115" i="2482"/>
  <c r="AF115" i="2482"/>
  <c r="AE115" i="2482"/>
  <c r="AD115" i="2482"/>
  <c r="AC115" i="2482"/>
  <c r="AB115" i="2482"/>
  <c r="AA115" i="2482"/>
  <c r="Z115" i="2482"/>
  <c r="Y115" i="2482"/>
  <c r="X115" i="2482"/>
  <c r="W115" i="2482"/>
  <c r="V115" i="2482"/>
  <c r="U115" i="2482"/>
  <c r="T115" i="2482"/>
  <c r="S115" i="2482"/>
  <c r="R115" i="2482"/>
  <c r="Q115" i="2482"/>
  <c r="P115" i="2482"/>
  <c r="O115" i="2482"/>
  <c r="N115" i="2482"/>
  <c r="M115" i="2482"/>
  <c r="L115" i="2482"/>
  <c r="K115" i="2482"/>
  <c r="J115" i="2482"/>
  <c r="I115" i="2482"/>
  <c r="H115" i="2482"/>
  <c r="G115" i="2482"/>
  <c r="F115" i="2482"/>
  <c r="E115" i="2482"/>
  <c r="C115" i="2482"/>
  <c r="C114" i="2482"/>
  <c r="AR108" i="2482"/>
  <c r="AQ108" i="2482"/>
  <c r="AP108" i="2482"/>
  <c r="AO108" i="2482"/>
  <c r="AN108" i="2482"/>
  <c r="AM108" i="2482"/>
  <c r="AL108" i="2482"/>
  <c r="AK108" i="2482"/>
  <c r="AK107" i="2482" s="1"/>
  <c r="AJ108" i="2482"/>
  <c r="AJ107" i="2482" s="1"/>
  <c r="AI108" i="2482"/>
  <c r="AH108" i="2482"/>
  <c r="AH107" i="2482" s="1"/>
  <c r="AG108" i="2482"/>
  <c r="AF108" i="2482"/>
  <c r="AF107" i="2482" s="1"/>
  <c r="AE108" i="2482"/>
  <c r="AD108" i="2482"/>
  <c r="AC108" i="2482"/>
  <c r="AB108" i="2482"/>
  <c r="AB107" i="2482" s="1"/>
  <c r="AA108" i="2482"/>
  <c r="AA107" i="2482" s="1"/>
  <c r="Z108" i="2482"/>
  <c r="Y108" i="2482"/>
  <c r="Y107" i="2482" s="1"/>
  <c r="X108" i="2482"/>
  <c r="W108" i="2482"/>
  <c r="W107" i="2482" s="1"/>
  <c r="V108" i="2482"/>
  <c r="V107" i="2482" s="1"/>
  <c r="U108" i="2482"/>
  <c r="T108" i="2482"/>
  <c r="S108" i="2482"/>
  <c r="S107" i="2482" s="1"/>
  <c r="R108" i="2482"/>
  <c r="R107" i="2482" s="1"/>
  <c r="Q108" i="2482"/>
  <c r="P108" i="2482"/>
  <c r="O108" i="2482"/>
  <c r="N108" i="2482"/>
  <c r="N107" i="2482" s="1"/>
  <c r="M108" i="2482"/>
  <c r="M107" i="2482" s="1"/>
  <c r="M123" i="2482" s="1"/>
  <c r="L108" i="2482"/>
  <c r="K108" i="2482"/>
  <c r="J108" i="2482"/>
  <c r="J107" i="2482" s="1"/>
  <c r="I108" i="2482"/>
  <c r="I107" i="2482" s="1"/>
  <c r="H108" i="2482"/>
  <c r="G108" i="2482"/>
  <c r="G107" i="2482" s="1"/>
  <c r="F108" i="2482"/>
  <c r="E108" i="2482"/>
  <c r="AR107" i="2482"/>
  <c r="AR123" i="2482" s="1"/>
  <c r="AQ107" i="2482"/>
  <c r="AP107" i="2482"/>
  <c r="AO107" i="2482"/>
  <c r="AN107" i="2482"/>
  <c r="AN123" i="2482" s="1"/>
  <c r="AE107" i="2482"/>
  <c r="P107" i="2482"/>
  <c r="D107" i="2482"/>
  <c r="AR106" i="2482"/>
  <c r="AR124" i="2482" s="1"/>
  <c r="AQ106" i="2482"/>
  <c r="AQ124" i="2482" s="1"/>
  <c r="AP106" i="2482"/>
  <c r="AP124" i="2482" s="1"/>
  <c r="AO106" i="2482"/>
  <c r="AO124" i="2482" s="1"/>
  <c r="AN106" i="2482"/>
  <c r="AN124" i="2482" s="1"/>
  <c r="AM106" i="2482"/>
  <c r="AM124" i="2482" s="1"/>
  <c r="AL106" i="2482"/>
  <c r="AL124" i="2482" s="1"/>
  <c r="AK106" i="2482"/>
  <c r="AK124" i="2482" s="1"/>
  <c r="AJ106" i="2482"/>
  <c r="AJ124" i="2482" s="1"/>
  <c r="AI106" i="2482"/>
  <c r="AI124" i="2482" s="1"/>
  <c r="AH106" i="2482"/>
  <c r="AH124" i="2482" s="1"/>
  <c r="AG106" i="2482"/>
  <c r="AG124" i="2482" s="1"/>
  <c r="AF106" i="2482"/>
  <c r="AF124" i="2482" s="1"/>
  <c r="AE106" i="2482"/>
  <c r="AE124" i="2482" s="1"/>
  <c r="AD106" i="2482"/>
  <c r="AD124" i="2482" s="1"/>
  <c r="AC106" i="2482"/>
  <c r="AC124" i="2482" s="1"/>
  <c r="AB106" i="2482"/>
  <c r="AB124" i="2482" s="1"/>
  <c r="AA106" i="2482"/>
  <c r="AA124" i="2482" s="1"/>
  <c r="Z106" i="2482"/>
  <c r="Z124" i="2482" s="1"/>
  <c r="Y106" i="2482"/>
  <c r="Y124" i="2482" s="1"/>
  <c r="X106" i="2482"/>
  <c r="X124" i="2482" s="1"/>
  <c r="W106" i="2482"/>
  <c r="W124" i="2482" s="1"/>
  <c r="V106" i="2482"/>
  <c r="V124" i="2482" s="1"/>
  <c r="U106" i="2482"/>
  <c r="U124" i="2482" s="1"/>
  <c r="T106" i="2482"/>
  <c r="T124" i="2482" s="1"/>
  <c r="S106" i="2482"/>
  <c r="S124" i="2482" s="1"/>
  <c r="R106" i="2482"/>
  <c r="R124" i="2482" s="1"/>
  <c r="Q106" i="2482"/>
  <c r="Q124" i="2482" s="1"/>
  <c r="P106" i="2482"/>
  <c r="P124" i="2482" s="1"/>
  <c r="O106" i="2482"/>
  <c r="O124" i="2482" s="1"/>
  <c r="N106" i="2482"/>
  <c r="N124" i="2482" s="1"/>
  <c r="M106" i="2482"/>
  <c r="M124" i="2482" s="1"/>
  <c r="L106" i="2482"/>
  <c r="L124" i="2482" s="1"/>
  <c r="K106" i="2482"/>
  <c r="K124" i="2482" s="1"/>
  <c r="J106" i="2482"/>
  <c r="J124" i="2482" s="1"/>
  <c r="I106" i="2482"/>
  <c r="I124" i="2482" s="1"/>
  <c r="H106" i="2482"/>
  <c r="H124" i="2482" s="1"/>
  <c r="G106" i="2482"/>
  <c r="G124" i="2482" s="1"/>
  <c r="F106" i="2482"/>
  <c r="F124" i="2482" s="1"/>
  <c r="D106" i="2482"/>
  <c r="E105" i="2482"/>
  <c r="E102" i="2482" s="1"/>
  <c r="C92" i="2482"/>
  <c r="D85" i="2482"/>
  <c r="D84" i="2482"/>
  <c r="D70" i="2482"/>
  <c r="D65" i="2482"/>
  <c r="D64" i="2482"/>
  <c r="D63" i="2482"/>
  <c r="C60" i="2482"/>
  <c r="D59" i="2482"/>
  <c r="C58" i="2482"/>
  <c r="D57" i="2482"/>
  <c r="C56" i="2482"/>
  <c r="D55" i="2482"/>
  <c r="C53" i="2482"/>
  <c r="D49" i="2482"/>
  <c r="C49" i="2482"/>
  <c r="D48" i="2482"/>
  <c r="E47" i="2482"/>
  <c r="D47" i="2482"/>
  <c r="E46" i="2482"/>
  <c r="D46" i="2482"/>
  <c r="E45" i="2482"/>
  <c r="D45" i="2482"/>
  <c r="C35" i="2482"/>
  <c r="C33" i="2482"/>
  <c r="C34" i="2482" s="1"/>
  <c r="L114" i="2482" s="1"/>
  <c r="C27" i="2482"/>
  <c r="C25" i="2482"/>
  <c r="E16" i="2482"/>
  <c r="D16" i="2482"/>
  <c r="E15" i="2482"/>
  <c r="D15" i="2482"/>
  <c r="E13" i="2482"/>
  <c r="D13" i="2482"/>
  <c r="E12" i="2482"/>
  <c r="D12" i="2482"/>
  <c r="C8" i="2482"/>
  <c r="D5" i="2482"/>
  <c r="A1" i="2482"/>
  <c r="D169" i="2481"/>
  <c r="C169" i="2481"/>
  <c r="D168" i="2481"/>
  <c r="C168" i="2481"/>
  <c r="D166" i="2481"/>
  <c r="C166" i="2481"/>
  <c r="B166" i="2481"/>
  <c r="D165" i="2481"/>
  <c r="B165" i="2481"/>
  <c r="D164" i="2481"/>
  <c r="D163" i="2481"/>
  <c r="D150" i="2481"/>
  <c r="AR146" i="2481"/>
  <c r="AQ146" i="2481"/>
  <c r="AP146" i="2481"/>
  <c r="AO146" i="2481"/>
  <c r="AN146" i="2481"/>
  <c r="AM146" i="2481"/>
  <c r="AL146" i="2481"/>
  <c r="AK146" i="2481"/>
  <c r="AJ146" i="2481"/>
  <c r="AI146" i="2481"/>
  <c r="AH146" i="2481"/>
  <c r="AG146" i="2481"/>
  <c r="AF146" i="2481"/>
  <c r="AE146" i="2481"/>
  <c r="AD146" i="2481"/>
  <c r="AC146" i="2481"/>
  <c r="AB146" i="2481"/>
  <c r="AA146" i="2481"/>
  <c r="Z146" i="2481"/>
  <c r="Y146" i="2481"/>
  <c r="AR144" i="2481"/>
  <c r="AQ144" i="2481"/>
  <c r="AP144" i="2481"/>
  <c r="AO144" i="2481"/>
  <c r="AN144" i="2481"/>
  <c r="AM144" i="2481"/>
  <c r="AL144" i="2481"/>
  <c r="AK144" i="2481"/>
  <c r="AJ144" i="2481"/>
  <c r="AI144" i="2481"/>
  <c r="AH144" i="2481"/>
  <c r="AG144" i="2481"/>
  <c r="AF144" i="2481"/>
  <c r="AE144" i="2481"/>
  <c r="AD144" i="2481"/>
  <c r="AC144" i="2481"/>
  <c r="AB144" i="2481"/>
  <c r="AA144" i="2481"/>
  <c r="Z144" i="2481"/>
  <c r="Y144" i="2481"/>
  <c r="X144" i="2481"/>
  <c r="W144" i="2481"/>
  <c r="V144" i="2481"/>
  <c r="U144" i="2481"/>
  <c r="T144" i="2481"/>
  <c r="C144" i="2481"/>
  <c r="AR135" i="2481"/>
  <c r="AQ135" i="2481"/>
  <c r="AP135" i="2481"/>
  <c r="AO135" i="2481"/>
  <c r="AN135" i="2481"/>
  <c r="AM135" i="2481"/>
  <c r="AL135" i="2481"/>
  <c r="AK135" i="2481"/>
  <c r="AJ135" i="2481"/>
  <c r="AI135" i="2481"/>
  <c r="AH135" i="2481"/>
  <c r="AG135" i="2481"/>
  <c r="AF135" i="2481"/>
  <c r="AE135" i="2481"/>
  <c r="AD135" i="2481"/>
  <c r="AC135" i="2481"/>
  <c r="AB135" i="2481"/>
  <c r="AA135" i="2481"/>
  <c r="Z135" i="2481"/>
  <c r="Y135" i="2481"/>
  <c r="AR134" i="2481"/>
  <c r="AQ134" i="2481"/>
  <c r="AP134" i="2481"/>
  <c r="AO134" i="2481"/>
  <c r="AN134" i="2481"/>
  <c r="AM134" i="2481"/>
  <c r="AL134" i="2481"/>
  <c r="AK134" i="2481"/>
  <c r="AJ134" i="2481"/>
  <c r="AI134" i="2481"/>
  <c r="AH134" i="2481"/>
  <c r="AG134" i="2481"/>
  <c r="AF134" i="2481"/>
  <c r="AE134" i="2481"/>
  <c r="AD134" i="2481"/>
  <c r="AC134" i="2481"/>
  <c r="AB134" i="2481"/>
  <c r="AA134" i="2481"/>
  <c r="Z134" i="2481"/>
  <c r="Y134" i="2481"/>
  <c r="AR133" i="2481"/>
  <c r="AQ133" i="2481"/>
  <c r="AP133" i="2481"/>
  <c r="AO133" i="2481"/>
  <c r="AN133" i="2481"/>
  <c r="AM133" i="2481"/>
  <c r="AL133" i="2481"/>
  <c r="AK133" i="2481"/>
  <c r="AJ133" i="2481"/>
  <c r="AI133" i="2481"/>
  <c r="AH133" i="2481"/>
  <c r="AG133" i="2481"/>
  <c r="AF133" i="2481"/>
  <c r="AE133" i="2481"/>
  <c r="AD133" i="2481"/>
  <c r="AC133" i="2481"/>
  <c r="AB133" i="2481"/>
  <c r="AA133" i="2481"/>
  <c r="Z133" i="2481"/>
  <c r="Y133" i="2481"/>
  <c r="E124" i="2481"/>
  <c r="C124" i="2481"/>
  <c r="E123" i="2481"/>
  <c r="C123" i="2481"/>
  <c r="AR122" i="2481"/>
  <c r="AQ122" i="2481"/>
  <c r="AP122" i="2481"/>
  <c r="AO122" i="2481"/>
  <c r="AN122" i="2481"/>
  <c r="AM122" i="2481"/>
  <c r="AL122" i="2481"/>
  <c r="AK122" i="2481"/>
  <c r="AJ122" i="2481"/>
  <c r="AI122" i="2481"/>
  <c r="AH122" i="2481"/>
  <c r="AG122" i="2481"/>
  <c r="AF122" i="2481"/>
  <c r="AE122" i="2481"/>
  <c r="AD122" i="2481"/>
  <c r="AC122" i="2481"/>
  <c r="AB122" i="2481"/>
  <c r="AA122" i="2481"/>
  <c r="Z122" i="2481"/>
  <c r="Y122" i="2481"/>
  <c r="X122" i="2481"/>
  <c r="W122" i="2481"/>
  <c r="V122" i="2481"/>
  <c r="U122" i="2481"/>
  <c r="T122" i="2481"/>
  <c r="S122" i="2481"/>
  <c r="R122" i="2481"/>
  <c r="Q122" i="2481"/>
  <c r="P122" i="2481"/>
  <c r="O122" i="2481"/>
  <c r="N122" i="2481"/>
  <c r="M122" i="2481"/>
  <c r="L122" i="2481"/>
  <c r="K122" i="2481"/>
  <c r="J122" i="2481"/>
  <c r="I122" i="2481"/>
  <c r="H122" i="2481"/>
  <c r="G122" i="2481"/>
  <c r="F122" i="2481"/>
  <c r="E122" i="2481"/>
  <c r="AR121" i="2481"/>
  <c r="AQ121" i="2481"/>
  <c r="AP121" i="2481"/>
  <c r="AO121" i="2481"/>
  <c r="AN121" i="2481"/>
  <c r="S121" i="2481"/>
  <c r="R121" i="2481"/>
  <c r="Q121" i="2481"/>
  <c r="P121" i="2481"/>
  <c r="O121" i="2481"/>
  <c r="N121" i="2481"/>
  <c r="M121" i="2481"/>
  <c r="L121" i="2481"/>
  <c r="K121" i="2481"/>
  <c r="J121" i="2481"/>
  <c r="I121" i="2481"/>
  <c r="H121" i="2481"/>
  <c r="G121" i="2481"/>
  <c r="F121" i="2481"/>
  <c r="E121" i="2481"/>
  <c r="AR120" i="2481"/>
  <c r="AQ120" i="2481"/>
  <c r="AP120" i="2481"/>
  <c r="AO120" i="2481"/>
  <c r="AN120" i="2481"/>
  <c r="AM120" i="2481"/>
  <c r="AL120" i="2481"/>
  <c r="AK120" i="2481"/>
  <c r="AJ120" i="2481"/>
  <c r="AI120" i="2481"/>
  <c r="AH120" i="2481"/>
  <c r="AG120" i="2481"/>
  <c r="AF120" i="2481"/>
  <c r="AE120" i="2481"/>
  <c r="AD120" i="2481"/>
  <c r="AC120" i="2481"/>
  <c r="AB120" i="2481"/>
  <c r="AA120" i="2481"/>
  <c r="Z120" i="2481"/>
  <c r="Y120" i="2481"/>
  <c r="X120" i="2481"/>
  <c r="W120" i="2481"/>
  <c r="V120" i="2481"/>
  <c r="U120" i="2481"/>
  <c r="T120" i="2481"/>
  <c r="S120" i="2481"/>
  <c r="R120" i="2481"/>
  <c r="Q120" i="2481"/>
  <c r="P120" i="2481"/>
  <c r="O120" i="2481"/>
  <c r="N120" i="2481"/>
  <c r="M120" i="2481"/>
  <c r="L120" i="2481"/>
  <c r="K120" i="2481"/>
  <c r="J120" i="2481"/>
  <c r="I120" i="2481"/>
  <c r="H120" i="2481"/>
  <c r="G120" i="2481"/>
  <c r="F120" i="2481"/>
  <c r="E120" i="2481"/>
  <c r="AR119" i="2481"/>
  <c r="AQ119" i="2481"/>
  <c r="AP119" i="2481"/>
  <c r="AO119" i="2481"/>
  <c r="AN119" i="2481"/>
  <c r="C117" i="2481"/>
  <c r="AR116" i="2481"/>
  <c r="AQ116" i="2481"/>
  <c r="AP116" i="2481"/>
  <c r="AO116" i="2481"/>
  <c r="AN116" i="2481"/>
  <c r="AM116" i="2481"/>
  <c r="AL116" i="2481"/>
  <c r="AK116" i="2481"/>
  <c r="AJ116" i="2481"/>
  <c r="AI116" i="2481"/>
  <c r="AH116" i="2481"/>
  <c r="AG116" i="2481"/>
  <c r="AF116" i="2481"/>
  <c r="AE116" i="2481"/>
  <c r="AD116" i="2481"/>
  <c r="AC116" i="2481"/>
  <c r="AB116" i="2481"/>
  <c r="AA116" i="2481"/>
  <c r="Z116" i="2481"/>
  <c r="Y116" i="2481"/>
  <c r="X116" i="2481"/>
  <c r="W116" i="2481"/>
  <c r="V116" i="2481"/>
  <c r="U116" i="2481"/>
  <c r="T116" i="2481"/>
  <c r="S116" i="2481"/>
  <c r="R116" i="2481"/>
  <c r="Q116" i="2481"/>
  <c r="P116" i="2481"/>
  <c r="O116" i="2481"/>
  <c r="N116" i="2481"/>
  <c r="M116" i="2481"/>
  <c r="L116" i="2481"/>
  <c r="K116" i="2481"/>
  <c r="J116" i="2481"/>
  <c r="I116" i="2481"/>
  <c r="H116" i="2481"/>
  <c r="G116" i="2481"/>
  <c r="F116" i="2481"/>
  <c r="E116" i="2481"/>
  <c r="AR115" i="2481"/>
  <c r="AQ115" i="2481"/>
  <c r="AP115" i="2481"/>
  <c r="AO115" i="2481"/>
  <c r="AN115" i="2481"/>
  <c r="AM115" i="2481"/>
  <c r="AL115" i="2481"/>
  <c r="AK115" i="2481"/>
  <c r="AJ115" i="2481"/>
  <c r="AI115" i="2481"/>
  <c r="AH115" i="2481"/>
  <c r="AG115" i="2481"/>
  <c r="AF115" i="2481"/>
  <c r="AE115" i="2481"/>
  <c r="AD115" i="2481"/>
  <c r="AC115" i="2481"/>
  <c r="AB115" i="2481"/>
  <c r="AA115" i="2481"/>
  <c r="Z115" i="2481"/>
  <c r="Y115" i="2481"/>
  <c r="X115" i="2481"/>
  <c r="W115" i="2481"/>
  <c r="V115" i="2481"/>
  <c r="U115" i="2481"/>
  <c r="T115" i="2481"/>
  <c r="S115" i="2481"/>
  <c r="R115" i="2481"/>
  <c r="Q115" i="2481"/>
  <c r="P115" i="2481"/>
  <c r="O115" i="2481"/>
  <c r="N115" i="2481"/>
  <c r="M115" i="2481"/>
  <c r="L115" i="2481"/>
  <c r="K115" i="2481"/>
  <c r="J115" i="2481"/>
  <c r="I115" i="2481"/>
  <c r="H115" i="2481"/>
  <c r="G115" i="2481"/>
  <c r="F115" i="2481"/>
  <c r="E115" i="2481"/>
  <c r="C115" i="2481"/>
  <c r="C114" i="2481"/>
  <c r="AR108" i="2481"/>
  <c r="AQ108" i="2481"/>
  <c r="AP108" i="2481"/>
  <c r="AO108" i="2481"/>
  <c r="AN108" i="2481"/>
  <c r="AM108" i="2481"/>
  <c r="AM107" i="2481" s="1"/>
  <c r="AL108" i="2481"/>
  <c r="AK108" i="2481"/>
  <c r="AK107" i="2481" s="1"/>
  <c r="AJ108" i="2481"/>
  <c r="AJ107" i="2481" s="1"/>
  <c r="AI108" i="2481"/>
  <c r="AI107" i="2481" s="1"/>
  <c r="AH108" i="2481"/>
  <c r="AH107" i="2481" s="1"/>
  <c r="AG108" i="2481"/>
  <c r="AG107" i="2481" s="1"/>
  <c r="AF108" i="2481"/>
  <c r="AF107" i="2481" s="1"/>
  <c r="AE108" i="2481"/>
  <c r="AE107" i="2481" s="1"/>
  <c r="AD108" i="2481"/>
  <c r="AD107" i="2481" s="1"/>
  <c r="AC108" i="2481"/>
  <c r="AB108" i="2481"/>
  <c r="AB107" i="2481" s="1"/>
  <c r="AA108" i="2481"/>
  <c r="AA107" i="2481" s="1"/>
  <c r="Z108" i="2481"/>
  <c r="Z107" i="2481" s="1"/>
  <c r="Y108" i="2481"/>
  <c r="Y107" i="2481" s="1"/>
  <c r="X108" i="2481"/>
  <c r="W108" i="2481"/>
  <c r="V108" i="2481"/>
  <c r="V107" i="2481" s="1"/>
  <c r="U108" i="2481"/>
  <c r="U107" i="2481" s="1"/>
  <c r="T108" i="2481"/>
  <c r="T107" i="2481" s="1"/>
  <c r="S108" i="2481"/>
  <c r="S107" i="2481" s="1"/>
  <c r="R108" i="2481"/>
  <c r="Q108" i="2481"/>
  <c r="P108" i="2481"/>
  <c r="P107" i="2481" s="1"/>
  <c r="O108" i="2481"/>
  <c r="O107" i="2481" s="1"/>
  <c r="N108" i="2481"/>
  <c r="N107" i="2481" s="1"/>
  <c r="M108" i="2481"/>
  <c r="M107" i="2481" s="1"/>
  <c r="L108" i="2481"/>
  <c r="L107" i="2481" s="1"/>
  <c r="K108" i="2481"/>
  <c r="K107" i="2481" s="1"/>
  <c r="J108" i="2481"/>
  <c r="J107" i="2481" s="1"/>
  <c r="I108" i="2481"/>
  <c r="I107" i="2481" s="1"/>
  <c r="H108" i="2481"/>
  <c r="G108" i="2481"/>
  <c r="G107" i="2481" s="1"/>
  <c r="F108" i="2481"/>
  <c r="F107" i="2481" s="1"/>
  <c r="E108" i="2481"/>
  <c r="AR107" i="2481"/>
  <c r="AQ107" i="2481"/>
  <c r="AQ123" i="2481" s="1"/>
  <c r="AP107" i="2481"/>
  <c r="AO107" i="2481"/>
  <c r="AN107" i="2481"/>
  <c r="AN123" i="2481" s="1"/>
  <c r="AL107" i="2481"/>
  <c r="AC107" i="2481"/>
  <c r="X107" i="2481"/>
  <c r="W107" i="2481"/>
  <c r="R107" i="2481"/>
  <c r="Q107" i="2481"/>
  <c r="H107" i="2481"/>
  <c r="D107" i="2481"/>
  <c r="AR106" i="2481"/>
  <c r="AR124" i="2481" s="1"/>
  <c r="AQ106" i="2481"/>
  <c r="AQ124" i="2481" s="1"/>
  <c r="AP106" i="2481"/>
  <c r="AP124" i="2481" s="1"/>
  <c r="AO106" i="2481"/>
  <c r="AO124" i="2481" s="1"/>
  <c r="AN106" i="2481"/>
  <c r="AN124" i="2481" s="1"/>
  <c r="AM106" i="2481"/>
  <c r="AM124" i="2481" s="1"/>
  <c r="AL106" i="2481"/>
  <c r="AL124" i="2481" s="1"/>
  <c r="AK106" i="2481"/>
  <c r="AK124" i="2481" s="1"/>
  <c r="AJ106" i="2481"/>
  <c r="AJ124" i="2481" s="1"/>
  <c r="AI106" i="2481"/>
  <c r="AI124" i="2481" s="1"/>
  <c r="AH106" i="2481"/>
  <c r="AH124" i="2481" s="1"/>
  <c r="AG106" i="2481"/>
  <c r="AG124" i="2481" s="1"/>
  <c r="AF106" i="2481"/>
  <c r="AF124" i="2481" s="1"/>
  <c r="AE106" i="2481"/>
  <c r="AE124" i="2481" s="1"/>
  <c r="AD106" i="2481"/>
  <c r="AD124" i="2481" s="1"/>
  <c r="AC106" i="2481"/>
  <c r="AC124" i="2481" s="1"/>
  <c r="AB106" i="2481"/>
  <c r="AB124" i="2481" s="1"/>
  <c r="AA106" i="2481"/>
  <c r="AA124" i="2481" s="1"/>
  <c r="Z106" i="2481"/>
  <c r="Z124" i="2481" s="1"/>
  <c r="Y106" i="2481"/>
  <c r="Y124" i="2481" s="1"/>
  <c r="X106" i="2481"/>
  <c r="X124" i="2481" s="1"/>
  <c r="W106" i="2481"/>
  <c r="W124" i="2481" s="1"/>
  <c r="V106" i="2481"/>
  <c r="V124" i="2481" s="1"/>
  <c r="U106" i="2481"/>
  <c r="U124" i="2481" s="1"/>
  <c r="T106" i="2481"/>
  <c r="T124" i="2481" s="1"/>
  <c r="S106" i="2481"/>
  <c r="S124" i="2481" s="1"/>
  <c r="R106" i="2481"/>
  <c r="R124" i="2481" s="1"/>
  <c r="Q106" i="2481"/>
  <c r="Q124" i="2481" s="1"/>
  <c r="P106" i="2481"/>
  <c r="P124" i="2481" s="1"/>
  <c r="O106" i="2481"/>
  <c r="O124" i="2481" s="1"/>
  <c r="N106" i="2481"/>
  <c r="N124" i="2481" s="1"/>
  <c r="M106" i="2481"/>
  <c r="M124" i="2481" s="1"/>
  <c r="L106" i="2481"/>
  <c r="L124" i="2481" s="1"/>
  <c r="K106" i="2481"/>
  <c r="K124" i="2481" s="1"/>
  <c r="J106" i="2481"/>
  <c r="J124" i="2481" s="1"/>
  <c r="I106" i="2481"/>
  <c r="I124" i="2481" s="1"/>
  <c r="H106" i="2481"/>
  <c r="H124" i="2481" s="1"/>
  <c r="G106" i="2481"/>
  <c r="G124" i="2481" s="1"/>
  <c r="F106" i="2481"/>
  <c r="F124" i="2481" s="1"/>
  <c r="D106" i="2481"/>
  <c r="E105" i="2481"/>
  <c r="F105" i="2481" s="1"/>
  <c r="G105" i="2481" s="1"/>
  <c r="H105" i="2481" s="1"/>
  <c r="I105" i="2481" s="1"/>
  <c r="J105" i="2481" s="1"/>
  <c r="K105" i="2481" s="1"/>
  <c r="L105" i="2481" s="1"/>
  <c r="M105" i="2481" s="1"/>
  <c r="N105" i="2481" s="1"/>
  <c r="O105" i="2481" s="1"/>
  <c r="P105" i="2481" s="1"/>
  <c r="Q105" i="2481" s="1"/>
  <c r="R105" i="2481" s="1"/>
  <c r="S105" i="2481" s="1"/>
  <c r="T105" i="2481" s="1"/>
  <c r="U105" i="2481" s="1"/>
  <c r="V105" i="2481" s="1"/>
  <c r="W105" i="2481" s="1"/>
  <c r="X105" i="2481" s="1"/>
  <c r="Y105" i="2481" s="1"/>
  <c r="Z105" i="2481" s="1"/>
  <c r="AA105" i="2481" s="1"/>
  <c r="AB105" i="2481" s="1"/>
  <c r="AC105" i="2481" s="1"/>
  <c r="AD105" i="2481" s="1"/>
  <c r="AE105" i="2481" s="1"/>
  <c r="AF105" i="2481" s="1"/>
  <c r="AG105" i="2481" s="1"/>
  <c r="AH105" i="2481" s="1"/>
  <c r="AI105" i="2481" s="1"/>
  <c r="AJ105" i="2481" s="1"/>
  <c r="AK105" i="2481" s="1"/>
  <c r="AL105" i="2481" s="1"/>
  <c r="AM105" i="2481" s="1"/>
  <c r="AN105" i="2481" s="1"/>
  <c r="AO105" i="2481" s="1"/>
  <c r="AP105" i="2481" s="1"/>
  <c r="AQ105" i="2481" s="1"/>
  <c r="AR105" i="2481" s="1"/>
  <c r="D85" i="2481"/>
  <c r="D84" i="2481"/>
  <c r="D70" i="2481"/>
  <c r="D65" i="2481"/>
  <c r="D64" i="2481"/>
  <c r="D63" i="2481"/>
  <c r="C60" i="2481"/>
  <c r="D59" i="2481"/>
  <c r="C58" i="2481"/>
  <c r="D57" i="2481"/>
  <c r="C56" i="2481"/>
  <c r="D55" i="2481"/>
  <c r="C53" i="2481"/>
  <c r="D49" i="2481"/>
  <c r="C49" i="2481"/>
  <c r="D48" i="2481"/>
  <c r="E47" i="2481"/>
  <c r="D47" i="2481"/>
  <c r="E46" i="2481"/>
  <c r="D46" i="2481"/>
  <c r="E45" i="2481"/>
  <c r="D45" i="2481"/>
  <c r="C35" i="2481"/>
  <c r="C33" i="2481"/>
  <c r="C34" i="2481" s="1"/>
  <c r="C27" i="2481"/>
  <c r="C25" i="2481"/>
  <c r="E16" i="2481"/>
  <c r="D16" i="2481"/>
  <c r="E15" i="2481"/>
  <c r="D15" i="2481"/>
  <c r="E13" i="2481"/>
  <c r="D13" i="2481"/>
  <c r="E12" i="2481"/>
  <c r="D12" i="2481"/>
  <c r="C8" i="2481"/>
  <c r="D26" i="2481" s="1"/>
  <c r="D5" i="2481"/>
  <c r="A1" i="2481"/>
  <c r="D169" i="2480"/>
  <c r="C169" i="2480"/>
  <c r="D168" i="2480"/>
  <c r="C168" i="2480"/>
  <c r="D166" i="2480"/>
  <c r="C166" i="2480"/>
  <c r="B166" i="2480"/>
  <c r="D165" i="2480"/>
  <c r="B165" i="2480"/>
  <c r="D164" i="2480"/>
  <c r="D163" i="2480"/>
  <c r="D150" i="2480"/>
  <c r="AR146" i="2480"/>
  <c r="AQ146" i="2480"/>
  <c r="AP146" i="2480"/>
  <c r="AO146" i="2480"/>
  <c r="AN146" i="2480"/>
  <c r="AM146" i="2480"/>
  <c r="AL146" i="2480"/>
  <c r="AK146" i="2480"/>
  <c r="AJ146" i="2480"/>
  <c r="AI146" i="2480"/>
  <c r="AH146" i="2480"/>
  <c r="AG146" i="2480"/>
  <c r="AF146" i="2480"/>
  <c r="AE146" i="2480"/>
  <c r="AD146" i="2480"/>
  <c r="AC146" i="2480"/>
  <c r="AB146" i="2480"/>
  <c r="AA146" i="2480"/>
  <c r="Z146" i="2480"/>
  <c r="Y146" i="2480"/>
  <c r="X146" i="2480"/>
  <c r="W146" i="2480"/>
  <c r="V146" i="2480"/>
  <c r="U146" i="2480"/>
  <c r="T146" i="2480"/>
  <c r="AR144" i="2480"/>
  <c r="AQ144" i="2480"/>
  <c r="AP144" i="2480"/>
  <c r="AO144" i="2480"/>
  <c r="AN144" i="2480"/>
  <c r="AM144" i="2480"/>
  <c r="AL144" i="2480"/>
  <c r="AK144" i="2480"/>
  <c r="AJ144" i="2480"/>
  <c r="AI144" i="2480"/>
  <c r="AH144" i="2480"/>
  <c r="AG144" i="2480"/>
  <c r="AF144" i="2480"/>
  <c r="AE144" i="2480"/>
  <c r="AD144" i="2480"/>
  <c r="AC144" i="2480"/>
  <c r="AB144" i="2480"/>
  <c r="AA144" i="2480"/>
  <c r="Z144" i="2480"/>
  <c r="Y144" i="2480"/>
  <c r="X144" i="2480"/>
  <c r="W144" i="2480"/>
  <c r="V144" i="2480"/>
  <c r="U144" i="2480"/>
  <c r="T144" i="2480"/>
  <c r="C144" i="2480"/>
  <c r="AR135" i="2480"/>
  <c r="AQ135" i="2480"/>
  <c r="AP135" i="2480"/>
  <c r="AO135" i="2480"/>
  <c r="AN135" i="2480"/>
  <c r="AM135" i="2480"/>
  <c r="AL135" i="2480"/>
  <c r="AK135" i="2480"/>
  <c r="AJ135" i="2480"/>
  <c r="AI135" i="2480"/>
  <c r="AH135" i="2480"/>
  <c r="AG135" i="2480"/>
  <c r="AF135" i="2480"/>
  <c r="AE135" i="2480"/>
  <c r="AD135" i="2480"/>
  <c r="AC135" i="2480"/>
  <c r="AB135" i="2480"/>
  <c r="AA135" i="2480"/>
  <c r="Z135" i="2480"/>
  <c r="Y135" i="2480"/>
  <c r="X135" i="2480"/>
  <c r="W135" i="2480"/>
  <c r="V135" i="2480"/>
  <c r="U135" i="2480"/>
  <c r="T135" i="2480"/>
  <c r="AR134" i="2480"/>
  <c r="AQ134" i="2480"/>
  <c r="AP134" i="2480"/>
  <c r="AO134" i="2480"/>
  <c r="AN134" i="2480"/>
  <c r="AM134" i="2480"/>
  <c r="AL134" i="2480"/>
  <c r="AK134" i="2480"/>
  <c r="AJ134" i="2480"/>
  <c r="AI134" i="2480"/>
  <c r="AH134" i="2480"/>
  <c r="AG134" i="2480"/>
  <c r="AF134" i="2480"/>
  <c r="AE134" i="2480"/>
  <c r="AD134" i="2480"/>
  <c r="AC134" i="2480"/>
  <c r="AB134" i="2480"/>
  <c r="AA134" i="2480"/>
  <c r="Z134" i="2480"/>
  <c r="Y134" i="2480"/>
  <c r="X134" i="2480"/>
  <c r="W134" i="2480"/>
  <c r="V134" i="2480"/>
  <c r="U134" i="2480"/>
  <c r="T134" i="2480"/>
  <c r="AR133" i="2480"/>
  <c r="AQ133" i="2480"/>
  <c r="AP133" i="2480"/>
  <c r="AO133" i="2480"/>
  <c r="AN133" i="2480"/>
  <c r="AM133" i="2480"/>
  <c r="AL133" i="2480"/>
  <c r="AK133" i="2480"/>
  <c r="AJ133" i="2480"/>
  <c r="AI133" i="2480"/>
  <c r="AH133" i="2480"/>
  <c r="AG133" i="2480"/>
  <c r="AF133" i="2480"/>
  <c r="AE133" i="2480"/>
  <c r="AD133" i="2480"/>
  <c r="AC133" i="2480"/>
  <c r="AB133" i="2480"/>
  <c r="AA133" i="2480"/>
  <c r="Z133" i="2480"/>
  <c r="Y133" i="2480"/>
  <c r="E124" i="2480"/>
  <c r="C124" i="2480"/>
  <c r="E123" i="2480"/>
  <c r="C123" i="2480"/>
  <c r="AR122" i="2480"/>
  <c r="AQ122" i="2480"/>
  <c r="AP122" i="2480"/>
  <c r="AO122" i="2480"/>
  <c r="AN122" i="2480"/>
  <c r="AM122" i="2480"/>
  <c r="AL122" i="2480"/>
  <c r="AK122" i="2480"/>
  <c r="AJ122" i="2480"/>
  <c r="AI122" i="2480"/>
  <c r="AH122" i="2480"/>
  <c r="AG122" i="2480"/>
  <c r="AF122" i="2480"/>
  <c r="AE122" i="2480"/>
  <c r="AD122" i="2480"/>
  <c r="AC122" i="2480"/>
  <c r="AB122" i="2480"/>
  <c r="AA122" i="2480"/>
  <c r="Z122" i="2480"/>
  <c r="Y122" i="2480"/>
  <c r="X122" i="2480"/>
  <c r="W122" i="2480"/>
  <c r="V122" i="2480"/>
  <c r="U122" i="2480"/>
  <c r="T122" i="2480"/>
  <c r="S122" i="2480"/>
  <c r="R122" i="2480"/>
  <c r="Q122" i="2480"/>
  <c r="P122" i="2480"/>
  <c r="O122" i="2480"/>
  <c r="N122" i="2480"/>
  <c r="M122" i="2480"/>
  <c r="L122" i="2480"/>
  <c r="K122" i="2480"/>
  <c r="J122" i="2480"/>
  <c r="I122" i="2480"/>
  <c r="H122" i="2480"/>
  <c r="G122" i="2480"/>
  <c r="F122" i="2480"/>
  <c r="E122" i="2480"/>
  <c r="AR121" i="2480"/>
  <c r="AQ121" i="2480"/>
  <c r="AP121" i="2480"/>
  <c r="AO121" i="2480"/>
  <c r="AN121" i="2480"/>
  <c r="S121" i="2480"/>
  <c r="R121" i="2480"/>
  <c r="Q121" i="2480"/>
  <c r="P121" i="2480"/>
  <c r="O121" i="2480"/>
  <c r="N121" i="2480"/>
  <c r="M121" i="2480"/>
  <c r="L121" i="2480"/>
  <c r="K121" i="2480"/>
  <c r="J121" i="2480"/>
  <c r="I121" i="2480"/>
  <c r="H121" i="2480"/>
  <c r="G121" i="2480"/>
  <c r="F121" i="2480"/>
  <c r="E121" i="2480"/>
  <c r="AR120" i="2480"/>
  <c r="AQ120" i="2480"/>
  <c r="AP120" i="2480"/>
  <c r="AO120" i="2480"/>
  <c r="AN120" i="2480"/>
  <c r="AM120" i="2480"/>
  <c r="AL120" i="2480"/>
  <c r="AK120" i="2480"/>
  <c r="AJ120" i="2480"/>
  <c r="AI120" i="2480"/>
  <c r="AH120" i="2480"/>
  <c r="AG120" i="2480"/>
  <c r="AF120" i="2480"/>
  <c r="AE120" i="2480"/>
  <c r="AD120" i="2480"/>
  <c r="AC120" i="2480"/>
  <c r="AB120" i="2480"/>
  <c r="AA120" i="2480"/>
  <c r="Z120" i="2480"/>
  <c r="Y120" i="2480"/>
  <c r="X120" i="2480"/>
  <c r="W120" i="2480"/>
  <c r="V120" i="2480"/>
  <c r="U120" i="2480"/>
  <c r="T120" i="2480"/>
  <c r="S120" i="2480"/>
  <c r="R120" i="2480"/>
  <c r="Q120" i="2480"/>
  <c r="P120" i="2480"/>
  <c r="O120" i="2480"/>
  <c r="N120" i="2480"/>
  <c r="M120" i="2480"/>
  <c r="L120" i="2480"/>
  <c r="K120" i="2480"/>
  <c r="J120" i="2480"/>
  <c r="I120" i="2480"/>
  <c r="H120" i="2480"/>
  <c r="G120" i="2480"/>
  <c r="F120" i="2480"/>
  <c r="E120" i="2480"/>
  <c r="AR119" i="2480"/>
  <c r="AQ119" i="2480"/>
  <c r="AP119" i="2480"/>
  <c r="AO119" i="2480"/>
  <c r="AN119" i="2480"/>
  <c r="C117" i="2480"/>
  <c r="AR116" i="2480"/>
  <c r="AQ116" i="2480"/>
  <c r="AP116" i="2480"/>
  <c r="AO116" i="2480"/>
  <c r="AN116" i="2480"/>
  <c r="AM116" i="2480"/>
  <c r="AL116" i="2480"/>
  <c r="AK116" i="2480"/>
  <c r="AJ116" i="2480"/>
  <c r="AI116" i="2480"/>
  <c r="AH116" i="2480"/>
  <c r="AG116" i="2480"/>
  <c r="AF116" i="2480"/>
  <c r="AE116" i="2480"/>
  <c r="AD116" i="2480"/>
  <c r="AC116" i="2480"/>
  <c r="AB116" i="2480"/>
  <c r="AA116" i="2480"/>
  <c r="Z116" i="2480"/>
  <c r="Y116" i="2480"/>
  <c r="X116" i="2480"/>
  <c r="W116" i="2480"/>
  <c r="V116" i="2480"/>
  <c r="U116" i="2480"/>
  <c r="T116" i="2480"/>
  <c r="S116" i="2480"/>
  <c r="R116" i="2480"/>
  <c r="Q116" i="2480"/>
  <c r="P116" i="2480"/>
  <c r="O116" i="2480"/>
  <c r="N116" i="2480"/>
  <c r="M116" i="2480"/>
  <c r="L116" i="2480"/>
  <c r="K116" i="2480"/>
  <c r="J116" i="2480"/>
  <c r="I116" i="2480"/>
  <c r="H116" i="2480"/>
  <c r="G116" i="2480"/>
  <c r="F116" i="2480"/>
  <c r="E116" i="2480"/>
  <c r="AR115" i="2480"/>
  <c r="AQ115" i="2480"/>
  <c r="AP115" i="2480"/>
  <c r="AO115" i="2480"/>
  <c r="AN115" i="2480"/>
  <c r="AM115" i="2480"/>
  <c r="AL115" i="2480"/>
  <c r="AK115" i="2480"/>
  <c r="AJ115" i="2480"/>
  <c r="AI115" i="2480"/>
  <c r="AH115" i="2480"/>
  <c r="AG115" i="2480"/>
  <c r="AF115" i="2480"/>
  <c r="AE115" i="2480"/>
  <c r="AD115" i="2480"/>
  <c r="AC115" i="2480"/>
  <c r="AB115" i="2480"/>
  <c r="AA115" i="2480"/>
  <c r="Z115" i="2480"/>
  <c r="Y115" i="2480"/>
  <c r="X115" i="2480"/>
  <c r="W115" i="2480"/>
  <c r="V115" i="2480"/>
  <c r="U115" i="2480"/>
  <c r="T115" i="2480"/>
  <c r="S115" i="2480"/>
  <c r="R115" i="2480"/>
  <c r="Q115" i="2480"/>
  <c r="P115" i="2480"/>
  <c r="O115" i="2480"/>
  <c r="N115" i="2480"/>
  <c r="M115" i="2480"/>
  <c r="L115" i="2480"/>
  <c r="K115" i="2480"/>
  <c r="J115" i="2480"/>
  <c r="I115" i="2480"/>
  <c r="H115" i="2480"/>
  <c r="G115" i="2480"/>
  <c r="F115" i="2480"/>
  <c r="E115" i="2480"/>
  <c r="C115" i="2480"/>
  <c r="C114" i="2480"/>
  <c r="AR108" i="2480"/>
  <c r="AQ108" i="2480"/>
  <c r="AP108" i="2480"/>
  <c r="AO108" i="2480"/>
  <c r="AN108" i="2480"/>
  <c r="AM108" i="2480"/>
  <c r="AM107" i="2480" s="1"/>
  <c r="AM123" i="2480" s="1"/>
  <c r="AL108" i="2480"/>
  <c r="AK108" i="2480"/>
  <c r="AK107" i="2480" s="1"/>
  <c r="AJ108" i="2480"/>
  <c r="AJ107" i="2480" s="1"/>
  <c r="AJ123" i="2480" s="1"/>
  <c r="AI108" i="2480"/>
  <c r="AH108" i="2480"/>
  <c r="AH107" i="2480" s="1"/>
  <c r="AH123" i="2480" s="1"/>
  <c r="AG108" i="2480"/>
  <c r="AG107" i="2480" s="1"/>
  <c r="AG123" i="2480" s="1"/>
  <c r="AF108" i="2480"/>
  <c r="AE108" i="2480"/>
  <c r="AE107" i="2480" s="1"/>
  <c r="AD108" i="2480"/>
  <c r="AC108" i="2480"/>
  <c r="AB108" i="2480"/>
  <c r="AB107" i="2480" s="1"/>
  <c r="AA108" i="2480"/>
  <c r="AA107" i="2480" s="1"/>
  <c r="AA123" i="2480" s="1"/>
  <c r="Z108" i="2480"/>
  <c r="Y108" i="2480"/>
  <c r="Y107" i="2480" s="1"/>
  <c r="Y123" i="2480" s="1"/>
  <c r="X108" i="2480"/>
  <c r="X107" i="2480" s="1"/>
  <c r="X123" i="2480" s="1"/>
  <c r="W108" i="2480"/>
  <c r="V108" i="2480"/>
  <c r="V107" i="2480" s="1"/>
  <c r="U108" i="2480"/>
  <c r="U107" i="2480" s="1"/>
  <c r="U123" i="2480" s="1"/>
  <c r="T108" i="2480"/>
  <c r="S108" i="2480"/>
  <c r="S107" i="2480" s="1"/>
  <c r="R108" i="2480"/>
  <c r="R107" i="2480" s="1"/>
  <c r="R123" i="2480" s="1"/>
  <c r="Q108" i="2480"/>
  <c r="P108" i="2480"/>
  <c r="O108" i="2480"/>
  <c r="O107" i="2480" s="1"/>
  <c r="O123" i="2480" s="1"/>
  <c r="N108" i="2480"/>
  <c r="M108" i="2480"/>
  <c r="M107" i="2480" s="1"/>
  <c r="L108" i="2480"/>
  <c r="L107" i="2480" s="1"/>
  <c r="L123" i="2480" s="1"/>
  <c r="K108" i="2480"/>
  <c r="J108" i="2480"/>
  <c r="I108" i="2480"/>
  <c r="I107" i="2480" s="1"/>
  <c r="I123" i="2480" s="1"/>
  <c r="H108" i="2480"/>
  <c r="G108" i="2480"/>
  <c r="F108" i="2480"/>
  <c r="F107" i="2480" s="1"/>
  <c r="F123" i="2480" s="1"/>
  <c r="E108" i="2480"/>
  <c r="AR107" i="2480"/>
  <c r="AQ107" i="2480"/>
  <c r="AQ123" i="2480" s="1"/>
  <c r="AP107" i="2480"/>
  <c r="AP123" i="2480" s="1"/>
  <c r="AO107" i="2480"/>
  <c r="AN107" i="2480"/>
  <c r="AD107" i="2480"/>
  <c r="AD123" i="2480" s="1"/>
  <c r="P107" i="2480"/>
  <c r="P123" i="2480" s="1"/>
  <c r="J107" i="2480"/>
  <c r="G107" i="2480"/>
  <c r="G123" i="2480" s="1"/>
  <c r="D107" i="2480"/>
  <c r="AR106" i="2480"/>
  <c r="AR124" i="2480" s="1"/>
  <c r="AQ106" i="2480"/>
  <c r="AQ124" i="2480" s="1"/>
  <c r="AP106" i="2480"/>
  <c r="AP124" i="2480" s="1"/>
  <c r="AO106" i="2480"/>
  <c r="AO124" i="2480" s="1"/>
  <c r="AN106" i="2480"/>
  <c r="AN124" i="2480" s="1"/>
  <c r="AM106" i="2480"/>
  <c r="AM124" i="2480" s="1"/>
  <c r="AL106" i="2480"/>
  <c r="AL124" i="2480" s="1"/>
  <c r="AK106" i="2480"/>
  <c r="AK124" i="2480" s="1"/>
  <c r="AJ106" i="2480"/>
  <c r="AJ124" i="2480" s="1"/>
  <c r="AI106" i="2480"/>
  <c r="AI124" i="2480" s="1"/>
  <c r="AH106" i="2480"/>
  <c r="AH124" i="2480" s="1"/>
  <c r="AG106" i="2480"/>
  <c r="AG124" i="2480" s="1"/>
  <c r="AF106" i="2480"/>
  <c r="AF124" i="2480" s="1"/>
  <c r="AE106" i="2480"/>
  <c r="AE124" i="2480" s="1"/>
  <c r="AD106" i="2480"/>
  <c r="AD124" i="2480" s="1"/>
  <c r="AC106" i="2480"/>
  <c r="AC124" i="2480" s="1"/>
  <c r="AB106" i="2480"/>
  <c r="AB124" i="2480" s="1"/>
  <c r="AA106" i="2480"/>
  <c r="AA124" i="2480" s="1"/>
  <c r="Z106" i="2480"/>
  <c r="Z124" i="2480" s="1"/>
  <c r="Y106" i="2480"/>
  <c r="Y124" i="2480" s="1"/>
  <c r="X106" i="2480"/>
  <c r="X124" i="2480" s="1"/>
  <c r="W106" i="2480"/>
  <c r="W124" i="2480" s="1"/>
  <c r="V106" i="2480"/>
  <c r="V124" i="2480" s="1"/>
  <c r="U106" i="2480"/>
  <c r="U124" i="2480" s="1"/>
  <c r="T106" i="2480"/>
  <c r="T124" i="2480" s="1"/>
  <c r="S106" i="2480"/>
  <c r="S124" i="2480" s="1"/>
  <c r="R106" i="2480"/>
  <c r="R124" i="2480" s="1"/>
  <c r="Q106" i="2480"/>
  <c r="Q124" i="2480" s="1"/>
  <c r="P106" i="2480"/>
  <c r="P124" i="2480" s="1"/>
  <c r="O106" i="2480"/>
  <c r="O124" i="2480" s="1"/>
  <c r="N106" i="2480"/>
  <c r="N124" i="2480" s="1"/>
  <c r="M106" i="2480"/>
  <c r="M124" i="2480" s="1"/>
  <c r="L106" i="2480"/>
  <c r="L124" i="2480" s="1"/>
  <c r="K106" i="2480"/>
  <c r="K124" i="2480" s="1"/>
  <c r="J106" i="2480"/>
  <c r="J124" i="2480" s="1"/>
  <c r="I106" i="2480"/>
  <c r="I124" i="2480" s="1"/>
  <c r="H106" i="2480"/>
  <c r="H124" i="2480" s="1"/>
  <c r="G106" i="2480"/>
  <c r="G124" i="2480" s="1"/>
  <c r="F106" i="2480"/>
  <c r="F124" i="2480" s="1"/>
  <c r="D106" i="2480"/>
  <c r="E105" i="2480"/>
  <c r="E102" i="2480" s="1"/>
  <c r="C92" i="2480"/>
  <c r="D85" i="2480"/>
  <c r="D84" i="2480"/>
  <c r="D70" i="2480"/>
  <c r="D65" i="2480"/>
  <c r="D64" i="2480"/>
  <c r="D63" i="2480"/>
  <c r="C60" i="2480"/>
  <c r="D59" i="2480"/>
  <c r="C58" i="2480"/>
  <c r="D57" i="2480"/>
  <c r="C56" i="2480"/>
  <c r="D55" i="2480"/>
  <c r="C53" i="2480"/>
  <c r="D49" i="2480"/>
  <c r="C49" i="2480"/>
  <c r="D48" i="2480"/>
  <c r="E47" i="2480"/>
  <c r="D47" i="2480"/>
  <c r="E46" i="2480"/>
  <c r="D46" i="2480"/>
  <c r="E45" i="2480"/>
  <c r="D45" i="2480"/>
  <c r="C35" i="2480"/>
  <c r="C33" i="2480"/>
  <c r="C34" i="2480" s="1"/>
  <c r="AR114" i="2480" s="1"/>
  <c r="AR117" i="2480" s="1"/>
  <c r="C27" i="2480"/>
  <c r="C25" i="2480"/>
  <c r="E16" i="2480"/>
  <c r="D16" i="2480"/>
  <c r="E15" i="2480"/>
  <c r="D15" i="2480"/>
  <c r="E13" i="2480"/>
  <c r="D13" i="2480"/>
  <c r="E12" i="2480"/>
  <c r="D12" i="2480"/>
  <c r="C8" i="2480"/>
  <c r="D43" i="2480" s="1"/>
  <c r="D5" i="2480"/>
  <c r="A1" i="2480"/>
  <c r="H1" i="5"/>
  <c r="F9" i="5"/>
  <c r="F12" i="5"/>
  <c r="F5" i="5"/>
  <c r="F1" i="5"/>
  <c r="D3" i="5"/>
  <c r="F3" i="5"/>
  <c r="H3" i="5"/>
  <c r="AP130" i="2485" l="1"/>
  <c r="AP130" i="2484"/>
  <c r="AP130" i="2483"/>
  <c r="AO130" i="2481"/>
  <c r="AR130" i="2481"/>
  <c r="Y136" i="2481"/>
  <c r="AB136" i="2481"/>
  <c r="AE136" i="2481"/>
  <c r="AH136" i="2481"/>
  <c r="AK136" i="2481"/>
  <c r="AN136" i="2481"/>
  <c r="AQ136" i="2481"/>
  <c r="AN130" i="2482"/>
  <c r="AQ130" i="2482"/>
  <c r="U136" i="2482"/>
  <c r="X136" i="2482"/>
  <c r="AA136" i="2482"/>
  <c r="AD136" i="2482"/>
  <c r="AG136" i="2482"/>
  <c r="AJ136" i="2482"/>
  <c r="AM136" i="2482"/>
  <c r="AP136" i="2482"/>
  <c r="V136" i="2483"/>
  <c r="AB136" i="2483"/>
  <c r="AE136" i="2483"/>
  <c r="AK136" i="2483"/>
  <c r="AN136" i="2483"/>
  <c r="AN130" i="2484"/>
  <c r="AQ130" i="2484"/>
  <c r="U136" i="2484"/>
  <c r="X136" i="2484"/>
  <c r="AA136" i="2484"/>
  <c r="AD136" i="2484"/>
  <c r="AG136" i="2484"/>
  <c r="AJ136" i="2484"/>
  <c r="AM136" i="2484"/>
  <c r="AP136" i="2484"/>
  <c r="T136" i="2484"/>
  <c r="W136" i="2484"/>
  <c r="Z136" i="2484"/>
  <c r="AC136" i="2484"/>
  <c r="AF136" i="2484"/>
  <c r="AI136" i="2484"/>
  <c r="AL136" i="2484"/>
  <c r="AO136" i="2484"/>
  <c r="AR136" i="2484"/>
  <c r="U136" i="2485"/>
  <c r="X136" i="2485"/>
  <c r="AD136" i="2485"/>
  <c r="AG136" i="2485"/>
  <c r="AM136" i="2485"/>
  <c r="AP136" i="2485"/>
  <c r="AC136" i="2481"/>
  <c r="AR136" i="2481"/>
  <c r="L117" i="2482"/>
  <c r="L144" i="2482" s="1"/>
  <c r="AO130" i="2482"/>
  <c r="AO130" i="2483"/>
  <c r="AR130" i="2483"/>
  <c r="T136" i="2483"/>
  <c r="W136" i="2483"/>
  <c r="Z136" i="2483"/>
  <c r="AC136" i="2483"/>
  <c r="AF136" i="2483"/>
  <c r="AI136" i="2483"/>
  <c r="AL136" i="2483"/>
  <c r="AO136" i="2483"/>
  <c r="AR136" i="2483"/>
  <c r="V136" i="2484"/>
  <c r="Y136" i="2484"/>
  <c r="AB136" i="2484"/>
  <c r="AE136" i="2484"/>
  <c r="AH136" i="2484"/>
  <c r="AK136" i="2484"/>
  <c r="AN136" i="2484"/>
  <c r="AQ136" i="2484"/>
  <c r="AL136" i="2485"/>
  <c r="AR136" i="2485"/>
  <c r="Y136" i="2480"/>
  <c r="F105" i="2484"/>
  <c r="G105" i="2484" s="1"/>
  <c r="H105" i="2484" s="1"/>
  <c r="I105" i="2484" s="1"/>
  <c r="J105" i="2484" s="1"/>
  <c r="K105" i="2484" s="1"/>
  <c r="L105" i="2484" s="1"/>
  <c r="M105" i="2484" s="1"/>
  <c r="N105" i="2484" s="1"/>
  <c r="O105" i="2484" s="1"/>
  <c r="P105" i="2484" s="1"/>
  <c r="Q105" i="2484" s="1"/>
  <c r="R105" i="2484" s="1"/>
  <c r="S105" i="2484" s="1"/>
  <c r="T105" i="2484" s="1"/>
  <c r="U105" i="2484" s="1"/>
  <c r="V105" i="2484" s="1"/>
  <c r="W105" i="2484" s="1"/>
  <c r="X105" i="2484" s="1"/>
  <c r="Y105" i="2484" s="1"/>
  <c r="Z105" i="2484" s="1"/>
  <c r="AA105" i="2484" s="1"/>
  <c r="AB105" i="2484" s="1"/>
  <c r="AC105" i="2484" s="1"/>
  <c r="AD105" i="2484" s="1"/>
  <c r="AE105" i="2484" s="1"/>
  <c r="AF105" i="2484" s="1"/>
  <c r="AG105" i="2484" s="1"/>
  <c r="AH105" i="2484" s="1"/>
  <c r="AI105" i="2484" s="1"/>
  <c r="AJ105" i="2484" s="1"/>
  <c r="AK105" i="2484" s="1"/>
  <c r="AL105" i="2484" s="1"/>
  <c r="AM105" i="2484" s="1"/>
  <c r="AN105" i="2484" s="1"/>
  <c r="AO105" i="2484" s="1"/>
  <c r="AP105" i="2484" s="1"/>
  <c r="AQ105" i="2484" s="1"/>
  <c r="AR105" i="2484" s="1"/>
  <c r="E102" i="2484"/>
  <c r="C34" i="2485"/>
  <c r="AD114" i="2485" s="1"/>
  <c r="AD117" i="2485" s="1"/>
  <c r="T136" i="2485"/>
  <c r="Z136" i="2485"/>
  <c r="AC136" i="2485"/>
  <c r="AI136" i="2485"/>
  <c r="AN130" i="2485"/>
  <c r="AQ130" i="2485"/>
  <c r="V136" i="2485"/>
  <c r="Y136" i="2485"/>
  <c r="AB136" i="2485"/>
  <c r="AE136" i="2485"/>
  <c r="AH136" i="2485"/>
  <c r="AK136" i="2485"/>
  <c r="AN136" i="2485"/>
  <c r="AQ136" i="2485"/>
  <c r="AA136" i="2485"/>
  <c r="AJ136" i="2485"/>
  <c r="AN130" i="2480"/>
  <c r="AQ130" i="2480"/>
  <c r="U136" i="2480"/>
  <c r="X136" i="2480"/>
  <c r="AA136" i="2480"/>
  <c r="AD136" i="2480"/>
  <c r="AG136" i="2480"/>
  <c r="AJ136" i="2480"/>
  <c r="AM136" i="2480"/>
  <c r="AP136" i="2480"/>
  <c r="AN130" i="2481"/>
  <c r="AQ130" i="2481"/>
  <c r="F105" i="2482"/>
  <c r="G105" i="2482" s="1"/>
  <c r="H105" i="2482" s="1"/>
  <c r="I105" i="2482" s="1"/>
  <c r="J105" i="2482" s="1"/>
  <c r="K105" i="2482" s="1"/>
  <c r="L105" i="2482" s="1"/>
  <c r="M105" i="2482" s="1"/>
  <c r="N105" i="2482" s="1"/>
  <c r="O105" i="2482" s="1"/>
  <c r="P105" i="2482" s="1"/>
  <c r="Q105" i="2482" s="1"/>
  <c r="R105" i="2482" s="1"/>
  <c r="S105" i="2482" s="1"/>
  <c r="T105" i="2482" s="1"/>
  <c r="U105" i="2482" s="1"/>
  <c r="V105" i="2482" s="1"/>
  <c r="W105" i="2482" s="1"/>
  <c r="X105" i="2482" s="1"/>
  <c r="Y105" i="2482" s="1"/>
  <c r="Z105" i="2482" s="1"/>
  <c r="AA105" i="2482" s="1"/>
  <c r="AB105" i="2482" s="1"/>
  <c r="AC105" i="2482" s="1"/>
  <c r="AD105" i="2482" s="1"/>
  <c r="AE105" i="2482" s="1"/>
  <c r="AF105" i="2482" s="1"/>
  <c r="AG105" i="2482" s="1"/>
  <c r="AH105" i="2482" s="1"/>
  <c r="AI105" i="2482" s="1"/>
  <c r="AJ105" i="2482" s="1"/>
  <c r="AK105" i="2482" s="1"/>
  <c r="AL105" i="2482" s="1"/>
  <c r="AM105" i="2482" s="1"/>
  <c r="AN105" i="2482" s="1"/>
  <c r="AO105" i="2482" s="1"/>
  <c r="AP105" i="2482" s="1"/>
  <c r="AQ105" i="2482" s="1"/>
  <c r="AR105" i="2482" s="1"/>
  <c r="W136" i="2482"/>
  <c r="Z136" i="2482"/>
  <c r="AF136" i="2482"/>
  <c r="AI136" i="2482"/>
  <c r="AO136" i="2482"/>
  <c r="AR136" i="2482"/>
  <c r="AN130" i="2483"/>
  <c r="AQ130" i="2483"/>
  <c r="U136" i="2483"/>
  <c r="X136" i="2483"/>
  <c r="AA136" i="2483"/>
  <c r="AD136" i="2483"/>
  <c r="AG136" i="2483"/>
  <c r="AJ136" i="2483"/>
  <c r="AM136" i="2483"/>
  <c r="AP136" i="2483"/>
  <c r="AO130" i="2485"/>
  <c r="W136" i="2485"/>
  <c r="AF136" i="2485"/>
  <c r="AO136" i="2485"/>
  <c r="R114" i="2483"/>
  <c r="R117" i="2483" s="1"/>
  <c r="AF114" i="2483"/>
  <c r="AF117" i="2483" s="1"/>
  <c r="Y136" i="2483"/>
  <c r="AH136" i="2483"/>
  <c r="AQ136" i="2483"/>
  <c r="Z136" i="2481"/>
  <c r="AI136" i="2481"/>
  <c r="AL136" i="2481"/>
  <c r="AQ136" i="2480"/>
  <c r="AR130" i="2485"/>
  <c r="D42" i="2482"/>
  <c r="D28" i="2482"/>
  <c r="D40" i="2482"/>
  <c r="X114" i="2482"/>
  <c r="X117" i="2482" s="1"/>
  <c r="AR114" i="2483"/>
  <c r="AM114" i="2483"/>
  <c r="AM117" i="2483" s="1"/>
  <c r="AI114" i="2483"/>
  <c r="AI117" i="2483" s="1"/>
  <c r="AD114" i="2483"/>
  <c r="AD117" i="2483" s="1"/>
  <c r="AD127" i="2483" s="1"/>
  <c r="Z114" i="2483"/>
  <c r="Z117" i="2483" s="1"/>
  <c r="U114" i="2483"/>
  <c r="U117" i="2483" s="1"/>
  <c r="Q114" i="2483"/>
  <c r="Q117" i="2483" s="1"/>
  <c r="Q144" i="2483" s="1"/>
  <c r="L114" i="2483"/>
  <c r="L117" i="2483" s="1"/>
  <c r="L144" i="2483" s="1"/>
  <c r="H114" i="2483"/>
  <c r="H117" i="2483" s="1"/>
  <c r="H144" i="2483" s="1"/>
  <c r="AP114" i="2483"/>
  <c r="AP117" i="2483" s="1"/>
  <c r="AL114" i="2483"/>
  <c r="AL117" i="2483" s="1"/>
  <c r="AG114" i="2483"/>
  <c r="AG117" i="2483" s="1"/>
  <c r="AG125" i="2483" s="1"/>
  <c r="AC114" i="2483"/>
  <c r="AC117" i="2483" s="1"/>
  <c r="X114" i="2483"/>
  <c r="X117" i="2483" s="1"/>
  <c r="X127" i="2483" s="1"/>
  <c r="T114" i="2483"/>
  <c r="T117" i="2483" s="1"/>
  <c r="O114" i="2483"/>
  <c r="O117" i="2483" s="1"/>
  <c r="O144" i="2483" s="1"/>
  <c r="K114" i="2483"/>
  <c r="K117" i="2483" s="1"/>
  <c r="K144" i="2483" s="1"/>
  <c r="F114" i="2483"/>
  <c r="F117" i="2483" s="1"/>
  <c r="F144" i="2483" s="1"/>
  <c r="E102" i="2483"/>
  <c r="F105" i="2483"/>
  <c r="G105" i="2483" s="1"/>
  <c r="H105" i="2483" s="1"/>
  <c r="I105" i="2483" s="1"/>
  <c r="J105" i="2483" s="1"/>
  <c r="K105" i="2483" s="1"/>
  <c r="L105" i="2483" s="1"/>
  <c r="M105" i="2483" s="1"/>
  <c r="N105" i="2483" s="1"/>
  <c r="O105" i="2483" s="1"/>
  <c r="P105" i="2483" s="1"/>
  <c r="Q105" i="2483" s="1"/>
  <c r="R105" i="2483" s="1"/>
  <c r="S105" i="2483" s="1"/>
  <c r="T105" i="2483" s="1"/>
  <c r="U105" i="2483" s="1"/>
  <c r="V105" i="2483" s="1"/>
  <c r="W105" i="2483" s="1"/>
  <c r="X105" i="2483" s="1"/>
  <c r="Y105" i="2483" s="1"/>
  <c r="Z105" i="2483" s="1"/>
  <c r="AA105" i="2483" s="1"/>
  <c r="AB105" i="2483" s="1"/>
  <c r="AC105" i="2483" s="1"/>
  <c r="AD105" i="2483" s="1"/>
  <c r="AE105" i="2483" s="1"/>
  <c r="AF105" i="2483" s="1"/>
  <c r="AG105" i="2483" s="1"/>
  <c r="AH105" i="2483" s="1"/>
  <c r="AI105" i="2483" s="1"/>
  <c r="AJ105" i="2483" s="1"/>
  <c r="AK105" i="2483" s="1"/>
  <c r="AL105" i="2483" s="1"/>
  <c r="AM105" i="2483" s="1"/>
  <c r="AN105" i="2483" s="1"/>
  <c r="AO105" i="2483" s="1"/>
  <c r="AP105" i="2483" s="1"/>
  <c r="AQ105" i="2483" s="1"/>
  <c r="AR105" i="2483" s="1"/>
  <c r="G123" i="2483"/>
  <c r="L123" i="2483"/>
  <c r="P123" i="2483"/>
  <c r="U123" i="2483"/>
  <c r="U127" i="2483" s="1"/>
  <c r="Y123" i="2483"/>
  <c r="AH123" i="2483"/>
  <c r="AM123" i="2483"/>
  <c r="H107" i="2483"/>
  <c r="K107" i="2483"/>
  <c r="N123" i="2483"/>
  <c r="Q107" i="2483"/>
  <c r="T107" i="2483"/>
  <c r="W123" i="2483"/>
  <c r="Z107" i="2483"/>
  <c r="AC107" i="2483"/>
  <c r="AF123" i="2483"/>
  <c r="AI107" i="2483"/>
  <c r="AL107" i="2483"/>
  <c r="I114" i="2483"/>
  <c r="I117" i="2483" s="1"/>
  <c r="W114" i="2483"/>
  <c r="W117" i="2483" s="1"/>
  <c r="AJ114" i="2483"/>
  <c r="AJ117" i="2483" s="1"/>
  <c r="C165" i="2485"/>
  <c r="C165" i="2484"/>
  <c r="C165" i="2483"/>
  <c r="C163" i="2485"/>
  <c r="C163" i="2484"/>
  <c r="C163" i="2483"/>
  <c r="AH136" i="2480"/>
  <c r="E102" i="2481"/>
  <c r="AM114" i="2482"/>
  <c r="AM117" i="2482" s="1"/>
  <c r="N114" i="2483"/>
  <c r="N117" i="2483" s="1"/>
  <c r="N144" i="2483" s="1"/>
  <c r="AA114" i="2483"/>
  <c r="AA117" i="2483" s="1"/>
  <c r="AO114" i="2483"/>
  <c r="AP123" i="2483"/>
  <c r="C164" i="2485"/>
  <c r="C164" i="2484"/>
  <c r="C164" i="2483"/>
  <c r="AP130" i="2480"/>
  <c r="T136" i="2480"/>
  <c r="AC136" i="2480"/>
  <c r="AL136" i="2480"/>
  <c r="AP114" i="2482"/>
  <c r="AP117" i="2482" s="1"/>
  <c r="E117" i="2483"/>
  <c r="C158" i="2483"/>
  <c r="C159" i="2483" s="1"/>
  <c r="E126" i="2483"/>
  <c r="AA136" i="2481"/>
  <c r="AD136" i="2481"/>
  <c r="AG136" i="2481"/>
  <c r="AJ136" i="2481"/>
  <c r="AM136" i="2481"/>
  <c r="AP136" i="2481"/>
  <c r="O114" i="2482"/>
  <c r="O117" i="2482" s="1"/>
  <c r="O144" i="2482" s="1"/>
  <c r="AD114" i="2482"/>
  <c r="AD117" i="2482" s="1"/>
  <c r="D43" i="2483"/>
  <c r="D39" i="2483"/>
  <c r="D26" i="2483"/>
  <c r="D21" i="2483"/>
  <c r="D28" i="2483"/>
  <c r="D42" i="2483"/>
  <c r="R126" i="2483"/>
  <c r="AQ123" i="2483"/>
  <c r="D40" i="2484"/>
  <c r="D28" i="2484"/>
  <c r="D26" i="2484"/>
  <c r="D42" i="2484"/>
  <c r="D39" i="2484"/>
  <c r="D21" i="2484"/>
  <c r="AF136" i="2481"/>
  <c r="AO136" i="2481"/>
  <c r="AR114" i="2482"/>
  <c r="AR117" i="2482" s="1"/>
  <c r="AR127" i="2482" s="1"/>
  <c r="AJ114" i="2482"/>
  <c r="AJ117" i="2482" s="1"/>
  <c r="AA114" i="2482"/>
  <c r="AA117" i="2482" s="1"/>
  <c r="R114" i="2482"/>
  <c r="R117" i="2482" s="1"/>
  <c r="R144" i="2482" s="1"/>
  <c r="I114" i="2482"/>
  <c r="I117" i="2482" s="1"/>
  <c r="I144" i="2482" s="1"/>
  <c r="F114" i="2482"/>
  <c r="F117" i="2482" s="1"/>
  <c r="F144" i="2482" s="1"/>
  <c r="U114" i="2482"/>
  <c r="U117" i="2482" s="1"/>
  <c r="AG114" i="2482"/>
  <c r="AG117" i="2482" s="1"/>
  <c r="T136" i="2482"/>
  <c r="AC136" i="2482"/>
  <c r="AL136" i="2482"/>
  <c r="AQ114" i="2483"/>
  <c r="AQ117" i="2483" s="1"/>
  <c r="C153" i="2483"/>
  <c r="I123" i="2483"/>
  <c r="M123" i="2483"/>
  <c r="R123" i="2483"/>
  <c r="V123" i="2483"/>
  <c r="AA123" i="2483"/>
  <c r="AE123" i="2483"/>
  <c r="AJ123" i="2483"/>
  <c r="AN123" i="2483"/>
  <c r="I123" i="2484"/>
  <c r="R123" i="2484"/>
  <c r="W123" i="2484"/>
  <c r="AF123" i="2484"/>
  <c r="AJ123" i="2484"/>
  <c r="N123" i="2484"/>
  <c r="AR123" i="2484"/>
  <c r="J107" i="2484"/>
  <c r="S107" i="2484"/>
  <c r="AB107" i="2484"/>
  <c r="AK107" i="2484"/>
  <c r="P123" i="2484"/>
  <c r="AC123" i="2484"/>
  <c r="C34" i="2484"/>
  <c r="AK114" i="2484" s="1"/>
  <c r="AK117" i="2484" s="1"/>
  <c r="H123" i="2484"/>
  <c r="L123" i="2484"/>
  <c r="Q123" i="2484"/>
  <c r="U123" i="2484"/>
  <c r="Z123" i="2484"/>
  <c r="AD123" i="2484"/>
  <c r="AI123" i="2484"/>
  <c r="AM123" i="2484"/>
  <c r="G114" i="2484"/>
  <c r="G117" i="2484" s="1"/>
  <c r="G144" i="2484" s="1"/>
  <c r="K123" i="2484"/>
  <c r="Y123" i="2484"/>
  <c r="AL123" i="2484"/>
  <c r="F123" i="2485"/>
  <c r="S123" i="2485"/>
  <c r="AG123" i="2485"/>
  <c r="E102" i="2485"/>
  <c r="F105" i="2485"/>
  <c r="G105" i="2485" s="1"/>
  <c r="H105" i="2485" s="1"/>
  <c r="I105" i="2485" s="1"/>
  <c r="J105" i="2485" s="1"/>
  <c r="K105" i="2485" s="1"/>
  <c r="L105" i="2485" s="1"/>
  <c r="M105" i="2485" s="1"/>
  <c r="N105" i="2485" s="1"/>
  <c r="O105" i="2485" s="1"/>
  <c r="P105" i="2485" s="1"/>
  <c r="Q105" i="2485" s="1"/>
  <c r="R105" i="2485" s="1"/>
  <c r="S105" i="2485" s="1"/>
  <c r="T105" i="2485" s="1"/>
  <c r="U105" i="2485" s="1"/>
  <c r="V105" i="2485" s="1"/>
  <c r="W105" i="2485" s="1"/>
  <c r="X105" i="2485" s="1"/>
  <c r="Y105" i="2485" s="1"/>
  <c r="Z105" i="2485" s="1"/>
  <c r="AA105" i="2485" s="1"/>
  <c r="AB105" i="2485" s="1"/>
  <c r="AC105" i="2485" s="1"/>
  <c r="AD105" i="2485" s="1"/>
  <c r="AE105" i="2485" s="1"/>
  <c r="AF105" i="2485" s="1"/>
  <c r="AG105" i="2485" s="1"/>
  <c r="AH105" i="2485" s="1"/>
  <c r="AI105" i="2485" s="1"/>
  <c r="AJ105" i="2485" s="1"/>
  <c r="AK105" i="2485" s="1"/>
  <c r="AL105" i="2485" s="1"/>
  <c r="AM105" i="2485" s="1"/>
  <c r="AN105" i="2485" s="1"/>
  <c r="AO105" i="2485" s="1"/>
  <c r="AP105" i="2485" s="1"/>
  <c r="AQ105" i="2485" s="1"/>
  <c r="AR105" i="2485" s="1"/>
  <c r="G123" i="2485"/>
  <c r="L123" i="2485"/>
  <c r="P123" i="2485"/>
  <c r="U123" i="2485"/>
  <c r="Y123" i="2485"/>
  <c r="AD123" i="2485"/>
  <c r="AH123" i="2485"/>
  <c r="AM123" i="2485"/>
  <c r="H123" i="2485"/>
  <c r="K107" i="2485"/>
  <c r="Q123" i="2485"/>
  <c r="T107" i="2485"/>
  <c r="Z123" i="2485"/>
  <c r="AC107" i="2485"/>
  <c r="AI123" i="2485"/>
  <c r="AL107" i="2485"/>
  <c r="O123" i="2485"/>
  <c r="AB123" i="2485"/>
  <c r="AP123" i="2485"/>
  <c r="AP130" i="2482"/>
  <c r="V136" i="2482"/>
  <c r="Y136" i="2482"/>
  <c r="AB136" i="2482"/>
  <c r="AE136" i="2482"/>
  <c r="AH136" i="2482"/>
  <c r="AK136" i="2482"/>
  <c r="AN136" i="2482"/>
  <c r="AQ136" i="2482"/>
  <c r="G114" i="2483"/>
  <c r="G117" i="2483" s="1"/>
  <c r="G144" i="2483" s="1"/>
  <c r="J114" i="2483"/>
  <c r="J117" i="2483" s="1"/>
  <c r="J144" i="2483" s="1"/>
  <c r="M114" i="2483"/>
  <c r="M117" i="2483" s="1"/>
  <c r="M144" i="2483" s="1"/>
  <c r="P114" i="2483"/>
  <c r="P117" i="2483" s="1"/>
  <c r="P144" i="2483" s="1"/>
  <c r="S114" i="2483"/>
  <c r="S117" i="2483" s="1"/>
  <c r="S144" i="2483" s="1"/>
  <c r="V114" i="2483"/>
  <c r="V117" i="2483" s="1"/>
  <c r="Y114" i="2483"/>
  <c r="Y117" i="2483" s="1"/>
  <c r="Y125" i="2483" s="1"/>
  <c r="AB114" i="2483"/>
  <c r="AB117" i="2483" s="1"/>
  <c r="AB127" i="2483" s="1"/>
  <c r="AE114" i="2483"/>
  <c r="AE117" i="2483" s="1"/>
  <c r="AE125" i="2483" s="1"/>
  <c r="AH114" i="2483"/>
  <c r="AH117" i="2483" s="1"/>
  <c r="AH125" i="2483" s="1"/>
  <c r="AK114" i="2483"/>
  <c r="AK117" i="2483" s="1"/>
  <c r="AK127" i="2483" s="1"/>
  <c r="AN114" i="2483"/>
  <c r="AN117" i="2483" s="1"/>
  <c r="AO130" i="2484"/>
  <c r="AR130" i="2484"/>
  <c r="D43" i="2485"/>
  <c r="D39" i="2485"/>
  <c r="D26" i="2485"/>
  <c r="D21" i="2485"/>
  <c r="D28" i="2485"/>
  <c r="D42" i="2485"/>
  <c r="AQ123" i="2485"/>
  <c r="C164" i="2481"/>
  <c r="C164" i="2482"/>
  <c r="C165" i="2481"/>
  <c r="C165" i="2482"/>
  <c r="V136" i="2480"/>
  <c r="AB136" i="2480"/>
  <c r="AE136" i="2480"/>
  <c r="AK136" i="2480"/>
  <c r="AN136" i="2480"/>
  <c r="C164" i="2480"/>
  <c r="AJ121" i="2480" s="1"/>
  <c r="C165" i="2480"/>
  <c r="G123" i="2481"/>
  <c r="J123" i="2481"/>
  <c r="M123" i="2481"/>
  <c r="P123" i="2481"/>
  <c r="S123" i="2481"/>
  <c r="V123" i="2481"/>
  <c r="Y123" i="2481"/>
  <c r="AB123" i="2481"/>
  <c r="AE123" i="2481"/>
  <c r="AH123" i="2481"/>
  <c r="AK123" i="2481"/>
  <c r="C163" i="2482"/>
  <c r="C163" i="2481"/>
  <c r="AQ114" i="2480"/>
  <c r="AQ117" i="2480" s="1"/>
  <c r="AQ125" i="2480" s="1"/>
  <c r="C163" i="2480"/>
  <c r="D40" i="2481"/>
  <c r="D28" i="2481"/>
  <c r="D21" i="2481"/>
  <c r="D43" i="2481"/>
  <c r="W136" i="2480"/>
  <c r="Z136" i="2480"/>
  <c r="AF136" i="2480"/>
  <c r="AI136" i="2480"/>
  <c r="AO136" i="2480"/>
  <c r="AR136" i="2480"/>
  <c r="AP114" i="2481"/>
  <c r="AP117" i="2481" s="1"/>
  <c r="AM114" i="2481"/>
  <c r="AM117" i="2481" s="1"/>
  <c r="AJ114" i="2481"/>
  <c r="AJ117" i="2481" s="1"/>
  <c r="AG114" i="2481"/>
  <c r="AG117" i="2481" s="1"/>
  <c r="AD114" i="2481"/>
  <c r="AD117" i="2481" s="1"/>
  <c r="AA114" i="2481"/>
  <c r="AA117" i="2481" s="1"/>
  <c r="X114" i="2481"/>
  <c r="X117" i="2481" s="1"/>
  <c r="U114" i="2481"/>
  <c r="U117" i="2481" s="1"/>
  <c r="R114" i="2481"/>
  <c r="R117" i="2481" s="1"/>
  <c r="R144" i="2481" s="1"/>
  <c r="O114" i="2481"/>
  <c r="O117" i="2481" s="1"/>
  <c r="O144" i="2481" s="1"/>
  <c r="L114" i="2481"/>
  <c r="L117" i="2481" s="1"/>
  <c r="L144" i="2481" s="1"/>
  <c r="I114" i="2481"/>
  <c r="I117" i="2481" s="1"/>
  <c r="I144" i="2481" s="1"/>
  <c r="F114" i="2481"/>
  <c r="F117" i="2481" s="1"/>
  <c r="F144" i="2481" s="1"/>
  <c r="AR114" i="2481"/>
  <c r="AR117" i="2481" s="1"/>
  <c r="AO114" i="2481"/>
  <c r="AO117" i="2481" s="1"/>
  <c r="AL114" i="2481"/>
  <c r="AL117" i="2481" s="1"/>
  <c r="AI114" i="2481"/>
  <c r="AI117" i="2481" s="1"/>
  <c r="AF114" i="2481"/>
  <c r="AF117" i="2481" s="1"/>
  <c r="AC114" i="2481"/>
  <c r="AC117" i="2481" s="1"/>
  <c r="Z114" i="2481"/>
  <c r="Z117" i="2481" s="1"/>
  <c r="W114" i="2481"/>
  <c r="W117" i="2481" s="1"/>
  <c r="T114" i="2481"/>
  <c r="T117" i="2481" s="1"/>
  <c r="Q114" i="2481"/>
  <c r="Q117" i="2481" s="1"/>
  <c r="Q144" i="2481" s="1"/>
  <c r="N114" i="2481"/>
  <c r="N117" i="2481" s="1"/>
  <c r="N144" i="2481" s="1"/>
  <c r="K114" i="2481"/>
  <c r="K117" i="2481" s="1"/>
  <c r="K144" i="2481" s="1"/>
  <c r="H114" i="2481"/>
  <c r="H117" i="2481" s="1"/>
  <c r="H144" i="2481" s="1"/>
  <c r="E114" i="2481"/>
  <c r="AQ114" i="2481"/>
  <c r="AQ117" i="2481" s="1"/>
  <c r="AQ125" i="2481" s="1"/>
  <c r="AN114" i="2481"/>
  <c r="AN117" i="2481" s="1"/>
  <c r="AN125" i="2481" s="1"/>
  <c r="AK114" i="2481"/>
  <c r="AK117" i="2481" s="1"/>
  <c r="AH114" i="2481"/>
  <c r="AH117" i="2481" s="1"/>
  <c r="AE114" i="2481"/>
  <c r="AE117" i="2481" s="1"/>
  <c r="AB114" i="2481"/>
  <c r="AB117" i="2481" s="1"/>
  <c r="Y114" i="2481"/>
  <c r="Y117" i="2481" s="1"/>
  <c r="V114" i="2481"/>
  <c r="V117" i="2481" s="1"/>
  <c r="S114" i="2481"/>
  <c r="S117" i="2481" s="1"/>
  <c r="S144" i="2481" s="1"/>
  <c r="P114" i="2481"/>
  <c r="P117" i="2481" s="1"/>
  <c r="P144" i="2481" s="1"/>
  <c r="M114" i="2481"/>
  <c r="M117" i="2481" s="1"/>
  <c r="M144" i="2481" s="1"/>
  <c r="J114" i="2481"/>
  <c r="J117" i="2481" s="1"/>
  <c r="J144" i="2481" s="1"/>
  <c r="G114" i="2481"/>
  <c r="G117" i="2481" s="1"/>
  <c r="G144" i="2481" s="1"/>
  <c r="D39" i="2481"/>
  <c r="D42" i="2481"/>
  <c r="H123" i="2481"/>
  <c r="K123" i="2481"/>
  <c r="N123" i="2481"/>
  <c r="Q123" i="2481"/>
  <c r="T123" i="2481"/>
  <c r="W123" i="2481"/>
  <c r="Z123" i="2481"/>
  <c r="AC123" i="2481"/>
  <c r="AF123" i="2481"/>
  <c r="AI123" i="2481"/>
  <c r="AL123" i="2481"/>
  <c r="AO123" i="2481"/>
  <c r="AR123" i="2481"/>
  <c r="F123" i="2481"/>
  <c r="I123" i="2481"/>
  <c r="L123" i="2481"/>
  <c r="O123" i="2481"/>
  <c r="R123" i="2481"/>
  <c r="U123" i="2481"/>
  <c r="X123" i="2481"/>
  <c r="AA123" i="2481"/>
  <c r="AD123" i="2481"/>
  <c r="AG123" i="2481"/>
  <c r="AJ123" i="2481"/>
  <c r="AM123" i="2481"/>
  <c r="AP123" i="2481"/>
  <c r="C153" i="2481"/>
  <c r="AP130" i="2481"/>
  <c r="C153" i="2482"/>
  <c r="S123" i="2482"/>
  <c r="AB123" i="2482"/>
  <c r="AK123" i="2482"/>
  <c r="N123" i="2482"/>
  <c r="W123" i="2482"/>
  <c r="V123" i="2482"/>
  <c r="AE123" i="2482"/>
  <c r="AQ123" i="2482"/>
  <c r="F107" i="2482"/>
  <c r="I123" i="2482"/>
  <c r="L107" i="2482"/>
  <c r="O107" i="2482"/>
  <c r="R123" i="2482"/>
  <c r="U107" i="2482"/>
  <c r="X107" i="2482"/>
  <c r="AA123" i="2482"/>
  <c r="AD107" i="2482"/>
  <c r="AG107" i="2482"/>
  <c r="AJ123" i="2482"/>
  <c r="AM107" i="2482"/>
  <c r="G123" i="2482"/>
  <c r="P123" i="2482"/>
  <c r="Y123" i="2482"/>
  <c r="AH123" i="2482"/>
  <c r="J123" i="2482"/>
  <c r="AF123" i="2482"/>
  <c r="D26" i="2482"/>
  <c r="D39" i="2482"/>
  <c r="D43" i="2482"/>
  <c r="H107" i="2482"/>
  <c r="K107" i="2482"/>
  <c r="Q107" i="2482"/>
  <c r="T107" i="2482"/>
  <c r="Z107" i="2482"/>
  <c r="AC107" i="2482"/>
  <c r="AI107" i="2482"/>
  <c r="AL107" i="2482"/>
  <c r="G114" i="2482"/>
  <c r="G117" i="2482" s="1"/>
  <c r="G144" i="2482" s="1"/>
  <c r="J114" i="2482"/>
  <c r="J117" i="2482" s="1"/>
  <c r="J144" i="2482" s="1"/>
  <c r="M114" i="2482"/>
  <c r="M117" i="2482" s="1"/>
  <c r="M144" i="2482" s="1"/>
  <c r="P114" i="2482"/>
  <c r="P117" i="2482" s="1"/>
  <c r="P144" i="2482" s="1"/>
  <c r="S114" i="2482"/>
  <c r="S117" i="2482" s="1"/>
  <c r="S144" i="2482" s="1"/>
  <c r="V114" i="2482"/>
  <c r="V117" i="2482" s="1"/>
  <c r="Y114" i="2482"/>
  <c r="Y117" i="2482" s="1"/>
  <c r="AB114" i="2482"/>
  <c r="AB117" i="2482" s="1"/>
  <c r="AE114" i="2482"/>
  <c r="AE117" i="2482" s="1"/>
  <c r="AH114" i="2482"/>
  <c r="AH117" i="2482" s="1"/>
  <c r="AK114" i="2482"/>
  <c r="AK117" i="2482" s="1"/>
  <c r="AN114" i="2482"/>
  <c r="AN117" i="2482" s="1"/>
  <c r="AN127" i="2482" s="1"/>
  <c r="AQ114" i="2482"/>
  <c r="AQ117" i="2482" s="1"/>
  <c r="AR130" i="2482"/>
  <c r="D21" i="2482"/>
  <c r="AP123" i="2482"/>
  <c r="E114" i="2482"/>
  <c r="H114" i="2482"/>
  <c r="H117" i="2482" s="1"/>
  <c r="H144" i="2482" s="1"/>
  <c r="K114" i="2482"/>
  <c r="K117" i="2482" s="1"/>
  <c r="K144" i="2482" s="1"/>
  <c r="N114" i="2482"/>
  <c r="N117" i="2482" s="1"/>
  <c r="N144" i="2482" s="1"/>
  <c r="Q114" i="2482"/>
  <c r="Q117" i="2482" s="1"/>
  <c r="Q144" i="2482" s="1"/>
  <c r="T114" i="2482"/>
  <c r="T117" i="2482" s="1"/>
  <c r="W114" i="2482"/>
  <c r="W117" i="2482" s="1"/>
  <c r="Z114" i="2482"/>
  <c r="Z117" i="2482" s="1"/>
  <c r="AC114" i="2482"/>
  <c r="AC117" i="2482" s="1"/>
  <c r="AF114" i="2482"/>
  <c r="AF117" i="2482" s="1"/>
  <c r="AI114" i="2482"/>
  <c r="AI117" i="2482" s="1"/>
  <c r="AL114" i="2482"/>
  <c r="AL117" i="2482" s="1"/>
  <c r="AO114" i="2482"/>
  <c r="AO117" i="2482" s="1"/>
  <c r="AO123" i="2482"/>
  <c r="H114" i="2480"/>
  <c r="H117" i="2480" s="1"/>
  <c r="H144" i="2480" s="1"/>
  <c r="N114" i="2480"/>
  <c r="N117" i="2480" s="1"/>
  <c r="N144" i="2480" s="1"/>
  <c r="Q114" i="2480"/>
  <c r="Q117" i="2480" s="1"/>
  <c r="Q144" i="2480" s="1"/>
  <c r="W114" i="2480"/>
  <c r="W117" i="2480" s="1"/>
  <c r="AC114" i="2480"/>
  <c r="AC117" i="2480" s="1"/>
  <c r="AI114" i="2480"/>
  <c r="AI117" i="2480" s="1"/>
  <c r="AO114" i="2480"/>
  <c r="AO117" i="2480" s="1"/>
  <c r="W121" i="2480"/>
  <c r="C153" i="2480"/>
  <c r="F105" i="2480"/>
  <c r="G105" i="2480" s="1"/>
  <c r="H105" i="2480" s="1"/>
  <c r="I105" i="2480" s="1"/>
  <c r="J105" i="2480" s="1"/>
  <c r="K105" i="2480" s="1"/>
  <c r="L105" i="2480" s="1"/>
  <c r="M105" i="2480" s="1"/>
  <c r="N105" i="2480" s="1"/>
  <c r="O105" i="2480" s="1"/>
  <c r="P105" i="2480" s="1"/>
  <c r="Q105" i="2480" s="1"/>
  <c r="R105" i="2480" s="1"/>
  <c r="S105" i="2480" s="1"/>
  <c r="T105" i="2480" s="1"/>
  <c r="U105" i="2480" s="1"/>
  <c r="V105" i="2480" s="1"/>
  <c r="W105" i="2480" s="1"/>
  <c r="X105" i="2480" s="1"/>
  <c r="Y105" i="2480" s="1"/>
  <c r="Z105" i="2480" s="1"/>
  <c r="AA105" i="2480" s="1"/>
  <c r="AB105" i="2480" s="1"/>
  <c r="AC105" i="2480" s="1"/>
  <c r="AD105" i="2480" s="1"/>
  <c r="AE105" i="2480" s="1"/>
  <c r="AF105" i="2480" s="1"/>
  <c r="AG105" i="2480" s="1"/>
  <c r="AH105" i="2480" s="1"/>
  <c r="AI105" i="2480" s="1"/>
  <c r="AJ105" i="2480" s="1"/>
  <c r="AK105" i="2480" s="1"/>
  <c r="AL105" i="2480" s="1"/>
  <c r="AM105" i="2480" s="1"/>
  <c r="AN105" i="2480" s="1"/>
  <c r="AO105" i="2480" s="1"/>
  <c r="AP105" i="2480" s="1"/>
  <c r="AQ105" i="2480" s="1"/>
  <c r="AR105" i="2480" s="1"/>
  <c r="F114" i="2480"/>
  <c r="F117" i="2480" s="1"/>
  <c r="F144" i="2480" s="1"/>
  <c r="I114" i="2480"/>
  <c r="I117" i="2480" s="1"/>
  <c r="I144" i="2480" s="1"/>
  <c r="L114" i="2480"/>
  <c r="L117" i="2480" s="1"/>
  <c r="L125" i="2480" s="1"/>
  <c r="O114" i="2480"/>
  <c r="O117" i="2480" s="1"/>
  <c r="O144" i="2480" s="1"/>
  <c r="R114" i="2480"/>
  <c r="R117" i="2480" s="1"/>
  <c r="R144" i="2480" s="1"/>
  <c r="U114" i="2480"/>
  <c r="U117" i="2480" s="1"/>
  <c r="X114" i="2480"/>
  <c r="X117" i="2480" s="1"/>
  <c r="X127" i="2480" s="1"/>
  <c r="AA114" i="2480"/>
  <c r="AA117" i="2480" s="1"/>
  <c r="AD114" i="2480"/>
  <c r="AD117" i="2480" s="1"/>
  <c r="AG114" i="2480"/>
  <c r="AG117" i="2480" s="1"/>
  <c r="AJ114" i="2480"/>
  <c r="AJ117" i="2480" s="1"/>
  <c r="AM114" i="2480"/>
  <c r="AM117" i="2480" s="1"/>
  <c r="AP114" i="2480"/>
  <c r="AP117" i="2480" s="1"/>
  <c r="AP127" i="2480" s="1"/>
  <c r="T121" i="2480"/>
  <c r="Y121" i="2480"/>
  <c r="J123" i="2480"/>
  <c r="S123" i="2480"/>
  <c r="AB123" i="2480"/>
  <c r="AK123" i="2480"/>
  <c r="D21" i="2480"/>
  <c r="D42" i="2480"/>
  <c r="E114" i="2480"/>
  <c r="E126" i="2480" s="1"/>
  <c r="K114" i="2480"/>
  <c r="K117" i="2480" s="1"/>
  <c r="K144" i="2480" s="1"/>
  <c r="T114" i="2480"/>
  <c r="T117" i="2480" s="1"/>
  <c r="Z114" i="2480"/>
  <c r="Z117" i="2480" s="1"/>
  <c r="AF114" i="2480"/>
  <c r="AF117" i="2480" s="1"/>
  <c r="AL114" i="2480"/>
  <c r="AL117" i="2480" s="1"/>
  <c r="D28" i="2480"/>
  <c r="D40" i="2480"/>
  <c r="AM121" i="2480"/>
  <c r="AG121" i="2480"/>
  <c r="AD121" i="2480"/>
  <c r="X121" i="2480"/>
  <c r="U121" i="2480"/>
  <c r="AI121" i="2480"/>
  <c r="AF121" i="2480"/>
  <c r="D26" i="2480"/>
  <c r="D39" i="2480"/>
  <c r="H107" i="2480"/>
  <c r="K107" i="2480"/>
  <c r="N107" i="2480"/>
  <c r="Q107" i="2480"/>
  <c r="T107" i="2480"/>
  <c r="W107" i="2480"/>
  <c r="Z107" i="2480"/>
  <c r="AC107" i="2480"/>
  <c r="AF107" i="2480"/>
  <c r="AI107" i="2480"/>
  <c r="AL107" i="2480"/>
  <c r="AO123" i="2480"/>
  <c r="AR126" i="2480"/>
  <c r="AR123" i="2480"/>
  <c r="AR127" i="2480" s="1"/>
  <c r="G114" i="2480"/>
  <c r="G117" i="2480" s="1"/>
  <c r="G127" i="2480" s="1"/>
  <c r="J114" i="2480"/>
  <c r="J117" i="2480" s="1"/>
  <c r="J144" i="2480" s="1"/>
  <c r="M114" i="2480"/>
  <c r="M117" i="2480" s="1"/>
  <c r="M144" i="2480" s="1"/>
  <c r="P114" i="2480"/>
  <c r="P117" i="2480" s="1"/>
  <c r="P125" i="2480" s="1"/>
  <c r="S114" i="2480"/>
  <c r="S117" i="2480" s="1"/>
  <c r="S144" i="2480" s="1"/>
  <c r="V114" i="2480"/>
  <c r="V117" i="2480" s="1"/>
  <c r="Y114" i="2480"/>
  <c r="Y117" i="2480" s="1"/>
  <c r="AB114" i="2480"/>
  <c r="AB117" i="2480" s="1"/>
  <c r="AE114" i="2480"/>
  <c r="AE117" i="2480" s="1"/>
  <c r="AH114" i="2480"/>
  <c r="AH117" i="2480" s="1"/>
  <c r="AK114" i="2480"/>
  <c r="AK117" i="2480" s="1"/>
  <c r="AN114" i="2480"/>
  <c r="AN117" i="2480" s="1"/>
  <c r="AO130" i="2480"/>
  <c r="AR130" i="2480"/>
  <c r="V121" i="2480"/>
  <c r="V126" i="2480" s="1"/>
  <c r="Z121" i="2480"/>
  <c r="M123" i="2480"/>
  <c r="V123" i="2480"/>
  <c r="AE123" i="2480"/>
  <c r="AN123" i="2480"/>
  <c r="D169" i="2319"/>
  <c r="C169" i="2319"/>
  <c r="D168" i="2319"/>
  <c r="C168" i="2319"/>
  <c r="D166" i="2319"/>
  <c r="B166" i="2319"/>
  <c r="D165" i="2319"/>
  <c r="B165" i="2319"/>
  <c r="D164" i="2319"/>
  <c r="D163" i="2319"/>
  <c r="D150" i="2319"/>
  <c r="AR146" i="2319"/>
  <c r="AQ146" i="2319"/>
  <c r="AP146" i="2319"/>
  <c r="AO146" i="2319"/>
  <c r="AN146" i="2319"/>
  <c r="AM146" i="2319"/>
  <c r="AL146" i="2319"/>
  <c r="AK146" i="2319"/>
  <c r="AJ146" i="2319"/>
  <c r="AI146" i="2319"/>
  <c r="AH146" i="2319"/>
  <c r="AG146" i="2319"/>
  <c r="AF146" i="2319"/>
  <c r="AE146" i="2319"/>
  <c r="AD146" i="2319"/>
  <c r="AC146" i="2319"/>
  <c r="AB146" i="2319"/>
  <c r="AA146" i="2319"/>
  <c r="Z146" i="2319"/>
  <c r="Y146" i="2319"/>
  <c r="X146" i="2319"/>
  <c r="W146" i="2319"/>
  <c r="V146" i="2319"/>
  <c r="U146" i="2319"/>
  <c r="T146" i="2319"/>
  <c r="AR144" i="2319"/>
  <c r="AQ144" i="2319"/>
  <c r="AP144" i="2319"/>
  <c r="AO144" i="2319"/>
  <c r="AN144" i="2319"/>
  <c r="AM144" i="2319"/>
  <c r="AL144" i="2319"/>
  <c r="AK144" i="2319"/>
  <c r="AJ144" i="2319"/>
  <c r="AI144" i="2319"/>
  <c r="AH144" i="2319"/>
  <c r="AG144" i="2319"/>
  <c r="AF144" i="2319"/>
  <c r="AE144" i="2319"/>
  <c r="AD144" i="2319"/>
  <c r="AC144" i="2319"/>
  <c r="AB144" i="2319"/>
  <c r="AA144" i="2319"/>
  <c r="Z144" i="2319"/>
  <c r="Y144" i="2319"/>
  <c r="X144" i="2319"/>
  <c r="W144" i="2319"/>
  <c r="V144" i="2319"/>
  <c r="U144" i="2319"/>
  <c r="T144" i="2319"/>
  <c r="C144" i="2319"/>
  <c r="AR135" i="2319"/>
  <c r="AQ135" i="2319"/>
  <c r="AP135" i="2319"/>
  <c r="AO135" i="2319"/>
  <c r="AN135" i="2319"/>
  <c r="AM135" i="2319"/>
  <c r="AL135" i="2319"/>
  <c r="AK135" i="2319"/>
  <c r="AJ135" i="2319"/>
  <c r="AI135" i="2319"/>
  <c r="AH135" i="2319"/>
  <c r="AG135" i="2319"/>
  <c r="AF135" i="2319"/>
  <c r="AE135" i="2319"/>
  <c r="AD135" i="2319"/>
  <c r="AC135" i="2319"/>
  <c r="AB135" i="2319"/>
  <c r="AA135" i="2319"/>
  <c r="Z135" i="2319"/>
  <c r="Y135" i="2319"/>
  <c r="X135" i="2319"/>
  <c r="W135" i="2319"/>
  <c r="V135" i="2319"/>
  <c r="U135" i="2319"/>
  <c r="T135" i="2319"/>
  <c r="AR134" i="2319"/>
  <c r="AQ134" i="2319"/>
  <c r="AP134" i="2319"/>
  <c r="AO134" i="2319"/>
  <c r="AN134" i="2319"/>
  <c r="AM134" i="2319"/>
  <c r="AL134" i="2319"/>
  <c r="AK134" i="2319"/>
  <c r="AJ134" i="2319"/>
  <c r="AI134" i="2319"/>
  <c r="AH134" i="2319"/>
  <c r="AG134" i="2319"/>
  <c r="AF134" i="2319"/>
  <c r="AE134" i="2319"/>
  <c r="AD134" i="2319"/>
  <c r="AC134" i="2319"/>
  <c r="AB134" i="2319"/>
  <c r="AA134" i="2319"/>
  <c r="Z134" i="2319"/>
  <c r="Y134" i="2319"/>
  <c r="X134" i="2319"/>
  <c r="W134" i="2319"/>
  <c r="V134" i="2319"/>
  <c r="U134" i="2319"/>
  <c r="T134" i="2319"/>
  <c r="AR133" i="2319"/>
  <c r="AQ133" i="2319"/>
  <c r="AP133" i="2319"/>
  <c r="AO133" i="2319"/>
  <c r="AN133" i="2319"/>
  <c r="AM133" i="2319"/>
  <c r="AL133" i="2319"/>
  <c r="AK133" i="2319"/>
  <c r="AJ133" i="2319"/>
  <c r="AI133" i="2319"/>
  <c r="AH133" i="2319"/>
  <c r="AG133" i="2319"/>
  <c r="AF133" i="2319"/>
  <c r="AE133" i="2319"/>
  <c r="AD133" i="2319"/>
  <c r="AC133" i="2319"/>
  <c r="AB133" i="2319"/>
  <c r="AA133" i="2319"/>
  <c r="Z133" i="2319"/>
  <c r="Y133" i="2319"/>
  <c r="E124" i="2319"/>
  <c r="C124" i="2319"/>
  <c r="E123" i="2319"/>
  <c r="C123" i="2319"/>
  <c r="AR122" i="2319"/>
  <c r="AQ122" i="2319"/>
  <c r="AP122" i="2319"/>
  <c r="AO122" i="2319"/>
  <c r="AN122" i="2319"/>
  <c r="AM122" i="2319"/>
  <c r="AL122" i="2319"/>
  <c r="AK122" i="2319"/>
  <c r="AJ122" i="2319"/>
  <c r="AI122" i="2319"/>
  <c r="AH122" i="2319"/>
  <c r="AG122" i="2319"/>
  <c r="AF122" i="2319"/>
  <c r="AE122" i="2319"/>
  <c r="AD122" i="2319"/>
  <c r="AC122" i="2319"/>
  <c r="AB122" i="2319"/>
  <c r="AA122" i="2319"/>
  <c r="Z122" i="2319"/>
  <c r="Y122" i="2319"/>
  <c r="X122" i="2319"/>
  <c r="W122" i="2319"/>
  <c r="V122" i="2319"/>
  <c r="U122" i="2319"/>
  <c r="T122" i="2319"/>
  <c r="S122" i="2319"/>
  <c r="R122" i="2319"/>
  <c r="Q122" i="2319"/>
  <c r="P122" i="2319"/>
  <c r="O122" i="2319"/>
  <c r="N122" i="2319"/>
  <c r="M122" i="2319"/>
  <c r="L122" i="2319"/>
  <c r="K122" i="2319"/>
  <c r="J122" i="2319"/>
  <c r="I122" i="2319"/>
  <c r="H122" i="2319"/>
  <c r="G122" i="2319"/>
  <c r="F122" i="2319"/>
  <c r="E122" i="2319"/>
  <c r="AR121" i="2319"/>
  <c r="AQ121" i="2319"/>
  <c r="AP121" i="2319"/>
  <c r="AO121" i="2319"/>
  <c r="AN121" i="2319"/>
  <c r="S121" i="2319"/>
  <c r="R121" i="2319"/>
  <c r="Q121" i="2319"/>
  <c r="P121" i="2319"/>
  <c r="O121" i="2319"/>
  <c r="N121" i="2319"/>
  <c r="M121" i="2319"/>
  <c r="L121" i="2319"/>
  <c r="K121" i="2319"/>
  <c r="J121" i="2319"/>
  <c r="I121" i="2319"/>
  <c r="H121" i="2319"/>
  <c r="G121" i="2319"/>
  <c r="F121" i="2319"/>
  <c r="E121" i="2319"/>
  <c r="AR120" i="2319"/>
  <c r="AQ120" i="2319"/>
  <c r="AP120" i="2319"/>
  <c r="AO120" i="2319"/>
  <c r="AN120" i="2319"/>
  <c r="AM120" i="2319"/>
  <c r="AL120" i="2319"/>
  <c r="AK120" i="2319"/>
  <c r="AJ120" i="2319"/>
  <c r="AI120" i="2319"/>
  <c r="AH120" i="2319"/>
  <c r="AG120" i="2319"/>
  <c r="AF120" i="2319"/>
  <c r="AE120" i="2319"/>
  <c r="AD120" i="2319"/>
  <c r="AC120" i="2319"/>
  <c r="AB120" i="2319"/>
  <c r="AA120" i="2319"/>
  <c r="Z120" i="2319"/>
  <c r="Y120" i="2319"/>
  <c r="X120" i="2319"/>
  <c r="W120" i="2319"/>
  <c r="V120" i="2319"/>
  <c r="U120" i="2319"/>
  <c r="T120" i="2319"/>
  <c r="S120" i="2319"/>
  <c r="R120" i="2319"/>
  <c r="Q120" i="2319"/>
  <c r="P120" i="2319"/>
  <c r="O120" i="2319"/>
  <c r="N120" i="2319"/>
  <c r="M120" i="2319"/>
  <c r="L120" i="2319"/>
  <c r="K120" i="2319"/>
  <c r="J120" i="2319"/>
  <c r="I120" i="2319"/>
  <c r="H120" i="2319"/>
  <c r="G120" i="2319"/>
  <c r="F120" i="2319"/>
  <c r="E120" i="2319"/>
  <c r="AR119" i="2319"/>
  <c r="AQ119" i="2319"/>
  <c r="AP119" i="2319"/>
  <c r="AO119" i="2319"/>
  <c r="AN119" i="2319"/>
  <c r="C117" i="2319"/>
  <c r="AR116" i="2319"/>
  <c r="AQ116" i="2319"/>
  <c r="AP116" i="2319"/>
  <c r="AO116" i="2319"/>
  <c r="AN116" i="2319"/>
  <c r="AM116" i="2319"/>
  <c r="AL116" i="2319"/>
  <c r="AK116" i="2319"/>
  <c r="AJ116" i="2319"/>
  <c r="AI116" i="2319"/>
  <c r="AH116" i="2319"/>
  <c r="AG116" i="2319"/>
  <c r="AF116" i="2319"/>
  <c r="AE116" i="2319"/>
  <c r="AD116" i="2319"/>
  <c r="AC116" i="2319"/>
  <c r="AB116" i="2319"/>
  <c r="AA116" i="2319"/>
  <c r="Z116" i="2319"/>
  <c r="Y116" i="2319"/>
  <c r="X116" i="2319"/>
  <c r="W116" i="2319"/>
  <c r="V116" i="2319"/>
  <c r="U116" i="2319"/>
  <c r="T116" i="2319"/>
  <c r="S116" i="2319"/>
  <c r="R116" i="2319"/>
  <c r="Q116" i="2319"/>
  <c r="P116" i="2319"/>
  <c r="O116" i="2319"/>
  <c r="N116" i="2319"/>
  <c r="M116" i="2319"/>
  <c r="L116" i="2319"/>
  <c r="K116" i="2319"/>
  <c r="J116" i="2319"/>
  <c r="I116" i="2319"/>
  <c r="H116" i="2319"/>
  <c r="G116" i="2319"/>
  <c r="F116" i="2319"/>
  <c r="E116" i="2319"/>
  <c r="AR115" i="2319"/>
  <c r="AQ115" i="2319"/>
  <c r="AP115" i="2319"/>
  <c r="AO115" i="2319"/>
  <c r="AN115" i="2319"/>
  <c r="AM115" i="2319"/>
  <c r="AL115" i="2319"/>
  <c r="AK115" i="2319"/>
  <c r="AJ115" i="2319"/>
  <c r="AI115" i="2319"/>
  <c r="AH115" i="2319"/>
  <c r="AG115" i="2319"/>
  <c r="AF115" i="2319"/>
  <c r="AE115" i="2319"/>
  <c r="AD115" i="2319"/>
  <c r="AC115" i="2319"/>
  <c r="AB115" i="2319"/>
  <c r="AA115" i="2319"/>
  <c r="Z115" i="2319"/>
  <c r="Y115" i="2319"/>
  <c r="X115" i="2319"/>
  <c r="W115" i="2319"/>
  <c r="V115" i="2319"/>
  <c r="U115" i="2319"/>
  <c r="T115" i="2319"/>
  <c r="S115" i="2319"/>
  <c r="R115" i="2319"/>
  <c r="Q115" i="2319"/>
  <c r="P115" i="2319"/>
  <c r="O115" i="2319"/>
  <c r="N115" i="2319"/>
  <c r="M115" i="2319"/>
  <c r="L115" i="2319"/>
  <c r="K115" i="2319"/>
  <c r="J115" i="2319"/>
  <c r="I115" i="2319"/>
  <c r="H115" i="2319"/>
  <c r="G115" i="2319"/>
  <c r="F115" i="2319"/>
  <c r="E115" i="2319"/>
  <c r="C115" i="2319"/>
  <c r="C114" i="2319"/>
  <c r="AR108" i="2319"/>
  <c r="AQ108" i="2319"/>
  <c r="AP108" i="2319"/>
  <c r="AO108" i="2319"/>
  <c r="AN108" i="2319"/>
  <c r="AM108" i="2319"/>
  <c r="AM107" i="2319" s="1"/>
  <c r="AM123" i="2319" s="1"/>
  <c r="AL108" i="2319"/>
  <c r="AL107" i="2319" s="1"/>
  <c r="AL123" i="2319" s="1"/>
  <c r="AK108" i="2319"/>
  <c r="AK107" i="2319" s="1"/>
  <c r="AJ108" i="2319"/>
  <c r="AJ107" i="2319" s="1"/>
  <c r="AJ123" i="2319" s="1"/>
  <c r="AI108" i="2319"/>
  <c r="AI107" i="2319" s="1"/>
  <c r="AI123" i="2319" s="1"/>
  <c r="AH108" i="2319"/>
  <c r="AG108" i="2319"/>
  <c r="AG107" i="2319" s="1"/>
  <c r="AG123" i="2319" s="1"/>
  <c r="AF108" i="2319"/>
  <c r="AF107" i="2319" s="1"/>
  <c r="AF123" i="2319" s="1"/>
  <c r="AE108" i="2319"/>
  <c r="AE107" i="2319" s="1"/>
  <c r="AE123" i="2319" s="1"/>
  <c r="AD108" i="2319"/>
  <c r="AD107" i="2319" s="1"/>
  <c r="AD123" i="2319" s="1"/>
  <c r="AC108" i="2319"/>
  <c r="AC107" i="2319" s="1"/>
  <c r="AC123" i="2319" s="1"/>
  <c r="AB108" i="2319"/>
  <c r="AB107" i="2319" s="1"/>
  <c r="AA108" i="2319"/>
  <c r="AA107" i="2319" s="1"/>
  <c r="AA123" i="2319" s="1"/>
  <c r="Z108" i="2319"/>
  <c r="Z107" i="2319" s="1"/>
  <c r="Z123" i="2319" s="1"/>
  <c r="Y108" i="2319"/>
  <c r="X108" i="2319"/>
  <c r="W108" i="2319"/>
  <c r="V108" i="2319"/>
  <c r="V107" i="2319" s="1"/>
  <c r="U108" i="2319"/>
  <c r="T108" i="2319"/>
  <c r="S108" i="2319"/>
  <c r="S107" i="2319" s="1"/>
  <c r="R108" i="2319"/>
  <c r="R107" i="2319" s="1"/>
  <c r="R123" i="2319" s="1"/>
  <c r="Q108" i="2319"/>
  <c r="Q107" i="2319" s="1"/>
  <c r="P108" i="2319"/>
  <c r="P107" i="2319" s="1"/>
  <c r="O108" i="2319"/>
  <c r="O107" i="2319" s="1"/>
  <c r="O123" i="2319" s="1"/>
  <c r="N108" i="2319"/>
  <c r="N107" i="2319" s="1"/>
  <c r="M108" i="2319"/>
  <c r="M107" i="2319" s="1"/>
  <c r="L108" i="2319"/>
  <c r="L107" i="2319" s="1"/>
  <c r="L123" i="2319" s="1"/>
  <c r="K108" i="2319"/>
  <c r="K107" i="2319" s="1"/>
  <c r="J108" i="2319"/>
  <c r="J107" i="2319" s="1"/>
  <c r="I108" i="2319"/>
  <c r="I107" i="2319" s="1"/>
  <c r="I123" i="2319" s="1"/>
  <c r="H108" i="2319"/>
  <c r="H107" i="2319" s="1"/>
  <c r="G108" i="2319"/>
  <c r="G107" i="2319" s="1"/>
  <c r="F108" i="2319"/>
  <c r="F107" i="2319" s="1"/>
  <c r="F123" i="2319" s="1"/>
  <c r="E108" i="2319"/>
  <c r="AR107" i="2319"/>
  <c r="AR123" i="2319" s="1"/>
  <c r="AQ107" i="2319"/>
  <c r="AP107" i="2319"/>
  <c r="AP123" i="2319" s="1"/>
  <c r="AO107" i="2319"/>
  <c r="AO123" i="2319" s="1"/>
  <c r="AN107" i="2319"/>
  <c r="AN123" i="2319" s="1"/>
  <c r="AH107" i="2319"/>
  <c r="Y107" i="2319"/>
  <c r="D107" i="2319"/>
  <c r="AR106" i="2319"/>
  <c r="AR124" i="2319" s="1"/>
  <c r="AQ106" i="2319"/>
  <c r="AQ124" i="2319" s="1"/>
  <c r="AP106" i="2319"/>
  <c r="AP124" i="2319" s="1"/>
  <c r="AO106" i="2319"/>
  <c r="AO124" i="2319" s="1"/>
  <c r="AN106" i="2319"/>
  <c r="AN124" i="2319" s="1"/>
  <c r="AM106" i="2319"/>
  <c r="AM124" i="2319" s="1"/>
  <c r="AL106" i="2319"/>
  <c r="AL124" i="2319" s="1"/>
  <c r="AK106" i="2319"/>
  <c r="AK124" i="2319" s="1"/>
  <c r="AJ106" i="2319"/>
  <c r="AJ124" i="2319" s="1"/>
  <c r="AI106" i="2319"/>
  <c r="AI124" i="2319" s="1"/>
  <c r="AH106" i="2319"/>
  <c r="AH124" i="2319" s="1"/>
  <c r="AG106" i="2319"/>
  <c r="AG124" i="2319" s="1"/>
  <c r="AF106" i="2319"/>
  <c r="AF124" i="2319" s="1"/>
  <c r="AE106" i="2319"/>
  <c r="AE124" i="2319" s="1"/>
  <c r="AD106" i="2319"/>
  <c r="AD124" i="2319" s="1"/>
  <c r="AC106" i="2319"/>
  <c r="AC124" i="2319" s="1"/>
  <c r="AB106" i="2319"/>
  <c r="AB124" i="2319" s="1"/>
  <c r="AA106" i="2319"/>
  <c r="AA124" i="2319" s="1"/>
  <c r="Z106" i="2319"/>
  <c r="Z124" i="2319" s="1"/>
  <c r="Y106" i="2319"/>
  <c r="Y124" i="2319" s="1"/>
  <c r="X106" i="2319"/>
  <c r="X124" i="2319" s="1"/>
  <c r="W106" i="2319"/>
  <c r="W124" i="2319" s="1"/>
  <c r="V106" i="2319"/>
  <c r="V124" i="2319" s="1"/>
  <c r="U106" i="2319"/>
  <c r="U124" i="2319" s="1"/>
  <c r="T106" i="2319"/>
  <c r="T124" i="2319" s="1"/>
  <c r="S106" i="2319"/>
  <c r="S124" i="2319" s="1"/>
  <c r="R106" i="2319"/>
  <c r="R124" i="2319" s="1"/>
  <c r="Q106" i="2319"/>
  <c r="Q124" i="2319" s="1"/>
  <c r="P106" i="2319"/>
  <c r="P124" i="2319" s="1"/>
  <c r="O106" i="2319"/>
  <c r="O124" i="2319" s="1"/>
  <c r="N106" i="2319"/>
  <c r="N124" i="2319" s="1"/>
  <c r="M106" i="2319"/>
  <c r="M124" i="2319" s="1"/>
  <c r="L106" i="2319"/>
  <c r="L124" i="2319" s="1"/>
  <c r="K106" i="2319"/>
  <c r="K124" i="2319" s="1"/>
  <c r="J106" i="2319"/>
  <c r="J124" i="2319" s="1"/>
  <c r="I106" i="2319"/>
  <c r="I124" i="2319" s="1"/>
  <c r="H106" i="2319"/>
  <c r="H124" i="2319" s="1"/>
  <c r="G106" i="2319"/>
  <c r="G124" i="2319" s="1"/>
  <c r="F106" i="2319"/>
  <c r="F124" i="2319" s="1"/>
  <c r="D106" i="2319"/>
  <c r="E102" i="2319"/>
  <c r="C92" i="2319"/>
  <c r="D85" i="2319"/>
  <c r="D84" i="2319"/>
  <c r="D70" i="2319"/>
  <c r="D65" i="2319"/>
  <c r="D64" i="2319"/>
  <c r="D63" i="2319"/>
  <c r="C60" i="2319"/>
  <c r="D59" i="2319"/>
  <c r="C58" i="2319"/>
  <c r="D57" i="2319"/>
  <c r="C56" i="2319"/>
  <c r="D55" i="2319"/>
  <c r="C53" i="2319"/>
  <c r="D49" i="2319"/>
  <c r="C49" i="2319"/>
  <c r="D48" i="2319"/>
  <c r="E47" i="2319"/>
  <c r="D47" i="2319"/>
  <c r="E46" i="2319"/>
  <c r="D46" i="2319"/>
  <c r="E45" i="2319"/>
  <c r="D45" i="2319"/>
  <c r="C35" i="2319"/>
  <c r="C33" i="2319"/>
  <c r="C27" i="2319"/>
  <c r="C25" i="2319"/>
  <c r="E16" i="2319"/>
  <c r="D16" i="2319"/>
  <c r="E15" i="2319"/>
  <c r="D15" i="2319"/>
  <c r="E13" i="2319"/>
  <c r="D13" i="2319"/>
  <c r="E12" i="2319"/>
  <c r="D12" i="2319"/>
  <c r="C8" i="2319"/>
  <c r="D42" i="2319" s="1"/>
  <c r="D5" i="2319"/>
  <c r="R127" i="2483" l="1"/>
  <c r="AR127" i="2481"/>
  <c r="H127" i="2481"/>
  <c r="AI127" i="2481"/>
  <c r="Z127" i="2481"/>
  <c r="Q127" i="2481"/>
  <c r="X114" i="2485"/>
  <c r="X117" i="2485" s="1"/>
  <c r="X125" i="2485" s="1"/>
  <c r="AH114" i="2484"/>
  <c r="AH117" i="2484" s="1"/>
  <c r="AH125" i="2484" s="1"/>
  <c r="AP126" i="2482"/>
  <c r="AN114" i="2485"/>
  <c r="AN117" i="2485" s="1"/>
  <c r="AN127" i="2485" s="1"/>
  <c r="P114" i="2484"/>
  <c r="P117" i="2484" s="1"/>
  <c r="P144" i="2484" s="1"/>
  <c r="AQ127" i="2480"/>
  <c r="M114" i="2485"/>
  <c r="M117" i="2485" s="1"/>
  <c r="M144" i="2485" s="1"/>
  <c r="AF114" i="2485"/>
  <c r="AF117" i="2485" s="1"/>
  <c r="AF127" i="2485" s="1"/>
  <c r="AC114" i="2484"/>
  <c r="AC117" i="2484" s="1"/>
  <c r="AC125" i="2484" s="1"/>
  <c r="F127" i="2483"/>
  <c r="AE114" i="2485"/>
  <c r="AE117" i="2485" s="1"/>
  <c r="AE125" i="2485" s="1"/>
  <c r="AI114" i="2485"/>
  <c r="AI117" i="2485" s="1"/>
  <c r="AI125" i="2485" s="1"/>
  <c r="L114" i="2485"/>
  <c r="L117" i="2485" s="1"/>
  <c r="L144" i="2485" s="1"/>
  <c r="AL114" i="2485"/>
  <c r="AL117" i="2485" s="1"/>
  <c r="AD125" i="2483"/>
  <c r="AF127" i="2483"/>
  <c r="V114" i="2485"/>
  <c r="V117" i="2485" s="1"/>
  <c r="V125" i="2485" s="1"/>
  <c r="N114" i="2485"/>
  <c r="N117" i="2485" s="1"/>
  <c r="N144" i="2485" s="1"/>
  <c r="K114" i="2485"/>
  <c r="K117" i="2485" s="1"/>
  <c r="K144" i="2485" s="1"/>
  <c r="AQ114" i="2484"/>
  <c r="AQ117" i="2484" s="1"/>
  <c r="AQ127" i="2484" s="1"/>
  <c r="T114" i="2484"/>
  <c r="T117" i="2484" s="1"/>
  <c r="T127" i="2484" s="1"/>
  <c r="I127" i="2482"/>
  <c r="AL114" i="2484"/>
  <c r="AL117" i="2484" s="1"/>
  <c r="AL127" i="2484" s="1"/>
  <c r="Y114" i="2484"/>
  <c r="Y117" i="2484" s="1"/>
  <c r="K114" i="2484"/>
  <c r="K117" i="2484" s="1"/>
  <c r="K144" i="2484" s="1"/>
  <c r="I127" i="2483"/>
  <c r="AJ125" i="2482"/>
  <c r="AJ127" i="2482"/>
  <c r="I126" i="2482"/>
  <c r="I125" i="2482"/>
  <c r="AR125" i="2482"/>
  <c r="AN127" i="2480"/>
  <c r="AJ126" i="2480"/>
  <c r="X135" i="2481"/>
  <c r="U135" i="2481"/>
  <c r="V134" i="2481"/>
  <c r="W135" i="2481"/>
  <c r="T135" i="2481"/>
  <c r="X134" i="2481"/>
  <c r="V135" i="2481"/>
  <c r="W134" i="2481"/>
  <c r="T134" i="2481"/>
  <c r="U134" i="2481"/>
  <c r="AH121" i="2480"/>
  <c r="AH126" i="2480" s="1"/>
  <c r="AC121" i="2480"/>
  <c r="AC126" i="2480" s="1"/>
  <c r="AL121" i="2480"/>
  <c r="AL126" i="2480" s="1"/>
  <c r="AA121" i="2480"/>
  <c r="AA126" i="2480" s="1"/>
  <c r="AO126" i="2480"/>
  <c r="AM125" i="2480"/>
  <c r="M125" i="2482"/>
  <c r="W114" i="2484"/>
  <c r="W117" i="2484" s="1"/>
  <c r="AJ127" i="2483"/>
  <c r="F126" i="2483"/>
  <c r="U125" i="2483"/>
  <c r="R144" i="2483"/>
  <c r="U126" i="2480"/>
  <c r="AD126" i="2480"/>
  <c r="AM126" i="2480"/>
  <c r="AD127" i="2480"/>
  <c r="R127" i="2482"/>
  <c r="AQ126" i="2481"/>
  <c r="AL127" i="2481"/>
  <c r="AC127" i="2481"/>
  <c r="T127" i="2481"/>
  <c r="K127" i="2481"/>
  <c r="AG127" i="2483"/>
  <c r="F125" i="2483"/>
  <c r="AK114" i="2485"/>
  <c r="AK117" i="2485" s="1"/>
  <c r="AB114" i="2485"/>
  <c r="AB117" i="2485" s="1"/>
  <c r="S114" i="2485"/>
  <c r="S117" i="2485" s="1"/>
  <c r="S144" i="2485" s="1"/>
  <c r="J114" i="2485"/>
  <c r="J117" i="2485" s="1"/>
  <c r="J144" i="2485" s="1"/>
  <c r="AA114" i="2485"/>
  <c r="AA117" i="2485" s="1"/>
  <c r="H114" i="2485"/>
  <c r="H117" i="2485" s="1"/>
  <c r="H127" i="2485" s="1"/>
  <c r="Z114" i="2485"/>
  <c r="Z117" i="2485" s="1"/>
  <c r="E114" i="2485"/>
  <c r="E117" i="2485" s="1"/>
  <c r="O114" i="2485"/>
  <c r="AC114" i="2485"/>
  <c r="AC117" i="2485" s="1"/>
  <c r="AP114" i="2485"/>
  <c r="AP117" i="2485" s="1"/>
  <c r="AP127" i="2485" s="1"/>
  <c r="Q114" i="2485"/>
  <c r="AQ114" i="2485"/>
  <c r="AR114" i="2485"/>
  <c r="AH114" i="2485"/>
  <c r="AH117" i="2485" s="1"/>
  <c r="Y114" i="2485"/>
  <c r="Y117" i="2485" s="1"/>
  <c r="P114" i="2485"/>
  <c r="P117" i="2485" s="1"/>
  <c r="P144" i="2485" s="1"/>
  <c r="G114" i="2485"/>
  <c r="G117" i="2485" s="1"/>
  <c r="G144" i="2485" s="1"/>
  <c r="AO114" i="2485"/>
  <c r="AO117" i="2485" s="1"/>
  <c r="U114" i="2485"/>
  <c r="U117" i="2485" s="1"/>
  <c r="AD127" i="2485"/>
  <c r="AM114" i="2485"/>
  <c r="AM117" i="2485" s="1"/>
  <c r="R114" i="2485"/>
  <c r="R117" i="2485" s="1"/>
  <c r="F114" i="2485"/>
  <c r="F117" i="2485" s="1"/>
  <c r="F144" i="2485" s="1"/>
  <c r="T114" i="2485"/>
  <c r="T117" i="2485" s="1"/>
  <c r="AG114" i="2485"/>
  <c r="AG117" i="2485" s="1"/>
  <c r="I114" i="2485"/>
  <c r="AJ114" i="2485"/>
  <c r="AJ117" i="2485" s="1"/>
  <c r="M127" i="2480"/>
  <c r="J125" i="2482"/>
  <c r="AA127" i="2482"/>
  <c r="AI127" i="2485"/>
  <c r="AP127" i="2483"/>
  <c r="AO127" i="2480"/>
  <c r="AH127" i="2482"/>
  <c r="G127" i="2482"/>
  <c r="AP127" i="2481"/>
  <c r="AG127" i="2481"/>
  <c r="X127" i="2481"/>
  <c r="O127" i="2481"/>
  <c r="F127" i="2481"/>
  <c r="O126" i="2483"/>
  <c r="O127" i="2483"/>
  <c r="AM125" i="2483"/>
  <c r="W114" i="2485"/>
  <c r="W117" i="2485" s="1"/>
  <c r="J114" i="2484"/>
  <c r="J117" i="2484" s="1"/>
  <c r="J144" i="2484" s="1"/>
  <c r="N125" i="2483"/>
  <c r="L127" i="2483"/>
  <c r="L125" i="2483"/>
  <c r="W125" i="2483"/>
  <c r="AM127" i="2483"/>
  <c r="X125" i="2483"/>
  <c r="L126" i="2483"/>
  <c r="AA127" i="2483"/>
  <c r="I126" i="2483"/>
  <c r="O125" i="2483"/>
  <c r="AP126" i="2483"/>
  <c r="P125" i="2483"/>
  <c r="AK125" i="2482"/>
  <c r="AR126" i="2482"/>
  <c r="AN125" i="2482"/>
  <c r="R126" i="2482"/>
  <c r="AQ127" i="2482"/>
  <c r="AP127" i="2482"/>
  <c r="P127" i="2482"/>
  <c r="AM127" i="2481"/>
  <c r="AD127" i="2481"/>
  <c r="U127" i="2481"/>
  <c r="L127" i="2481"/>
  <c r="AN127" i="2481"/>
  <c r="AN126" i="2481"/>
  <c r="AO127" i="2481"/>
  <c r="AF127" i="2481"/>
  <c r="W127" i="2481"/>
  <c r="N127" i="2481"/>
  <c r="R126" i="2481"/>
  <c r="AJ127" i="2481"/>
  <c r="AA127" i="2481"/>
  <c r="R127" i="2481"/>
  <c r="I127" i="2481"/>
  <c r="I126" i="2481"/>
  <c r="AD125" i="2480"/>
  <c r="L127" i="2480"/>
  <c r="L126" i="2480"/>
  <c r="AQ126" i="2480"/>
  <c r="AP126" i="2480"/>
  <c r="AE127" i="2480"/>
  <c r="O126" i="2480"/>
  <c r="U125" i="2480"/>
  <c r="AJ127" i="2480"/>
  <c r="V125" i="2482"/>
  <c r="Y127" i="2482"/>
  <c r="G126" i="2482"/>
  <c r="AQ127" i="2481"/>
  <c r="N126" i="2481"/>
  <c r="V127" i="2485"/>
  <c r="AC123" i="2485"/>
  <c r="AE127" i="2485"/>
  <c r="AE114" i="2484"/>
  <c r="AE117" i="2484" s="1"/>
  <c r="Q114" i="2484"/>
  <c r="AN114" i="2484"/>
  <c r="Z114" i="2484"/>
  <c r="Z117" i="2484" s="1"/>
  <c r="M114" i="2484"/>
  <c r="AI114" i="2484"/>
  <c r="AI117" i="2484" s="1"/>
  <c r="AI125" i="2484" s="1"/>
  <c r="V114" i="2484"/>
  <c r="V117" i="2484" s="1"/>
  <c r="H114" i="2484"/>
  <c r="AD125" i="2485"/>
  <c r="AO114" i="2484"/>
  <c r="AB114" i="2484"/>
  <c r="AB117" i="2484" s="1"/>
  <c r="N114" i="2484"/>
  <c r="AK123" i="2484"/>
  <c r="J123" i="2484"/>
  <c r="F114" i="2484"/>
  <c r="O114" i="2484"/>
  <c r="X114" i="2484"/>
  <c r="X117" i="2484" s="1"/>
  <c r="AG114" i="2484"/>
  <c r="AG117" i="2484" s="1"/>
  <c r="AP114" i="2484"/>
  <c r="AN127" i="2483"/>
  <c r="M127" i="2483"/>
  <c r="AN125" i="2483"/>
  <c r="M125" i="2483"/>
  <c r="R125" i="2483"/>
  <c r="S127" i="2483"/>
  <c r="AB125" i="2483"/>
  <c r="G125" i="2483"/>
  <c r="AL121" i="2485"/>
  <c r="AI121" i="2485"/>
  <c r="AF121" i="2485"/>
  <c r="AF126" i="2485" s="1"/>
  <c r="AC121" i="2485"/>
  <c r="Z121" i="2485"/>
  <c r="W121" i="2485"/>
  <c r="T121" i="2485"/>
  <c r="AJ121" i="2485"/>
  <c r="AE121" i="2485"/>
  <c r="AA121" i="2485"/>
  <c r="V121" i="2485"/>
  <c r="AH121" i="2485"/>
  <c r="AB121" i="2485"/>
  <c r="U121" i="2485"/>
  <c r="AM121" i="2485"/>
  <c r="AG121" i="2485"/>
  <c r="Y121" i="2485"/>
  <c r="X121" i="2485"/>
  <c r="AK121" i="2485"/>
  <c r="AD121" i="2485"/>
  <c r="AD126" i="2485" s="1"/>
  <c r="AI123" i="2483"/>
  <c r="Z123" i="2483"/>
  <c r="Q123" i="2483"/>
  <c r="Q126" i="2483"/>
  <c r="H123" i="2483"/>
  <c r="H126" i="2483"/>
  <c r="P126" i="2483"/>
  <c r="G127" i="2483"/>
  <c r="AF125" i="2483"/>
  <c r="AF125" i="2482"/>
  <c r="AH125" i="2481"/>
  <c r="Y125" i="2481"/>
  <c r="P125" i="2481"/>
  <c r="G125" i="2481"/>
  <c r="T123" i="2485"/>
  <c r="AB123" i="2484"/>
  <c r="P125" i="2484"/>
  <c r="I114" i="2484"/>
  <c r="R114" i="2484"/>
  <c r="AA114" i="2484"/>
  <c r="AA117" i="2484" s="1"/>
  <c r="AJ114" i="2484"/>
  <c r="AJ117" i="2484" s="1"/>
  <c r="AJ127" i="2484" s="1"/>
  <c r="AR114" i="2484"/>
  <c r="V127" i="2483"/>
  <c r="S126" i="2483"/>
  <c r="G127" i="2484"/>
  <c r="AQ126" i="2483"/>
  <c r="AJ125" i="2483"/>
  <c r="I125" i="2483"/>
  <c r="E144" i="2483"/>
  <c r="C84" i="2483"/>
  <c r="E127" i="2483"/>
  <c r="C85" i="2483"/>
  <c r="AL121" i="2483"/>
  <c r="AL126" i="2483" s="1"/>
  <c r="AI121" i="2483"/>
  <c r="AI126" i="2483" s="1"/>
  <c r="AF121" i="2483"/>
  <c r="AF126" i="2483" s="1"/>
  <c r="AC121" i="2483"/>
  <c r="AC126" i="2483" s="1"/>
  <c r="Z121" i="2483"/>
  <c r="Z126" i="2483" s="1"/>
  <c r="W121" i="2483"/>
  <c r="W126" i="2483" s="1"/>
  <c r="T121" i="2483"/>
  <c r="T126" i="2483" s="1"/>
  <c r="AK121" i="2483"/>
  <c r="AK126" i="2483" s="1"/>
  <c r="AG121" i="2483"/>
  <c r="AG126" i="2483" s="1"/>
  <c r="AB121" i="2483"/>
  <c r="AB126" i="2483" s="1"/>
  <c r="X121" i="2483"/>
  <c r="X126" i="2483" s="1"/>
  <c r="AJ121" i="2483"/>
  <c r="AJ126" i="2483" s="1"/>
  <c r="AE121" i="2483"/>
  <c r="AE126" i="2483" s="1"/>
  <c r="AA121" i="2483"/>
  <c r="AA126" i="2483" s="1"/>
  <c r="V121" i="2483"/>
  <c r="V126" i="2483" s="1"/>
  <c r="AM121" i="2483"/>
  <c r="AM126" i="2483" s="1"/>
  <c r="Y121" i="2483"/>
  <c r="Y126" i="2483" s="1"/>
  <c r="AH121" i="2483"/>
  <c r="AH126" i="2483" s="1"/>
  <c r="U121" i="2483"/>
  <c r="U126" i="2483" s="1"/>
  <c r="AD121" i="2483"/>
  <c r="AD126" i="2483" s="1"/>
  <c r="AP125" i="2483"/>
  <c r="E125" i="2483"/>
  <c r="J127" i="2483"/>
  <c r="AL123" i="2483"/>
  <c r="AC123" i="2483"/>
  <c r="T123" i="2483"/>
  <c r="N126" i="2483"/>
  <c r="K123" i="2483"/>
  <c r="K126" i="2483"/>
  <c r="AH127" i="2483"/>
  <c r="Y127" i="2483"/>
  <c r="G126" i="2483"/>
  <c r="AK125" i="2483"/>
  <c r="AL123" i="2485"/>
  <c r="K123" i="2485"/>
  <c r="M125" i="2485"/>
  <c r="AL125" i="2484"/>
  <c r="AF114" i="2484"/>
  <c r="AF117" i="2484" s="1"/>
  <c r="S114" i="2484"/>
  <c r="S117" i="2484" s="1"/>
  <c r="E114" i="2484"/>
  <c r="S123" i="2484"/>
  <c r="S126" i="2484"/>
  <c r="G126" i="2484"/>
  <c r="G125" i="2484"/>
  <c r="L114" i="2484"/>
  <c r="U114" i="2484"/>
  <c r="U117" i="2484" s="1"/>
  <c r="AD114" i="2484"/>
  <c r="AD117" i="2484" s="1"/>
  <c r="AM114" i="2484"/>
  <c r="AM117" i="2484" s="1"/>
  <c r="AE127" i="2483"/>
  <c r="J126" i="2483"/>
  <c r="V125" i="2483"/>
  <c r="AF125" i="2485"/>
  <c r="AQ127" i="2483"/>
  <c r="AN126" i="2483"/>
  <c r="M126" i="2483"/>
  <c r="AA125" i="2483"/>
  <c r="S125" i="2483"/>
  <c r="AM121" i="2484"/>
  <c r="AJ121" i="2484"/>
  <c r="AG121" i="2484"/>
  <c r="AD121" i="2484"/>
  <c r="AA121" i="2484"/>
  <c r="X121" i="2484"/>
  <c r="U121" i="2484"/>
  <c r="AI121" i="2484"/>
  <c r="AE121" i="2484"/>
  <c r="Z121" i="2484"/>
  <c r="V121" i="2484"/>
  <c r="AK121" i="2484"/>
  <c r="AK126" i="2484" s="1"/>
  <c r="AC121" i="2484"/>
  <c r="W121" i="2484"/>
  <c r="AH121" i="2484"/>
  <c r="AH126" i="2484" s="1"/>
  <c r="AB121" i="2484"/>
  <c r="T121" i="2484"/>
  <c r="Y121" i="2484"/>
  <c r="AL121" i="2484"/>
  <c r="AF121" i="2484"/>
  <c r="AO117" i="2483"/>
  <c r="AO126" i="2483"/>
  <c r="I144" i="2483"/>
  <c r="W127" i="2483"/>
  <c r="N127" i="2483"/>
  <c r="P127" i="2483"/>
  <c r="AR117" i="2483"/>
  <c r="AR126" i="2483"/>
  <c r="J125" i="2483"/>
  <c r="AQ125" i="2483"/>
  <c r="AG126" i="2480"/>
  <c r="F126" i="2480"/>
  <c r="V127" i="2480"/>
  <c r="AJ125" i="2480"/>
  <c r="AA125" i="2480"/>
  <c r="R125" i="2480"/>
  <c r="I125" i="2480"/>
  <c r="R127" i="2480"/>
  <c r="Y126" i="2480"/>
  <c r="AO127" i="2482"/>
  <c r="AE125" i="2482"/>
  <c r="S125" i="2482"/>
  <c r="AI123" i="2482"/>
  <c r="T123" i="2482"/>
  <c r="H123" i="2482"/>
  <c r="H126" i="2482"/>
  <c r="R125" i="2482"/>
  <c r="J127" i="2482"/>
  <c r="P126" i="2482"/>
  <c r="AQ125" i="2482"/>
  <c r="G125" i="2482"/>
  <c r="AM123" i="2482"/>
  <c r="AD123" i="2482"/>
  <c r="U123" i="2482"/>
  <c r="L126" i="2482"/>
  <c r="L123" i="2482"/>
  <c r="AQ126" i="2482"/>
  <c r="AE127" i="2482"/>
  <c r="Y125" i="2482"/>
  <c r="N126" i="2482"/>
  <c r="S127" i="2482"/>
  <c r="AO125" i="2482"/>
  <c r="AP125" i="2481"/>
  <c r="AG125" i="2481"/>
  <c r="X125" i="2481"/>
  <c r="O125" i="2481"/>
  <c r="F125" i="2481"/>
  <c r="L126" i="2481"/>
  <c r="AO125" i="2481"/>
  <c r="AF125" i="2481"/>
  <c r="W125" i="2481"/>
  <c r="N125" i="2481"/>
  <c r="AE127" i="2481"/>
  <c r="V127" i="2481"/>
  <c r="P126" i="2481"/>
  <c r="M127" i="2481"/>
  <c r="G126" i="2481"/>
  <c r="AO126" i="2481"/>
  <c r="O126" i="2481"/>
  <c r="X126" i="2480"/>
  <c r="AP125" i="2480"/>
  <c r="AG125" i="2480"/>
  <c r="X125" i="2480"/>
  <c r="X129" i="2480" s="1"/>
  <c r="O125" i="2480"/>
  <c r="F125" i="2480"/>
  <c r="C158" i="2482"/>
  <c r="C159" i="2482" s="1"/>
  <c r="E117" i="2482"/>
  <c r="E126" i="2482"/>
  <c r="AB125" i="2482"/>
  <c r="AO126" i="2482"/>
  <c r="AC123" i="2482"/>
  <c r="Q123" i="2482"/>
  <c r="Q126" i="2482"/>
  <c r="AP125" i="2482"/>
  <c r="AA125" i="2482"/>
  <c r="M126" i="2482"/>
  <c r="AH125" i="2482"/>
  <c r="AN126" i="2482"/>
  <c r="N127" i="2482"/>
  <c r="AB127" i="2482"/>
  <c r="J126" i="2482"/>
  <c r="AM125" i="2481"/>
  <c r="AD125" i="2481"/>
  <c r="U125" i="2481"/>
  <c r="L125" i="2481"/>
  <c r="C158" i="2481"/>
  <c r="C159" i="2481" s="1"/>
  <c r="E117" i="2481"/>
  <c r="E126" i="2481"/>
  <c r="H126" i="2481"/>
  <c r="AL125" i="2481"/>
  <c r="AC125" i="2481"/>
  <c r="T125" i="2481"/>
  <c r="K125" i="2481"/>
  <c r="AH127" i="2481"/>
  <c r="Y127" i="2481"/>
  <c r="S126" i="2481"/>
  <c r="P127" i="2481"/>
  <c r="J126" i="2481"/>
  <c r="G127" i="2481"/>
  <c r="K126" i="2481"/>
  <c r="AE125" i="2481"/>
  <c r="V125" i="2481"/>
  <c r="M125" i="2481"/>
  <c r="AL121" i="2482"/>
  <c r="AL126" i="2482" s="1"/>
  <c r="AI121" i="2482"/>
  <c r="AI126" i="2482" s="1"/>
  <c r="AF121" i="2482"/>
  <c r="AF126" i="2482" s="1"/>
  <c r="AC121" i="2482"/>
  <c r="AC126" i="2482" s="1"/>
  <c r="Z121" i="2482"/>
  <c r="W121" i="2482"/>
  <c r="W126" i="2482" s="1"/>
  <c r="T121" i="2482"/>
  <c r="T126" i="2482" s="1"/>
  <c r="AK121" i="2482"/>
  <c r="AK126" i="2482" s="1"/>
  <c r="AG121" i="2482"/>
  <c r="AG126" i="2482" s="1"/>
  <c r="AB121" i="2482"/>
  <c r="AB126" i="2482" s="1"/>
  <c r="X121" i="2482"/>
  <c r="AJ121" i="2482"/>
  <c r="AJ126" i="2482" s="1"/>
  <c r="AE121" i="2482"/>
  <c r="AE126" i="2482" s="1"/>
  <c r="AA121" i="2482"/>
  <c r="AA126" i="2482" s="1"/>
  <c r="V121" i="2482"/>
  <c r="V126" i="2482" s="1"/>
  <c r="AD121" i="2482"/>
  <c r="AD126" i="2482" s="1"/>
  <c r="AM121" i="2482"/>
  <c r="AM126" i="2482" s="1"/>
  <c r="Y121" i="2482"/>
  <c r="Y126" i="2482" s="1"/>
  <c r="AH121" i="2482"/>
  <c r="AH126" i="2482" s="1"/>
  <c r="U121" i="2482"/>
  <c r="U126" i="2482" s="1"/>
  <c r="AL123" i="2482"/>
  <c r="Z123" i="2482"/>
  <c r="Z126" i="2482"/>
  <c r="K126" i="2482"/>
  <c r="K123" i="2482"/>
  <c r="AF127" i="2482"/>
  <c r="P125" i="2482"/>
  <c r="AG123" i="2482"/>
  <c r="X126" i="2482"/>
  <c r="X123" i="2482"/>
  <c r="O126" i="2482"/>
  <c r="O123" i="2482"/>
  <c r="F126" i="2482"/>
  <c r="F123" i="2482"/>
  <c r="V127" i="2482"/>
  <c r="W127" i="2482"/>
  <c r="AK127" i="2482"/>
  <c r="S126" i="2482"/>
  <c r="W125" i="2482"/>
  <c r="N125" i="2482"/>
  <c r="M127" i="2482"/>
  <c r="AJ125" i="2481"/>
  <c r="AA125" i="2481"/>
  <c r="R125" i="2481"/>
  <c r="I125" i="2481"/>
  <c r="AP126" i="2481"/>
  <c r="Q126" i="2481"/>
  <c r="AR125" i="2481"/>
  <c r="AI125" i="2481"/>
  <c r="Z125" i="2481"/>
  <c r="Q125" i="2481"/>
  <c r="H125" i="2481"/>
  <c r="AK127" i="2481"/>
  <c r="AB127" i="2481"/>
  <c r="S127" i="2481"/>
  <c r="M126" i="2481"/>
  <c r="J127" i="2481"/>
  <c r="AR126" i="2481"/>
  <c r="F126" i="2481"/>
  <c r="AK125" i="2481"/>
  <c r="AB125" i="2481"/>
  <c r="S125" i="2481"/>
  <c r="J125" i="2481"/>
  <c r="AE121" i="2480"/>
  <c r="AE126" i="2480" s="1"/>
  <c r="AB121" i="2480"/>
  <c r="AB126" i="2480" s="1"/>
  <c r="AK121" i="2480"/>
  <c r="AK126" i="2480" s="1"/>
  <c r="AK121" i="2481"/>
  <c r="AK126" i="2481" s="1"/>
  <c r="AH121" i="2481"/>
  <c r="AH126" i="2481" s="1"/>
  <c r="AE121" i="2481"/>
  <c r="AE126" i="2481" s="1"/>
  <c r="AB121" i="2481"/>
  <c r="AB126" i="2481" s="1"/>
  <c r="Y121" i="2481"/>
  <c r="Y126" i="2481" s="1"/>
  <c r="V121" i="2481"/>
  <c r="V126" i="2481" s="1"/>
  <c r="AM121" i="2481"/>
  <c r="AM126" i="2481" s="1"/>
  <c r="AJ121" i="2481"/>
  <c r="AJ126" i="2481" s="1"/>
  <c r="AG121" i="2481"/>
  <c r="AG126" i="2481" s="1"/>
  <c r="AD121" i="2481"/>
  <c r="AD126" i="2481" s="1"/>
  <c r="AA121" i="2481"/>
  <c r="AA126" i="2481" s="1"/>
  <c r="X121" i="2481"/>
  <c r="X126" i="2481" s="1"/>
  <c r="U121" i="2481"/>
  <c r="U126" i="2481" s="1"/>
  <c r="AL121" i="2481"/>
  <c r="AL126" i="2481" s="1"/>
  <c r="AI121" i="2481"/>
  <c r="AI126" i="2481" s="1"/>
  <c r="AF121" i="2481"/>
  <c r="AF126" i="2481" s="1"/>
  <c r="AC121" i="2481"/>
  <c r="AC126" i="2481" s="1"/>
  <c r="Z121" i="2481"/>
  <c r="Z126" i="2481" s="1"/>
  <c r="W121" i="2481"/>
  <c r="W126" i="2481" s="1"/>
  <c r="T121" i="2481"/>
  <c r="T126" i="2481" s="1"/>
  <c r="AF126" i="2480"/>
  <c r="AF123" i="2480"/>
  <c r="W126" i="2480"/>
  <c r="W123" i="2480"/>
  <c r="N126" i="2480"/>
  <c r="N123" i="2480"/>
  <c r="AK127" i="2480"/>
  <c r="J127" i="2480"/>
  <c r="AN126" i="2480"/>
  <c r="M126" i="2480"/>
  <c r="I126" i="2480"/>
  <c r="AM127" i="2480"/>
  <c r="U127" i="2480"/>
  <c r="AO125" i="2480"/>
  <c r="AH125" i="2480"/>
  <c r="Y125" i="2480"/>
  <c r="AL123" i="2480"/>
  <c r="AC123" i="2480"/>
  <c r="T126" i="2480"/>
  <c r="T123" i="2480"/>
  <c r="K126" i="2480"/>
  <c r="K123" i="2480"/>
  <c r="Y127" i="2480"/>
  <c r="C158" i="2480"/>
  <c r="C159" i="2480" s="1"/>
  <c r="E117" i="2480"/>
  <c r="AB127" i="2480"/>
  <c r="S126" i="2480"/>
  <c r="J126" i="2480"/>
  <c r="AR125" i="2480"/>
  <c r="AR129" i="2480" s="1"/>
  <c r="AR131" i="2480" s="1"/>
  <c r="AH127" i="2480"/>
  <c r="AG127" i="2480"/>
  <c r="O127" i="2480"/>
  <c r="AN125" i="2480"/>
  <c r="AE125" i="2480"/>
  <c r="V125" i="2480"/>
  <c r="J125" i="2480"/>
  <c r="P144" i="2480"/>
  <c r="G144" i="2480"/>
  <c r="AI126" i="2480"/>
  <c r="AI123" i="2480"/>
  <c r="Z126" i="2480"/>
  <c r="Z123" i="2480"/>
  <c r="Q126" i="2480"/>
  <c r="Q123" i="2480"/>
  <c r="H126" i="2480"/>
  <c r="H123" i="2480"/>
  <c r="F127" i="2480"/>
  <c r="S127" i="2480"/>
  <c r="L144" i="2480"/>
  <c r="P126" i="2480"/>
  <c r="G126" i="2480"/>
  <c r="R126" i="2480"/>
  <c r="P127" i="2480"/>
  <c r="AA127" i="2480"/>
  <c r="I127" i="2480"/>
  <c r="AK125" i="2480"/>
  <c r="AB125" i="2480"/>
  <c r="S125" i="2480"/>
  <c r="G125" i="2480"/>
  <c r="M125" i="2480"/>
  <c r="U136" i="2319"/>
  <c r="X136" i="2319"/>
  <c r="AA136" i="2319"/>
  <c r="AD136" i="2319"/>
  <c r="AG136" i="2319"/>
  <c r="AJ136" i="2319"/>
  <c r="AM136" i="2319"/>
  <c r="AP136" i="2319"/>
  <c r="Y136" i="2319"/>
  <c r="AB136" i="2319"/>
  <c r="AH136" i="2319"/>
  <c r="AK136" i="2319"/>
  <c r="AQ136" i="2319"/>
  <c r="F105" i="2319"/>
  <c r="G105" i="2319" s="1"/>
  <c r="H105" i="2319" s="1"/>
  <c r="I105" i="2319" s="1"/>
  <c r="J105" i="2319" s="1"/>
  <c r="K105" i="2319" s="1"/>
  <c r="L105" i="2319" s="1"/>
  <c r="M105" i="2319" s="1"/>
  <c r="N105" i="2319" s="1"/>
  <c r="O105" i="2319" s="1"/>
  <c r="P105" i="2319" s="1"/>
  <c r="Q105" i="2319" s="1"/>
  <c r="R105" i="2319" s="1"/>
  <c r="S105" i="2319" s="1"/>
  <c r="T105" i="2319" s="1"/>
  <c r="U105" i="2319" s="1"/>
  <c r="V105" i="2319" s="1"/>
  <c r="W105" i="2319" s="1"/>
  <c r="X105" i="2319" s="1"/>
  <c r="Y105" i="2319" s="1"/>
  <c r="Z105" i="2319" s="1"/>
  <c r="AA105" i="2319" s="1"/>
  <c r="AB105" i="2319" s="1"/>
  <c r="AC105" i="2319" s="1"/>
  <c r="AD105" i="2319" s="1"/>
  <c r="AE105" i="2319" s="1"/>
  <c r="AF105" i="2319" s="1"/>
  <c r="AG105" i="2319" s="1"/>
  <c r="AH105" i="2319" s="1"/>
  <c r="AI105" i="2319" s="1"/>
  <c r="AJ105" i="2319" s="1"/>
  <c r="AK105" i="2319" s="1"/>
  <c r="AL105" i="2319" s="1"/>
  <c r="AM105" i="2319" s="1"/>
  <c r="AN105" i="2319" s="1"/>
  <c r="AO105" i="2319" s="1"/>
  <c r="AP105" i="2319" s="1"/>
  <c r="AQ105" i="2319" s="1"/>
  <c r="AR105" i="2319" s="1"/>
  <c r="AN130" i="2319"/>
  <c r="AQ130" i="2319"/>
  <c r="D28" i="2319"/>
  <c r="T136" i="2319"/>
  <c r="W136" i="2319"/>
  <c r="Z136" i="2319"/>
  <c r="AC136" i="2319"/>
  <c r="AF136" i="2319"/>
  <c r="AI136" i="2319"/>
  <c r="AL136" i="2319"/>
  <c r="AO136" i="2319"/>
  <c r="AR136" i="2319"/>
  <c r="V136" i="2319"/>
  <c r="AE136" i="2319"/>
  <c r="AN136" i="2319"/>
  <c r="C34" i="2319"/>
  <c r="N114" i="2319" s="1"/>
  <c r="N117" i="2319" s="1"/>
  <c r="N144" i="2319" s="1"/>
  <c r="AP130" i="2319"/>
  <c r="H123" i="2319"/>
  <c r="K123" i="2319"/>
  <c r="N123" i="2319"/>
  <c r="Q123" i="2319"/>
  <c r="M123" i="2319"/>
  <c r="V123" i="2319"/>
  <c r="U107" i="2319"/>
  <c r="X107" i="2319"/>
  <c r="G123" i="2319"/>
  <c r="P123" i="2319"/>
  <c r="Y123" i="2319"/>
  <c r="AH123" i="2319"/>
  <c r="AQ123" i="2319"/>
  <c r="C153" i="2319"/>
  <c r="AO130" i="2319"/>
  <c r="AR130" i="2319"/>
  <c r="J123" i="2319"/>
  <c r="S123" i="2319"/>
  <c r="AB123" i="2319"/>
  <c r="AK123" i="2319"/>
  <c r="D21" i="2319"/>
  <c r="D40" i="2319"/>
  <c r="D43" i="2319"/>
  <c r="D26" i="2319"/>
  <c r="D39" i="2319"/>
  <c r="T107" i="2319"/>
  <c r="W107" i="2319"/>
  <c r="I18" i="5"/>
  <c r="C31" i="1"/>
  <c r="X126" i="2485" l="1"/>
  <c r="AI126" i="2485"/>
  <c r="AI129" i="2485" s="1"/>
  <c r="M126" i="2485"/>
  <c r="M127" i="2485"/>
  <c r="M129" i="2485" s="1"/>
  <c r="AD129" i="2483"/>
  <c r="R129" i="2483"/>
  <c r="AP129" i="2482"/>
  <c r="AP131" i="2482" s="1"/>
  <c r="W114" i="2319"/>
  <c r="W117" i="2319" s="1"/>
  <c r="AL126" i="2484"/>
  <c r="AL129" i="2484" s="1"/>
  <c r="H125" i="2485"/>
  <c r="K126" i="2485"/>
  <c r="P127" i="2484"/>
  <c r="X127" i="2485"/>
  <c r="X129" i="2485" s="1"/>
  <c r="N127" i="2485"/>
  <c r="N126" i="2485"/>
  <c r="P126" i="2484"/>
  <c r="AP129" i="2480"/>
  <c r="AP131" i="2480" s="1"/>
  <c r="AC126" i="2484"/>
  <c r="AN125" i="2485"/>
  <c r="AN126" i="2485"/>
  <c r="AH127" i="2484"/>
  <c r="AH129" i="2484" s="1"/>
  <c r="AC127" i="2484"/>
  <c r="AG127" i="2485"/>
  <c r="AQ129" i="2480"/>
  <c r="AQ131" i="2480" s="1"/>
  <c r="AQ138" i="2480" s="1"/>
  <c r="AQ139" i="2480" s="1"/>
  <c r="AQ142" i="2480" s="1"/>
  <c r="F129" i="2483"/>
  <c r="C85" i="2480"/>
  <c r="C84" i="2480"/>
  <c r="AO129" i="2480"/>
  <c r="AO131" i="2480" s="1"/>
  <c r="AO138" i="2480" s="1"/>
  <c r="AO139" i="2480" s="1"/>
  <c r="AO142" i="2480" s="1"/>
  <c r="U129" i="2483"/>
  <c r="AL126" i="2485"/>
  <c r="K126" i="2484"/>
  <c r="T126" i="2484"/>
  <c r="K125" i="2484"/>
  <c r="N125" i="2485"/>
  <c r="AE126" i="2485"/>
  <c r="AE129" i="2485" s="1"/>
  <c r="T125" i="2484"/>
  <c r="T129" i="2484" s="1"/>
  <c r="K127" i="2484"/>
  <c r="L125" i="2485"/>
  <c r="AQ125" i="2484"/>
  <c r="F127" i="2485"/>
  <c r="V126" i="2485"/>
  <c r="V129" i="2485" s="1"/>
  <c r="L126" i="2485"/>
  <c r="L127" i="2485"/>
  <c r="AI126" i="2484"/>
  <c r="AA126" i="2484"/>
  <c r="G126" i="2485"/>
  <c r="AQ126" i="2484"/>
  <c r="I129" i="2482"/>
  <c r="V129" i="2482"/>
  <c r="Y126" i="2484"/>
  <c r="S127" i="2485"/>
  <c r="W125" i="2484"/>
  <c r="G127" i="2485"/>
  <c r="AH126" i="2485"/>
  <c r="W126" i="2485"/>
  <c r="Y125" i="2484"/>
  <c r="Y127" i="2484"/>
  <c r="S126" i="2485"/>
  <c r="H126" i="2485"/>
  <c r="W126" i="2484"/>
  <c r="F125" i="2485"/>
  <c r="AH127" i="2485"/>
  <c r="F126" i="2485"/>
  <c r="S125" i="2485"/>
  <c r="X136" i="2481"/>
  <c r="AG126" i="2485"/>
  <c r="P126" i="2485"/>
  <c r="AP125" i="2485"/>
  <c r="J126" i="2485"/>
  <c r="AG126" i="2484"/>
  <c r="W127" i="2484"/>
  <c r="AG129" i="2483"/>
  <c r="AR129" i="2482"/>
  <c r="AR131" i="2482" s="1"/>
  <c r="AR138" i="2482" s="1"/>
  <c r="AR139" i="2482" s="1"/>
  <c r="AR141" i="2482" s="1"/>
  <c r="AR143" i="2482" s="1"/>
  <c r="AJ129" i="2482"/>
  <c r="AM129" i="2480"/>
  <c r="AD129" i="2480"/>
  <c r="T136" i="2481"/>
  <c r="U136" i="2481"/>
  <c r="V136" i="2481"/>
  <c r="W136" i="2481"/>
  <c r="AK129" i="2483"/>
  <c r="S129" i="2483"/>
  <c r="R126" i="2485"/>
  <c r="U127" i="2485"/>
  <c r="C158" i="2485"/>
  <c r="C159" i="2485" s="1"/>
  <c r="U129" i="2480"/>
  <c r="I129" i="2481"/>
  <c r="AD126" i="2484"/>
  <c r="V129" i="2483"/>
  <c r="P125" i="2485"/>
  <c r="U125" i="2485"/>
  <c r="U126" i="2485"/>
  <c r="J126" i="2484"/>
  <c r="AG125" i="2485"/>
  <c r="P127" i="2485"/>
  <c r="AQ129" i="2481"/>
  <c r="AQ131" i="2481" s="1"/>
  <c r="AQ138" i="2481" s="1"/>
  <c r="AQ139" i="2481" s="1"/>
  <c r="AQ141" i="2481" s="1"/>
  <c r="AQ143" i="2481" s="1"/>
  <c r="L129" i="2480"/>
  <c r="Y125" i="2485"/>
  <c r="AB125" i="2485"/>
  <c r="AB127" i="2485"/>
  <c r="Y126" i="2485"/>
  <c r="AJ126" i="2485"/>
  <c r="Z126" i="2485"/>
  <c r="Z125" i="2485"/>
  <c r="AA125" i="2485"/>
  <c r="AA127" i="2485"/>
  <c r="AH125" i="2485"/>
  <c r="AF129" i="2485"/>
  <c r="Y127" i="2485"/>
  <c r="AB126" i="2485"/>
  <c r="AA126" i="2485"/>
  <c r="AC126" i="2485"/>
  <c r="AP126" i="2485"/>
  <c r="AO126" i="2485"/>
  <c r="AK126" i="2485"/>
  <c r="J125" i="2485"/>
  <c r="AK127" i="2485"/>
  <c r="E126" i="2485"/>
  <c r="I117" i="2485"/>
  <c r="I126" i="2485"/>
  <c r="AQ117" i="2485"/>
  <c r="AQ126" i="2485"/>
  <c r="H144" i="2485"/>
  <c r="Z127" i="2485"/>
  <c r="AJ127" i="2485"/>
  <c r="AJ125" i="2485"/>
  <c r="AM127" i="2485"/>
  <c r="AM125" i="2485"/>
  <c r="J127" i="2485"/>
  <c r="T126" i="2485"/>
  <c r="AM126" i="2485"/>
  <c r="AK125" i="2485"/>
  <c r="AR117" i="2485"/>
  <c r="AR126" i="2485"/>
  <c r="Q117" i="2485"/>
  <c r="Q126" i="2485"/>
  <c r="O117" i="2485"/>
  <c r="O126" i="2485"/>
  <c r="G125" i="2485"/>
  <c r="J129" i="2482"/>
  <c r="AN129" i="2482"/>
  <c r="AN131" i="2482" s="1"/>
  <c r="AN138" i="2482" s="1"/>
  <c r="AN139" i="2482" s="1"/>
  <c r="AN142" i="2482" s="1"/>
  <c r="AJ126" i="2484"/>
  <c r="U126" i="2484"/>
  <c r="G129" i="2484"/>
  <c r="AM129" i="2483"/>
  <c r="Z127" i="2484"/>
  <c r="O129" i="2483"/>
  <c r="W127" i="2485"/>
  <c r="W125" i="2485"/>
  <c r="AB126" i="2484"/>
  <c r="Z126" i="2484"/>
  <c r="AM126" i="2484"/>
  <c r="AE126" i="2484"/>
  <c r="X126" i="2484"/>
  <c r="AF126" i="2484"/>
  <c r="V126" i="2484"/>
  <c r="Z125" i="2484"/>
  <c r="AQ129" i="2483"/>
  <c r="AQ131" i="2483" s="1"/>
  <c r="AQ138" i="2483" s="1"/>
  <c r="AQ139" i="2483" s="1"/>
  <c r="AQ142" i="2483" s="1"/>
  <c r="AA129" i="2483"/>
  <c r="L129" i="2483"/>
  <c r="X129" i="2483"/>
  <c r="C86" i="2483"/>
  <c r="C70" i="2483" s="1"/>
  <c r="J129" i="2483"/>
  <c r="N129" i="2483"/>
  <c r="AP129" i="2483"/>
  <c r="AP131" i="2483" s="1"/>
  <c r="AP138" i="2483" s="1"/>
  <c r="AP139" i="2483" s="1"/>
  <c r="AP142" i="2483" s="1"/>
  <c r="AH129" i="2483"/>
  <c r="W129" i="2483"/>
  <c r="I129" i="2483"/>
  <c r="AE129" i="2483"/>
  <c r="Y129" i="2483"/>
  <c r="P129" i="2483"/>
  <c r="AK129" i="2482"/>
  <c r="P129" i="2482"/>
  <c r="G129" i="2482"/>
  <c r="R129" i="2482"/>
  <c r="AN129" i="2481"/>
  <c r="AN131" i="2481" s="1"/>
  <c r="AN138" i="2481" s="1"/>
  <c r="AN139" i="2481" s="1"/>
  <c r="AN141" i="2481" s="1"/>
  <c r="AN143" i="2481" s="1"/>
  <c r="N129" i="2481"/>
  <c r="R129" i="2481"/>
  <c r="AE129" i="2481"/>
  <c r="O129" i="2480"/>
  <c r="AJ129" i="2480"/>
  <c r="G129" i="2480"/>
  <c r="AA129" i="2480"/>
  <c r="F129" i="2480"/>
  <c r="J129" i="2480"/>
  <c r="M129" i="2480"/>
  <c r="AK129" i="2480"/>
  <c r="Z129" i="2481"/>
  <c r="AJ129" i="2481"/>
  <c r="AF129" i="2482"/>
  <c r="M129" i="2481"/>
  <c r="AH129" i="2481"/>
  <c r="AC129" i="2481"/>
  <c r="AA129" i="2482"/>
  <c r="G129" i="2481"/>
  <c r="F129" i="2481"/>
  <c r="AG129" i="2481"/>
  <c r="AO129" i="2482"/>
  <c r="AO131" i="2482" s="1"/>
  <c r="AO138" i="2482" s="1"/>
  <c r="AO139" i="2482" s="1"/>
  <c r="AO141" i="2482" s="1"/>
  <c r="AO143" i="2482" s="1"/>
  <c r="S129" i="2482"/>
  <c r="AR127" i="2483"/>
  <c r="AR125" i="2483"/>
  <c r="E117" i="2484"/>
  <c r="C158" i="2484"/>
  <c r="C159" i="2484" s="1"/>
  <c r="E126" i="2484"/>
  <c r="AM127" i="2484"/>
  <c r="K127" i="2485"/>
  <c r="K125" i="2485"/>
  <c r="K127" i="2483"/>
  <c r="K125" i="2483"/>
  <c r="T127" i="2483"/>
  <c r="T125" i="2483"/>
  <c r="E129" i="2483"/>
  <c r="AF125" i="2484"/>
  <c r="AD125" i="2484"/>
  <c r="AR117" i="2484"/>
  <c r="AR126" i="2484"/>
  <c r="R117" i="2484"/>
  <c r="R126" i="2484"/>
  <c r="AB127" i="2484"/>
  <c r="AB125" i="2484"/>
  <c r="Z127" i="2483"/>
  <c r="Z125" i="2483"/>
  <c r="AB129" i="2483"/>
  <c r="M129" i="2483"/>
  <c r="X127" i="2484"/>
  <c r="X125" i="2484"/>
  <c r="J127" i="2484"/>
  <c r="J125" i="2484"/>
  <c r="AO117" i="2484"/>
  <c r="AO126" i="2484"/>
  <c r="AN117" i="2484"/>
  <c r="AN126" i="2484"/>
  <c r="AI127" i="2484"/>
  <c r="AC127" i="2485"/>
  <c r="AC125" i="2485"/>
  <c r="AM125" i="2484"/>
  <c r="S129" i="2480"/>
  <c r="AO127" i="2483"/>
  <c r="AO125" i="2483"/>
  <c r="L117" i="2484"/>
  <c r="L126" i="2484"/>
  <c r="S144" i="2484"/>
  <c r="AL127" i="2483"/>
  <c r="AL125" i="2483"/>
  <c r="C150" i="2483"/>
  <c r="AJ129" i="2483"/>
  <c r="AF127" i="2484"/>
  <c r="AJ125" i="2484"/>
  <c r="I117" i="2484"/>
  <c r="I126" i="2484"/>
  <c r="AO125" i="2485"/>
  <c r="AO127" i="2485"/>
  <c r="AF129" i="2483"/>
  <c r="Q127" i="2483"/>
  <c r="Q125" i="2483"/>
  <c r="AN129" i="2483"/>
  <c r="AN131" i="2483" s="1"/>
  <c r="AP117" i="2484"/>
  <c r="AP126" i="2484"/>
  <c r="O117" i="2484"/>
  <c r="O126" i="2484"/>
  <c r="N117" i="2484"/>
  <c r="N126" i="2484"/>
  <c r="AD129" i="2485"/>
  <c r="H117" i="2484"/>
  <c r="H126" i="2484"/>
  <c r="M117" i="2484"/>
  <c r="M126" i="2484"/>
  <c r="Q117" i="2484"/>
  <c r="Q126" i="2484"/>
  <c r="E144" i="2485"/>
  <c r="E127" i="2485"/>
  <c r="E125" i="2485"/>
  <c r="Y129" i="2481"/>
  <c r="T129" i="2481"/>
  <c r="M129" i="2482"/>
  <c r="P129" i="2481"/>
  <c r="S127" i="2484"/>
  <c r="S125" i="2484"/>
  <c r="AL127" i="2485"/>
  <c r="AL125" i="2485"/>
  <c r="AC127" i="2483"/>
  <c r="AC125" i="2483"/>
  <c r="U125" i="2484"/>
  <c r="AA127" i="2484"/>
  <c r="AA125" i="2484"/>
  <c r="U127" i="2484"/>
  <c r="R144" i="2485"/>
  <c r="R125" i="2485"/>
  <c r="R127" i="2485"/>
  <c r="T127" i="2485"/>
  <c r="T125" i="2485"/>
  <c r="H127" i="2483"/>
  <c r="H125" i="2483"/>
  <c r="AI127" i="2483"/>
  <c r="AI125" i="2483"/>
  <c r="G129" i="2483"/>
  <c r="AG127" i="2484"/>
  <c r="AG125" i="2484"/>
  <c r="F117" i="2484"/>
  <c r="F126" i="2484"/>
  <c r="AK127" i="2484"/>
  <c r="AK125" i="2484"/>
  <c r="V127" i="2484"/>
  <c r="V125" i="2484"/>
  <c r="AE125" i="2484"/>
  <c r="AE127" i="2484"/>
  <c r="AD127" i="2484"/>
  <c r="O127" i="2482"/>
  <c r="O125" i="2482"/>
  <c r="AL127" i="2482"/>
  <c r="AL125" i="2482"/>
  <c r="U129" i="2481"/>
  <c r="AE129" i="2480"/>
  <c r="AB129" i="2481"/>
  <c r="E144" i="2481"/>
  <c r="C150" i="2481" s="1"/>
  <c r="C85" i="2481"/>
  <c r="C84" i="2481"/>
  <c r="E127" i="2481"/>
  <c r="E125" i="2481"/>
  <c r="W129" i="2481"/>
  <c r="U127" i="2482"/>
  <c r="U125" i="2482"/>
  <c r="H127" i="2482"/>
  <c r="H125" i="2482"/>
  <c r="AB114" i="2319"/>
  <c r="AB117" i="2319" s="1"/>
  <c r="AN129" i="2480"/>
  <c r="AN131" i="2480" s="1"/>
  <c r="AN138" i="2480" s="1"/>
  <c r="AN139" i="2480" s="1"/>
  <c r="AN141" i="2480" s="1"/>
  <c r="AN143" i="2480" s="1"/>
  <c r="AG129" i="2480"/>
  <c r="J129" i="2481"/>
  <c r="AK129" i="2481"/>
  <c r="H129" i="2481"/>
  <c r="AI129" i="2481"/>
  <c r="N129" i="2482"/>
  <c r="F127" i="2482"/>
  <c r="F125" i="2482"/>
  <c r="AG127" i="2482"/>
  <c r="AG125" i="2482"/>
  <c r="AD129" i="2481"/>
  <c r="Q127" i="2482"/>
  <c r="Q125" i="2482"/>
  <c r="AF129" i="2481"/>
  <c r="O129" i="2481"/>
  <c r="AP129" i="2481"/>
  <c r="AP131" i="2481" s="1"/>
  <c r="Y129" i="2482"/>
  <c r="L127" i="2482"/>
  <c r="L125" i="2482"/>
  <c r="AM127" i="2482"/>
  <c r="AM125" i="2482"/>
  <c r="AQ129" i="2482"/>
  <c r="AQ131" i="2482" s="1"/>
  <c r="T127" i="2482"/>
  <c r="T125" i="2482"/>
  <c r="AI127" i="2482"/>
  <c r="AI125" i="2482"/>
  <c r="AE129" i="2482"/>
  <c r="AB129" i="2480"/>
  <c r="I129" i="2480"/>
  <c r="R129" i="2480"/>
  <c r="P129" i="2480"/>
  <c r="V129" i="2480"/>
  <c r="S129" i="2481"/>
  <c r="Q129" i="2481"/>
  <c r="AR129" i="2481"/>
  <c r="AR131" i="2481" s="1"/>
  <c r="AA129" i="2481"/>
  <c r="W129" i="2482"/>
  <c r="X127" i="2482"/>
  <c r="X125" i="2482"/>
  <c r="K127" i="2482"/>
  <c r="K125" i="2482"/>
  <c r="Z127" i="2482"/>
  <c r="Z125" i="2482"/>
  <c r="V129" i="2481"/>
  <c r="K129" i="2481"/>
  <c r="AL129" i="2481"/>
  <c r="L129" i="2481"/>
  <c r="AM129" i="2481"/>
  <c r="AH129" i="2482"/>
  <c r="AP138" i="2482"/>
  <c r="AP139" i="2482" s="1"/>
  <c r="AP141" i="2482" s="1"/>
  <c r="AP143" i="2482" s="1"/>
  <c r="AC127" i="2482"/>
  <c r="AC125" i="2482"/>
  <c r="AB129" i="2482"/>
  <c r="E144" i="2482"/>
  <c r="C150" i="2482" s="1"/>
  <c r="E125" i="2482"/>
  <c r="C84" i="2482"/>
  <c r="C85" i="2482"/>
  <c r="E127" i="2482"/>
  <c r="AO129" i="2481"/>
  <c r="AO131" i="2481" s="1"/>
  <c r="X129" i="2481"/>
  <c r="AD127" i="2482"/>
  <c r="AD125" i="2482"/>
  <c r="Z127" i="2480"/>
  <c r="Z125" i="2480"/>
  <c r="AR138" i="2480"/>
  <c r="AR139" i="2480" s="1"/>
  <c r="AR141" i="2480" s="1"/>
  <c r="AR143" i="2480" s="1"/>
  <c r="E144" i="2480"/>
  <c r="C150" i="2480" s="1"/>
  <c r="E127" i="2480"/>
  <c r="E125" i="2480"/>
  <c r="T127" i="2480"/>
  <c r="T125" i="2480"/>
  <c r="AF127" i="2480"/>
  <c r="AF125" i="2480"/>
  <c r="Q127" i="2480"/>
  <c r="Q125" i="2480"/>
  <c r="K127" i="2480"/>
  <c r="K125" i="2480"/>
  <c r="AL127" i="2480"/>
  <c r="AL125" i="2480"/>
  <c r="Y129" i="2480"/>
  <c r="AP138" i="2480"/>
  <c r="AP139" i="2480" s="1"/>
  <c r="AP142" i="2480" s="1"/>
  <c r="W127" i="2480"/>
  <c r="W125" i="2480"/>
  <c r="H127" i="2480"/>
  <c r="H125" i="2480"/>
  <c r="AI127" i="2480"/>
  <c r="AI125" i="2480"/>
  <c r="AC127" i="2480"/>
  <c r="AC125" i="2480"/>
  <c r="AH129" i="2480"/>
  <c r="N127" i="2480"/>
  <c r="N125" i="2480"/>
  <c r="S114" i="2319"/>
  <c r="S117" i="2319" s="1"/>
  <c r="S144" i="2319" s="1"/>
  <c r="AO114" i="2319"/>
  <c r="AO117" i="2319" s="1"/>
  <c r="E114" i="2319"/>
  <c r="E126" i="2319" s="1"/>
  <c r="AK114" i="2319"/>
  <c r="AK117" i="2319" s="1"/>
  <c r="J114" i="2319"/>
  <c r="J117" i="2319" s="1"/>
  <c r="J144" i="2319" s="1"/>
  <c r="AF114" i="2319"/>
  <c r="AF117" i="2319" s="1"/>
  <c r="O114" i="2319"/>
  <c r="O126" i="2319" s="1"/>
  <c r="K114" i="2319"/>
  <c r="K117" i="2319" s="1"/>
  <c r="K125" i="2319" s="1"/>
  <c r="T114" i="2319"/>
  <c r="T117" i="2319" s="1"/>
  <c r="AC114" i="2319"/>
  <c r="AC117" i="2319" s="1"/>
  <c r="AL114" i="2319"/>
  <c r="AL117" i="2319" s="1"/>
  <c r="G114" i="2319"/>
  <c r="G117" i="2319" s="1"/>
  <c r="G144" i="2319" s="1"/>
  <c r="P114" i="2319"/>
  <c r="P117" i="2319" s="1"/>
  <c r="P144" i="2319" s="1"/>
  <c r="Y114" i="2319"/>
  <c r="Y117" i="2319" s="1"/>
  <c r="AH114" i="2319"/>
  <c r="AH117" i="2319" s="1"/>
  <c r="H114" i="2319"/>
  <c r="H117" i="2319" s="1"/>
  <c r="H125" i="2319" s="1"/>
  <c r="Q114" i="2319"/>
  <c r="Q117" i="2319" s="1"/>
  <c r="Q127" i="2319" s="1"/>
  <c r="Z114" i="2319"/>
  <c r="Z117" i="2319" s="1"/>
  <c r="AI114" i="2319"/>
  <c r="AI117" i="2319" s="1"/>
  <c r="M114" i="2319"/>
  <c r="M117" i="2319" s="1"/>
  <c r="M144" i="2319" s="1"/>
  <c r="V114" i="2319"/>
  <c r="V117" i="2319" s="1"/>
  <c r="AE114" i="2319"/>
  <c r="AE117" i="2319" s="1"/>
  <c r="AE125" i="2319" s="1"/>
  <c r="AN114" i="2319"/>
  <c r="AN117" i="2319" s="1"/>
  <c r="AN125" i="2319" s="1"/>
  <c r="AA114" i="2319"/>
  <c r="R114" i="2319"/>
  <c r="AJ114" i="2319"/>
  <c r="I114" i="2319"/>
  <c r="O117" i="2319"/>
  <c r="X114" i="2319"/>
  <c r="X117" i="2319" s="1"/>
  <c r="AQ114" i="2319"/>
  <c r="AP114" i="2319"/>
  <c r="AR114" i="2319"/>
  <c r="U114" i="2319"/>
  <c r="U117" i="2319" s="1"/>
  <c r="AM114" i="2319"/>
  <c r="L114" i="2319"/>
  <c r="AD114" i="2319"/>
  <c r="AG114" i="2319"/>
  <c r="F114" i="2319"/>
  <c r="C165" i="2319"/>
  <c r="C166" i="2319"/>
  <c r="X123" i="2319"/>
  <c r="A1" i="2319"/>
  <c r="C164" i="2319"/>
  <c r="W123" i="2319"/>
  <c r="N126" i="2319"/>
  <c r="C163" i="2319"/>
  <c r="T123" i="2319"/>
  <c r="U123" i="2319"/>
  <c r="N125" i="2319"/>
  <c r="N127" i="2319"/>
  <c r="AN129" i="2485" l="1"/>
  <c r="AN131" i="2485" s="1"/>
  <c r="AN138" i="2485" s="1"/>
  <c r="AN139" i="2485" s="1"/>
  <c r="AN141" i="2485" s="1"/>
  <c r="AN143" i="2485" s="1"/>
  <c r="AC129" i="2484"/>
  <c r="P129" i="2484"/>
  <c r="K129" i="2484"/>
  <c r="N129" i="2485"/>
  <c r="H129" i="2485"/>
  <c r="J125" i="2319"/>
  <c r="G129" i="2485"/>
  <c r="F129" i="2485"/>
  <c r="L129" i="2485"/>
  <c r="C86" i="2480"/>
  <c r="C70" i="2480" s="1"/>
  <c r="Y129" i="2484"/>
  <c r="AQ129" i="2484"/>
  <c r="AQ131" i="2484" s="1"/>
  <c r="AQ138" i="2484" s="1"/>
  <c r="AQ139" i="2484" s="1"/>
  <c r="AQ142" i="2484" s="1"/>
  <c r="AH129" i="2485"/>
  <c r="AI129" i="2484"/>
  <c r="AQ142" i="2481"/>
  <c r="W129" i="2484"/>
  <c r="S129" i="2485"/>
  <c r="H126" i="2319"/>
  <c r="P126" i="2319"/>
  <c r="AO126" i="2319"/>
  <c r="J126" i="2319"/>
  <c r="AP129" i="2485"/>
  <c r="AP131" i="2485" s="1"/>
  <c r="AP138" i="2485" s="1"/>
  <c r="AP139" i="2485" s="1"/>
  <c r="AP141" i="2485" s="1"/>
  <c r="AP143" i="2485" s="1"/>
  <c r="AG129" i="2485"/>
  <c r="U129" i="2485"/>
  <c r="P129" i="2485"/>
  <c r="J129" i="2485"/>
  <c r="AB129" i="2485"/>
  <c r="Y129" i="2485"/>
  <c r="AJ129" i="2484"/>
  <c r="K129" i="2483"/>
  <c r="AB125" i="2319"/>
  <c r="E117" i="2319"/>
  <c r="E144" i="2319" s="1"/>
  <c r="Y125" i="2319"/>
  <c r="C86" i="2482"/>
  <c r="C70" i="2482" s="1"/>
  <c r="H129" i="2483"/>
  <c r="AC129" i="2483"/>
  <c r="AR129" i="2483"/>
  <c r="AR131" i="2483" s="1"/>
  <c r="AR138" i="2483" s="1"/>
  <c r="AR139" i="2483" s="1"/>
  <c r="AR142" i="2483" s="1"/>
  <c r="Z129" i="2484"/>
  <c r="AK129" i="2485"/>
  <c r="AA129" i="2485"/>
  <c r="Z129" i="2485"/>
  <c r="C84" i="2485"/>
  <c r="AC129" i="2485"/>
  <c r="AJ129" i="2485"/>
  <c r="AR127" i="2485"/>
  <c r="AR125" i="2485"/>
  <c r="AM129" i="2485"/>
  <c r="AQ127" i="2485"/>
  <c r="AQ125" i="2485"/>
  <c r="O144" i="2485"/>
  <c r="O125" i="2485"/>
  <c r="O127" i="2485"/>
  <c r="I125" i="2485"/>
  <c r="I127" i="2485"/>
  <c r="I144" i="2485"/>
  <c r="C85" i="2485"/>
  <c r="W129" i="2485"/>
  <c r="Q144" i="2485"/>
  <c r="Q125" i="2485"/>
  <c r="Q127" i="2485"/>
  <c r="S127" i="2319"/>
  <c r="AO129" i="2485"/>
  <c r="AO131" i="2485" s="1"/>
  <c r="AN142" i="2481"/>
  <c r="S125" i="2319"/>
  <c r="C158" i="2319"/>
  <c r="C159" i="2319" s="1"/>
  <c r="L129" i="2482"/>
  <c r="R129" i="2485"/>
  <c r="S129" i="2484"/>
  <c r="E129" i="2485"/>
  <c r="X129" i="2484"/>
  <c r="AB129" i="2484"/>
  <c r="AK129" i="2484"/>
  <c r="AA129" i="2484"/>
  <c r="U129" i="2484"/>
  <c r="AE129" i="2484"/>
  <c r="AM129" i="2484"/>
  <c r="T129" i="2483"/>
  <c r="AP141" i="2483"/>
  <c r="AP143" i="2483" s="1"/>
  <c r="X129" i="2482"/>
  <c r="AP142" i="2482"/>
  <c r="E129" i="2481"/>
  <c r="AO141" i="2480"/>
  <c r="AO143" i="2480" s="1"/>
  <c r="T129" i="2480"/>
  <c r="E129" i="2480"/>
  <c r="AQ141" i="2483"/>
  <c r="AQ143" i="2483" s="1"/>
  <c r="AN141" i="2482"/>
  <c r="AN143" i="2482" s="1"/>
  <c r="H127" i="2319"/>
  <c r="J127" i="2319"/>
  <c r="K129" i="2482"/>
  <c r="AG129" i="2482"/>
  <c r="AL129" i="2482"/>
  <c r="V129" i="2484"/>
  <c r="T129" i="2485"/>
  <c r="Q144" i="2484"/>
  <c r="Q127" i="2484"/>
  <c r="Q125" i="2484"/>
  <c r="AP127" i="2484"/>
  <c r="AP125" i="2484"/>
  <c r="Q129" i="2483"/>
  <c r="AL129" i="2483"/>
  <c r="AO129" i="2483"/>
  <c r="AO131" i="2483" s="1"/>
  <c r="J129" i="2484"/>
  <c r="AR127" i="2484"/>
  <c r="AR125" i="2484"/>
  <c r="AF129" i="2484"/>
  <c r="K129" i="2485"/>
  <c r="E144" i="2484"/>
  <c r="C85" i="2484"/>
  <c r="C84" i="2484"/>
  <c r="E125" i="2484"/>
  <c r="E127" i="2484"/>
  <c r="F144" i="2484"/>
  <c r="F127" i="2484"/>
  <c r="F125" i="2484"/>
  <c r="H144" i="2484"/>
  <c r="H125" i="2484"/>
  <c r="H127" i="2484"/>
  <c r="O144" i="2484"/>
  <c r="O127" i="2484"/>
  <c r="O125" i="2484"/>
  <c r="AN138" i="2483"/>
  <c r="AN139" i="2483" s="1"/>
  <c r="AN142" i="2483" s="1"/>
  <c r="L144" i="2484"/>
  <c r="L127" i="2484"/>
  <c r="L125" i="2484"/>
  <c r="AN125" i="2484"/>
  <c r="AN127" i="2484"/>
  <c r="R144" i="2484"/>
  <c r="R127" i="2484"/>
  <c r="R125" i="2484"/>
  <c r="AD129" i="2484"/>
  <c r="P127" i="2319"/>
  <c r="P125" i="2319"/>
  <c r="AG129" i="2484"/>
  <c r="AI129" i="2483"/>
  <c r="AL129" i="2485"/>
  <c r="M144" i="2484"/>
  <c r="M125" i="2484"/>
  <c r="M127" i="2484"/>
  <c r="N144" i="2484"/>
  <c r="N127" i="2484"/>
  <c r="N125" i="2484"/>
  <c r="I144" i="2484"/>
  <c r="I125" i="2484"/>
  <c r="I127" i="2484"/>
  <c r="AO125" i="2484"/>
  <c r="AO127" i="2484"/>
  <c r="Z129" i="2483"/>
  <c r="AQ138" i="2482"/>
  <c r="AQ139" i="2482" s="1"/>
  <c r="AQ142" i="2482" s="1"/>
  <c r="AK125" i="2319"/>
  <c r="AK127" i="2319"/>
  <c r="H129" i="2480"/>
  <c r="W129" i="2480"/>
  <c r="AQ141" i="2480"/>
  <c r="AQ143" i="2480" s="1"/>
  <c r="AR142" i="2480"/>
  <c r="Z129" i="2482"/>
  <c r="AR138" i="2481"/>
  <c r="AR139" i="2481" s="1"/>
  <c r="AR141" i="2481" s="1"/>
  <c r="AR143" i="2481" s="1"/>
  <c r="T129" i="2482"/>
  <c r="AM129" i="2482"/>
  <c r="U129" i="2482"/>
  <c r="AO142" i="2482"/>
  <c r="C86" i="2481"/>
  <c r="C70" i="2481" s="1"/>
  <c r="AR142" i="2482"/>
  <c r="S126" i="2319"/>
  <c r="AB127" i="2319"/>
  <c r="AC129" i="2480"/>
  <c r="AL129" i="2480"/>
  <c r="AF129" i="2480"/>
  <c r="AD129" i="2482"/>
  <c r="AO138" i="2481"/>
  <c r="AO139" i="2481" s="1"/>
  <c r="AO141" i="2481" s="1"/>
  <c r="AO143" i="2481" s="1"/>
  <c r="E129" i="2482"/>
  <c r="AC129" i="2482"/>
  <c r="AI129" i="2482"/>
  <c r="AP138" i="2481"/>
  <c r="AP139" i="2481" s="1"/>
  <c r="AP142" i="2481" s="1"/>
  <c r="Q129" i="2482"/>
  <c r="F129" i="2482"/>
  <c r="H129" i="2482"/>
  <c r="O129" i="2482"/>
  <c r="N129" i="2480"/>
  <c r="AI129" i="2480"/>
  <c r="AP141" i="2480"/>
  <c r="AP143" i="2480" s="1"/>
  <c r="K129" i="2480"/>
  <c r="AN142" i="2480"/>
  <c r="Q129" i="2480"/>
  <c r="Z129" i="2480"/>
  <c r="AN126" i="2319"/>
  <c r="AN127" i="2319"/>
  <c r="M127" i="2319"/>
  <c r="Q125" i="2319"/>
  <c r="K127" i="2319"/>
  <c r="Y127" i="2319"/>
  <c r="AH127" i="2319"/>
  <c r="AE127" i="2319"/>
  <c r="G125" i="2319"/>
  <c r="G127" i="2319"/>
  <c r="V125" i="2319"/>
  <c r="AH125" i="2319"/>
  <c r="M126" i="2319"/>
  <c r="Q126" i="2319"/>
  <c r="V127" i="2319"/>
  <c r="K126" i="2319"/>
  <c r="G126" i="2319"/>
  <c r="M125" i="2319"/>
  <c r="Q144" i="2319"/>
  <c r="K144" i="2319"/>
  <c r="H144" i="2319"/>
  <c r="AA117" i="2319"/>
  <c r="I117" i="2319"/>
  <c r="I126" i="2319"/>
  <c r="AJ117" i="2319"/>
  <c r="R117" i="2319"/>
  <c r="R126" i="2319"/>
  <c r="L126" i="2319"/>
  <c r="L117" i="2319"/>
  <c r="AR117" i="2319"/>
  <c r="AR126" i="2319"/>
  <c r="AP117" i="2319"/>
  <c r="AP126" i="2319"/>
  <c r="AQ117" i="2319"/>
  <c r="AQ126" i="2319"/>
  <c r="F117" i="2319"/>
  <c r="F126" i="2319"/>
  <c r="AM117" i="2319"/>
  <c r="O144" i="2319"/>
  <c r="O125" i="2319"/>
  <c r="O127" i="2319"/>
  <c r="AG117" i="2319"/>
  <c r="AD117" i="2319"/>
  <c r="U127" i="2319"/>
  <c r="U125" i="2319"/>
  <c r="AO127" i="2319"/>
  <c r="AO125" i="2319"/>
  <c r="AI127" i="2319"/>
  <c r="AI125" i="2319"/>
  <c r="W127" i="2319"/>
  <c r="W125" i="2319"/>
  <c r="AC127" i="2319"/>
  <c r="AC125" i="2319"/>
  <c r="AF127" i="2319"/>
  <c r="AF125" i="2319"/>
  <c r="Z125" i="2319"/>
  <c r="Z127" i="2319"/>
  <c r="N129" i="2319"/>
  <c r="T127" i="2319"/>
  <c r="T125" i="2319"/>
  <c r="X127" i="2319"/>
  <c r="X125" i="2319"/>
  <c r="AL127" i="2319"/>
  <c r="AL125" i="2319"/>
  <c r="AN142" i="2485" l="1"/>
  <c r="H129" i="2319"/>
  <c r="AQ141" i="2484"/>
  <c r="AQ143" i="2484" s="1"/>
  <c r="J129" i="2319"/>
  <c r="C150" i="2485"/>
  <c r="O129" i="2485"/>
  <c r="AQ129" i="2485"/>
  <c r="AQ131" i="2485" s="1"/>
  <c r="AQ138" i="2485" s="1"/>
  <c r="AQ139" i="2485" s="1"/>
  <c r="AQ142" i="2485" s="1"/>
  <c r="AR129" i="2485"/>
  <c r="AR131" i="2485" s="1"/>
  <c r="AR138" i="2485" s="1"/>
  <c r="AR139" i="2485" s="1"/>
  <c r="AR142" i="2485" s="1"/>
  <c r="E127" i="2319"/>
  <c r="E125" i="2319"/>
  <c r="AN129" i="2319"/>
  <c r="AN131" i="2319" s="1"/>
  <c r="AN138" i="2319" s="1"/>
  <c r="AN139" i="2319" s="1"/>
  <c r="AN141" i="2319" s="1"/>
  <c r="AN143" i="2319" s="1"/>
  <c r="C86" i="2485"/>
  <c r="C70" i="2485" s="1"/>
  <c r="P129" i="2319"/>
  <c r="S129" i="2319"/>
  <c r="I129" i="2485"/>
  <c r="Q129" i="2485"/>
  <c r="AO138" i="2485"/>
  <c r="AO139" i="2485" s="1"/>
  <c r="AO141" i="2485" s="1"/>
  <c r="AO143" i="2485" s="1"/>
  <c r="Q129" i="2484"/>
  <c r="C86" i="2484"/>
  <c r="C70" i="2484" s="1"/>
  <c r="H129" i="2484"/>
  <c r="E129" i="2484"/>
  <c r="AO129" i="2484"/>
  <c r="AO131" i="2484" s="1"/>
  <c r="AO138" i="2484" s="1"/>
  <c r="AO139" i="2484" s="1"/>
  <c r="AO141" i="2484" s="1"/>
  <c r="AO143" i="2484" s="1"/>
  <c r="I129" i="2484"/>
  <c r="M129" i="2484"/>
  <c r="F129" i="2484"/>
  <c r="AN141" i="2483"/>
  <c r="AN143" i="2483" s="1"/>
  <c r="AQ141" i="2482"/>
  <c r="AQ143" i="2482" s="1"/>
  <c r="AP141" i="2481"/>
  <c r="AP143" i="2481" s="1"/>
  <c r="AR141" i="2483"/>
  <c r="AR143" i="2483" s="1"/>
  <c r="N129" i="2484"/>
  <c r="R129" i="2484"/>
  <c r="AP142" i="2485"/>
  <c r="C150" i="2484"/>
  <c r="AO138" i="2483"/>
  <c r="AO139" i="2483" s="1"/>
  <c r="AO142" i="2483" s="1"/>
  <c r="AN129" i="2484"/>
  <c r="AN131" i="2484" s="1"/>
  <c r="L129" i="2484"/>
  <c r="O129" i="2484"/>
  <c r="AR129" i="2484"/>
  <c r="AR131" i="2484" s="1"/>
  <c r="AP129" i="2484"/>
  <c r="AP131" i="2484" s="1"/>
  <c r="AO142" i="2481"/>
  <c r="AR142" i="2481"/>
  <c r="AM121" i="2319"/>
  <c r="AM126" i="2319" s="1"/>
  <c r="AJ121" i="2319"/>
  <c r="AJ126" i="2319" s="1"/>
  <c r="AG121" i="2319"/>
  <c r="AG126" i="2319" s="1"/>
  <c r="AD121" i="2319"/>
  <c r="AD126" i="2319" s="1"/>
  <c r="AA121" i="2319"/>
  <c r="AA126" i="2319" s="1"/>
  <c r="AK121" i="2319"/>
  <c r="AK126" i="2319" s="1"/>
  <c r="AK129" i="2319" s="1"/>
  <c r="AE121" i="2319"/>
  <c r="AE126" i="2319" s="1"/>
  <c r="AE129" i="2319" s="1"/>
  <c r="AB121" i="2319"/>
  <c r="AB126" i="2319" s="1"/>
  <c r="AB129" i="2319" s="1"/>
  <c r="Y121" i="2319"/>
  <c r="Y126" i="2319" s="1"/>
  <c r="Y129" i="2319" s="1"/>
  <c r="AL121" i="2319"/>
  <c r="AL126" i="2319" s="1"/>
  <c r="AL129" i="2319" s="1"/>
  <c r="AI121" i="2319"/>
  <c r="AI126" i="2319" s="1"/>
  <c r="AI129" i="2319" s="1"/>
  <c r="AF121" i="2319"/>
  <c r="AF126" i="2319" s="1"/>
  <c r="AF129" i="2319" s="1"/>
  <c r="AC121" i="2319"/>
  <c r="AC126" i="2319" s="1"/>
  <c r="AC129" i="2319" s="1"/>
  <c r="Z121" i="2319"/>
  <c r="Z126" i="2319" s="1"/>
  <c r="Z129" i="2319" s="1"/>
  <c r="AH121" i="2319"/>
  <c r="AH126" i="2319" s="1"/>
  <c r="AH129" i="2319" s="1"/>
  <c r="T121" i="2319"/>
  <c r="T126" i="2319" s="1"/>
  <c r="T129" i="2319" s="1"/>
  <c r="V121" i="2319"/>
  <c r="V126" i="2319" s="1"/>
  <c r="V129" i="2319" s="1"/>
  <c r="U121" i="2319"/>
  <c r="U126" i="2319" s="1"/>
  <c r="U129" i="2319" s="1"/>
  <c r="X121" i="2319"/>
  <c r="X126" i="2319" s="1"/>
  <c r="X129" i="2319" s="1"/>
  <c r="W121" i="2319"/>
  <c r="W126" i="2319" s="1"/>
  <c r="W129" i="2319" s="1"/>
  <c r="Q129" i="2319"/>
  <c r="M129" i="2319"/>
  <c r="K129" i="2319"/>
  <c r="C84" i="2319"/>
  <c r="C85" i="2319"/>
  <c r="G129" i="2319"/>
  <c r="AA127" i="2319"/>
  <c r="AA125" i="2319"/>
  <c r="R144" i="2319"/>
  <c r="R127" i="2319"/>
  <c r="R125" i="2319"/>
  <c r="I144" i="2319"/>
  <c r="I127" i="2319"/>
  <c r="I125" i="2319"/>
  <c r="AJ125" i="2319"/>
  <c r="AJ127" i="2319"/>
  <c r="O129" i="2319"/>
  <c r="AO129" i="2319"/>
  <c r="AO131" i="2319" s="1"/>
  <c r="AO138" i="2319" s="1"/>
  <c r="AO139" i="2319" s="1"/>
  <c r="AO142" i="2319" s="1"/>
  <c r="AG125" i="2319"/>
  <c r="AG127" i="2319"/>
  <c r="AM127" i="2319"/>
  <c r="AM125" i="2319"/>
  <c r="AP127" i="2319"/>
  <c r="AP125" i="2319"/>
  <c r="AR125" i="2319"/>
  <c r="AR127" i="2319"/>
  <c r="F144" i="2319"/>
  <c r="F125" i="2319"/>
  <c r="F127" i="2319"/>
  <c r="L144" i="2319"/>
  <c r="L125" i="2319"/>
  <c r="L127" i="2319"/>
  <c r="AD125" i="2319"/>
  <c r="AD127" i="2319"/>
  <c r="AQ127" i="2319"/>
  <c r="AQ125" i="2319"/>
  <c r="AR141" i="2485" l="1"/>
  <c r="AR143" i="2485" s="1"/>
  <c r="AQ141" i="2485"/>
  <c r="AQ143" i="2485" s="1"/>
  <c r="E129" i="2319"/>
  <c r="AN142" i="2319"/>
  <c r="AO142" i="2485"/>
  <c r="AO141" i="2483"/>
  <c r="AO143" i="2483" s="1"/>
  <c r="AN138" i="2484"/>
  <c r="AN139" i="2484" s="1"/>
  <c r="AN142" i="2484" s="1"/>
  <c r="AO142" i="2484"/>
  <c r="AR138" i="2484"/>
  <c r="AR139" i="2484" s="1"/>
  <c r="AR141" i="2484" s="1"/>
  <c r="AR143" i="2484" s="1"/>
  <c r="AP138" i="2484"/>
  <c r="AP139" i="2484" s="1"/>
  <c r="AP142" i="2484" s="1"/>
  <c r="C86" i="2319"/>
  <c r="C70" i="2319" s="1"/>
  <c r="AP129" i="2319"/>
  <c r="AP131" i="2319" s="1"/>
  <c r="AP138" i="2319" s="1"/>
  <c r="AP139" i="2319" s="1"/>
  <c r="AP141" i="2319" s="1"/>
  <c r="AP143" i="2319" s="1"/>
  <c r="AG129" i="2319"/>
  <c r="AJ129" i="2319"/>
  <c r="AQ129" i="2319"/>
  <c r="AQ131" i="2319" s="1"/>
  <c r="AQ138" i="2319" s="1"/>
  <c r="AQ139" i="2319" s="1"/>
  <c r="AQ141" i="2319" s="1"/>
  <c r="AQ143" i="2319" s="1"/>
  <c r="AA129" i="2319"/>
  <c r="R129" i="2319"/>
  <c r="F129" i="2319"/>
  <c r="AM129" i="2319"/>
  <c r="AD129" i="2319"/>
  <c r="L129" i="2319"/>
  <c r="I129" i="2319"/>
  <c r="C150" i="2319"/>
  <c r="AO141" i="2319"/>
  <c r="AO143" i="2319" s="1"/>
  <c r="AR129" i="2319"/>
  <c r="AR131" i="2319" s="1"/>
  <c r="AR142" i="2484" l="1"/>
  <c r="AN141" i="2484"/>
  <c r="AN143" i="2484" s="1"/>
  <c r="AP141" i="2484"/>
  <c r="AP143" i="2484" s="1"/>
  <c r="AQ142" i="2319"/>
  <c r="AP142" i="2319"/>
  <c r="AR138" i="2319"/>
  <c r="AR139" i="2319" s="1"/>
  <c r="AR141" i="2319" s="1"/>
  <c r="AR143" i="2319" s="1"/>
  <c r="T146" i="2481" l="1"/>
  <c r="X146" i="2481"/>
  <c r="W146" i="2481"/>
  <c r="U146" i="2481"/>
  <c r="V146" i="2481"/>
  <c r="AR142" i="2319"/>
  <c r="C41" i="2319" l="1"/>
  <c r="C151" i="2319" s="1"/>
  <c r="C41" i="2480"/>
  <c r="C151" i="2480" s="1"/>
  <c r="C41" i="2481"/>
  <c r="C151" i="2481" s="1"/>
  <c r="C41" i="2482"/>
  <c r="C151" i="2482" s="1"/>
  <c r="C41" i="2483"/>
  <c r="C151" i="2483" s="1"/>
  <c r="C41" i="2484"/>
  <c r="C151" i="2484" s="1"/>
  <c r="C41" i="2485"/>
  <c r="C151" i="2485" s="1"/>
  <c r="X133" i="2485" l="1"/>
  <c r="T133" i="2485"/>
  <c r="S133" i="2485"/>
  <c r="J133" i="2485"/>
  <c r="N133" i="2485"/>
  <c r="C157" i="2485"/>
  <c r="D143" i="2485" s="1"/>
  <c r="D112" i="2485"/>
  <c r="D145" i="2485" s="1"/>
  <c r="F133" i="2485"/>
  <c r="W133" i="2485"/>
  <c r="P133" i="2485"/>
  <c r="G133" i="2485"/>
  <c r="I133" i="2485"/>
  <c r="Q133" i="2485"/>
  <c r="H133" i="2485"/>
  <c r="C156" i="2485"/>
  <c r="V133" i="2485"/>
  <c r="U133" i="2485"/>
  <c r="M133" i="2485"/>
  <c r="R133" i="2485"/>
  <c r="E133" i="2485"/>
  <c r="K133" i="2485"/>
  <c r="O133" i="2485"/>
  <c r="L133" i="2485"/>
  <c r="S133" i="2483"/>
  <c r="V133" i="2483"/>
  <c r="F133" i="2483"/>
  <c r="K133" i="2483"/>
  <c r="R133" i="2483"/>
  <c r="P133" i="2483"/>
  <c r="C156" i="2483"/>
  <c r="U133" i="2483"/>
  <c r="T133" i="2483"/>
  <c r="O133" i="2483"/>
  <c r="D112" i="2483"/>
  <c r="D145" i="2483" s="1"/>
  <c r="Q133" i="2483"/>
  <c r="H133" i="2483"/>
  <c r="M133" i="2483"/>
  <c r="L133" i="2483"/>
  <c r="J133" i="2483"/>
  <c r="X133" i="2483"/>
  <c r="W133" i="2483"/>
  <c r="C157" i="2483"/>
  <c r="D143" i="2483" s="1"/>
  <c r="N133" i="2483"/>
  <c r="E133" i="2483"/>
  <c r="I133" i="2483"/>
  <c r="G133" i="2483"/>
  <c r="V133" i="2480"/>
  <c r="U133" i="2480"/>
  <c r="R133" i="2480"/>
  <c r="L133" i="2480"/>
  <c r="Q133" i="2480"/>
  <c r="H133" i="2480"/>
  <c r="J133" i="2480"/>
  <c r="G133" i="2480"/>
  <c r="C156" i="2480"/>
  <c r="T133" i="2480"/>
  <c r="X133" i="2480"/>
  <c r="S133" i="2480"/>
  <c r="I133" i="2480"/>
  <c r="N133" i="2480"/>
  <c r="E133" i="2480"/>
  <c r="D112" i="2480"/>
  <c r="D145" i="2480" s="1"/>
  <c r="W133" i="2480"/>
  <c r="C157" i="2480"/>
  <c r="D143" i="2480" s="1"/>
  <c r="O133" i="2480"/>
  <c r="F133" i="2480"/>
  <c r="K133" i="2480"/>
  <c r="M133" i="2480"/>
  <c r="P133" i="2480"/>
  <c r="C44" i="2484"/>
  <c r="G119" i="2484"/>
  <c r="G130" i="2484" s="1"/>
  <c r="G131" i="2484" s="1"/>
  <c r="AH119" i="2484"/>
  <c r="AH130" i="2484" s="1"/>
  <c r="AH131" i="2484" s="1"/>
  <c r="AK119" i="2484"/>
  <c r="AK130" i="2484" s="1"/>
  <c r="AK131" i="2484" s="1"/>
  <c r="W119" i="2484"/>
  <c r="W130" i="2484" s="1"/>
  <c r="W131" i="2484" s="1"/>
  <c r="AD119" i="2484"/>
  <c r="AD130" i="2484" s="1"/>
  <c r="AD131" i="2484" s="1"/>
  <c r="U119" i="2484"/>
  <c r="U130" i="2484" s="1"/>
  <c r="U131" i="2484" s="1"/>
  <c r="K119" i="2484"/>
  <c r="K130" i="2484" s="1"/>
  <c r="K131" i="2484" s="1"/>
  <c r="J119" i="2484"/>
  <c r="J130" i="2484" s="1"/>
  <c r="J131" i="2484" s="1"/>
  <c r="AM119" i="2484"/>
  <c r="AM130" i="2484" s="1"/>
  <c r="AM131" i="2484" s="1"/>
  <c r="Y119" i="2484"/>
  <c r="Y130" i="2484" s="1"/>
  <c r="Y131" i="2484" s="1"/>
  <c r="AF119" i="2484"/>
  <c r="AF130" i="2484" s="1"/>
  <c r="AF131" i="2484" s="1"/>
  <c r="AL119" i="2484"/>
  <c r="AL130" i="2484" s="1"/>
  <c r="AL131" i="2484" s="1"/>
  <c r="AB119" i="2484"/>
  <c r="AB130" i="2484" s="1"/>
  <c r="AB131" i="2484" s="1"/>
  <c r="X119" i="2484"/>
  <c r="X130" i="2484" s="1"/>
  <c r="X131" i="2484" s="1"/>
  <c r="AG119" i="2484"/>
  <c r="AG130" i="2484" s="1"/>
  <c r="AG131" i="2484" s="1"/>
  <c r="AI119" i="2484"/>
  <c r="AI130" i="2484" s="1"/>
  <c r="AI131" i="2484" s="1"/>
  <c r="AC119" i="2484"/>
  <c r="AC130" i="2484" s="1"/>
  <c r="AC131" i="2484" s="1"/>
  <c r="Z119" i="2484"/>
  <c r="Z130" i="2484" s="1"/>
  <c r="Z131" i="2484" s="1"/>
  <c r="P119" i="2484"/>
  <c r="P130" i="2484" s="1"/>
  <c r="P131" i="2484" s="1"/>
  <c r="T119" i="2484"/>
  <c r="T130" i="2484" s="1"/>
  <c r="T131" i="2484" s="1"/>
  <c r="S119" i="2484"/>
  <c r="S130" i="2484" s="1"/>
  <c r="S131" i="2484" s="1"/>
  <c r="AJ119" i="2484"/>
  <c r="AJ130" i="2484" s="1"/>
  <c r="AJ131" i="2484" s="1"/>
  <c r="AA119" i="2484"/>
  <c r="AA130" i="2484" s="1"/>
  <c r="AA131" i="2484" s="1"/>
  <c r="V119" i="2484"/>
  <c r="V130" i="2484" s="1"/>
  <c r="V131" i="2484" s="1"/>
  <c r="AE119" i="2484"/>
  <c r="AE130" i="2484" s="1"/>
  <c r="AE131" i="2484" s="1"/>
  <c r="R119" i="2484"/>
  <c r="R130" i="2484" s="1"/>
  <c r="R131" i="2484" s="1"/>
  <c r="Q119" i="2484"/>
  <c r="Q130" i="2484" s="1"/>
  <c r="Q131" i="2484" s="1"/>
  <c r="F119" i="2484"/>
  <c r="F130" i="2484" s="1"/>
  <c r="F131" i="2484" s="1"/>
  <c r="H119" i="2484"/>
  <c r="H130" i="2484" s="1"/>
  <c r="H131" i="2484" s="1"/>
  <c r="O119" i="2484"/>
  <c r="O130" i="2484" s="1"/>
  <c r="O131" i="2484" s="1"/>
  <c r="L119" i="2484"/>
  <c r="L130" i="2484" s="1"/>
  <c r="L131" i="2484" s="1"/>
  <c r="I119" i="2484"/>
  <c r="I130" i="2484" s="1"/>
  <c r="I131" i="2484" s="1"/>
  <c r="E119" i="2484"/>
  <c r="E130" i="2484" s="1"/>
  <c r="E131" i="2484" s="1"/>
  <c r="M119" i="2484"/>
  <c r="M130" i="2484" s="1"/>
  <c r="M131" i="2484" s="1"/>
  <c r="N119" i="2484"/>
  <c r="N130" i="2484" s="1"/>
  <c r="N131" i="2484" s="1"/>
  <c r="C44" i="2481"/>
  <c r="F119" i="2481"/>
  <c r="F130" i="2481" s="1"/>
  <c r="F131" i="2481" s="1"/>
  <c r="Z119" i="2481"/>
  <c r="Z130" i="2481" s="1"/>
  <c r="Z131" i="2481" s="1"/>
  <c r="AD119" i="2481"/>
  <c r="AD130" i="2481" s="1"/>
  <c r="AD131" i="2481" s="1"/>
  <c r="AH119" i="2481"/>
  <c r="AH130" i="2481" s="1"/>
  <c r="AH131" i="2481" s="1"/>
  <c r="AL119" i="2481"/>
  <c r="AL130" i="2481" s="1"/>
  <c r="AL131" i="2481" s="1"/>
  <c r="AK119" i="2481"/>
  <c r="AK130" i="2481" s="1"/>
  <c r="AK131" i="2481" s="1"/>
  <c r="AA119" i="2481"/>
  <c r="AA130" i="2481" s="1"/>
  <c r="AA131" i="2481" s="1"/>
  <c r="O119" i="2481"/>
  <c r="O130" i="2481" s="1"/>
  <c r="O131" i="2481" s="1"/>
  <c r="L119" i="2481"/>
  <c r="L130" i="2481" s="1"/>
  <c r="L131" i="2481" s="1"/>
  <c r="J119" i="2481"/>
  <c r="J130" i="2481" s="1"/>
  <c r="J131" i="2481" s="1"/>
  <c r="V119" i="2481"/>
  <c r="V130" i="2481" s="1"/>
  <c r="V131" i="2481" s="1"/>
  <c r="AI119" i="2481"/>
  <c r="AI130" i="2481" s="1"/>
  <c r="AI131" i="2481" s="1"/>
  <c r="AM119" i="2481"/>
  <c r="AM130" i="2481" s="1"/>
  <c r="AM131" i="2481" s="1"/>
  <c r="T119" i="2481"/>
  <c r="T130" i="2481" s="1"/>
  <c r="T131" i="2481" s="1"/>
  <c r="X119" i="2481"/>
  <c r="X130" i="2481" s="1"/>
  <c r="X131" i="2481" s="1"/>
  <c r="W119" i="2481"/>
  <c r="W130" i="2481" s="1"/>
  <c r="W131" i="2481" s="1"/>
  <c r="AJ119" i="2481"/>
  <c r="AJ130" i="2481" s="1"/>
  <c r="AJ131" i="2481" s="1"/>
  <c r="P119" i="2481"/>
  <c r="P130" i="2481" s="1"/>
  <c r="P131" i="2481" s="1"/>
  <c r="R119" i="2481"/>
  <c r="R130" i="2481" s="1"/>
  <c r="R131" i="2481" s="1"/>
  <c r="AE119" i="2481"/>
  <c r="AE130" i="2481" s="1"/>
  <c r="AE131" i="2481" s="1"/>
  <c r="U119" i="2481"/>
  <c r="U130" i="2481" s="1"/>
  <c r="U131" i="2481" s="1"/>
  <c r="Y119" i="2481"/>
  <c r="Y130" i="2481" s="1"/>
  <c r="Y131" i="2481" s="1"/>
  <c r="AC119" i="2481"/>
  <c r="AC130" i="2481" s="1"/>
  <c r="AC131" i="2481" s="1"/>
  <c r="AG119" i="2481"/>
  <c r="AG130" i="2481" s="1"/>
  <c r="AG131" i="2481" s="1"/>
  <c r="AB119" i="2481"/>
  <c r="AB130" i="2481" s="1"/>
  <c r="AB131" i="2481" s="1"/>
  <c r="AF119" i="2481"/>
  <c r="AF130" i="2481" s="1"/>
  <c r="AF131" i="2481" s="1"/>
  <c r="G119" i="2481"/>
  <c r="G130" i="2481" s="1"/>
  <c r="G131" i="2481" s="1"/>
  <c r="M119" i="2481"/>
  <c r="M130" i="2481" s="1"/>
  <c r="M131" i="2481" s="1"/>
  <c r="S119" i="2481"/>
  <c r="S130" i="2481" s="1"/>
  <c r="S131" i="2481" s="1"/>
  <c r="I119" i="2481"/>
  <c r="I130" i="2481" s="1"/>
  <c r="I131" i="2481" s="1"/>
  <c r="N119" i="2481"/>
  <c r="N130" i="2481" s="1"/>
  <c r="N131" i="2481" s="1"/>
  <c r="K119" i="2481"/>
  <c r="K130" i="2481" s="1"/>
  <c r="K131" i="2481" s="1"/>
  <c r="Q119" i="2481"/>
  <c r="Q130" i="2481" s="1"/>
  <c r="Q131" i="2481" s="1"/>
  <c r="H119" i="2481"/>
  <c r="H130" i="2481" s="1"/>
  <c r="H131" i="2481" s="1"/>
  <c r="E119" i="2481"/>
  <c r="E130" i="2481" s="1"/>
  <c r="E131" i="2481" s="1"/>
  <c r="K133" i="2482"/>
  <c r="P133" i="2482"/>
  <c r="U133" i="2482"/>
  <c r="V133" i="2482"/>
  <c r="H133" i="2482"/>
  <c r="N133" i="2482"/>
  <c r="F133" i="2482"/>
  <c r="S133" i="2482"/>
  <c r="C157" i="2482"/>
  <c r="D143" i="2482" s="1"/>
  <c r="M133" i="2482"/>
  <c r="W133" i="2482"/>
  <c r="D112" i="2482"/>
  <c r="D145" i="2482" s="1"/>
  <c r="G133" i="2482"/>
  <c r="C156" i="2482"/>
  <c r="O133" i="2482"/>
  <c r="I133" i="2482"/>
  <c r="X133" i="2482"/>
  <c r="T133" i="2482"/>
  <c r="L133" i="2482"/>
  <c r="Q133" i="2482"/>
  <c r="J133" i="2482"/>
  <c r="E133" i="2482"/>
  <c r="R133" i="2482"/>
  <c r="C44" i="2319"/>
  <c r="W119" i="2319"/>
  <c r="W130" i="2319" s="1"/>
  <c r="W131" i="2319" s="1"/>
  <c r="N119" i="2319"/>
  <c r="N130" i="2319" s="1"/>
  <c r="N131" i="2319" s="1"/>
  <c r="AI119" i="2319"/>
  <c r="AI130" i="2319" s="1"/>
  <c r="AI131" i="2319" s="1"/>
  <c r="V119" i="2319"/>
  <c r="V130" i="2319" s="1"/>
  <c r="V131" i="2319" s="1"/>
  <c r="AK119" i="2319"/>
  <c r="AK130" i="2319" s="1"/>
  <c r="AK131" i="2319" s="1"/>
  <c r="AC119" i="2319"/>
  <c r="AC130" i="2319" s="1"/>
  <c r="AC131" i="2319" s="1"/>
  <c r="AL119" i="2319"/>
  <c r="AL130" i="2319" s="1"/>
  <c r="AL131" i="2319" s="1"/>
  <c r="M119" i="2319"/>
  <c r="M130" i="2319" s="1"/>
  <c r="M131" i="2319" s="1"/>
  <c r="AE119" i="2319"/>
  <c r="AE130" i="2319" s="1"/>
  <c r="AE131" i="2319" s="1"/>
  <c r="K119" i="2319"/>
  <c r="K130" i="2319" s="1"/>
  <c r="K131" i="2319" s="1"/>
  <c r="S119" i="2319"/>
  <c r="S130" i="2319" s="1"/>
  <c r="S131" i="2319" s="1"/>
  <c r="AH119" i="2319"/>
  <c r="AH130" i="2319" s="1"/>
  <c r="AH131" i="2319" s="1"/>
  <c r="G119" i="2319"/>
  <c r="G130" i="2319" s="1"/>
  <c r="G131" i="2319" s="1"/>
  <c r="Q119" i="2319"/>
  <c r="Q130" i="2319" s="1"/>
  <c r="Q131" i="2319" s="1"/>
  <c r="O119" i="2319"/>
  <c r="O130" i="2319" s="1"/>
  <c r="O131" i="2319" s="1"/>
  <c r="H119" i="2319"/>
  <c r="H130" i="2319" s="1"/>
  <c r="H131" i="2319" s="1"/>
  <c r="Z119" i="2319"/>
  <c r="Z130" i="2319" s="1"/>
  <c r="Z131" i="2319" s="1"/>
  <c r="X119" i="2319"/>
  <c r="X130" i="2319" s="1"/>
  <c r="X131" i="2319" s="1"/>
  <c r="AF119" i="2319"/>
  <c r="AF130" i="2319" s="1"/>
  <c r="AF131" i="2319" s="1"/>
  <c r="P119" i="2319"/>
  <c r="P130" i="2319" s="1"/>
  <c r="P131" i="2319" s="1"/>
  <c r="J119" i="2319"/>
  <c r="J130" i="2319" s="1"/>
  <c r="J131" i="2319" s="1"/>
  <c r="U119" i="2319"/>
  <c r="U130" i="2319" s="1"/>
  <c r="U131" i="2319" s="1"/>
  <c r="T119" i="2319"/>
  <c r="T130" i="2319" s="1"/>
  <c r="T131" i="2319" s="1"/>
  <c r="Y119" i="2319"/>
  <c r="Y130" i="2319" s="1"/>
  <c r="Y131" i="2319" s="1"/>
  <c r="AB119" i="2319"/>
  <c r="AB130" i="2319" s="1"/>
  <c r="AB131" i="2319" s="1"/>
  <c r="AD119" i="2319"/>
  <c r="AD130" i="2319" s="1"/>
  <c r="AD131" i="2319" s="1"/>
  <c r="AG119" i="2319"/>
  <c r="AG130" i="2319" s="1"/>
  <c r="AG131" i="2319" s="1"/>
  <c r="AJ119" i="2319"/>
  <c r="AJ130" i="2319" s="1"/>
  <c r="AJ131" i="2319" s="1"/>
  <c r="AM119" i="2319"/>
  <c r="AM130" i="2319" s="1"/>
  <c r="AM131" i="2319" s="1"/>
  <c r="F119" i="2319"/>
  <c r="F130" i="2319" s="1"/>
  <c r="F131" i="2319" s="1"/>
  <c r="AA119" i="2319"/>
  <c r="AA130" i="2319" s="1"/>
  <c r="AA131" i="2319" s="1"/>
  <c r="E119" i="2319"/>
  <c r="E130" i="2319" s="1"/>
  <c r="E131" i="2319" s="1"/>
  <c r="R119" i="2319"/>
  <c r="R130" i="2319" s="1"/>
  <c r="R131" i="2319" s="1"/>
  <c r="L119" i="2319"/>
  <c r="L130" i="2319" s="1"/>
  <c r="L131" i="2319" s="1"/>
  <c r="I119" i="2319"/>
  <c r="I130" i="2319" s="1"/>
  <c r="I131" i="2319" s="1"/>
  <c r="C44" i="2483"/>
  <c r="N119" i="2483"/>
  <c r="N130" i="2483" s="1"/>
  <c r="N131" i="2483" s="1"/>
  <c r="F119" i="2483"/>
  <c r="F130" i="2483" s="1"/>
  <c r="F131" i="2483" s="1"/>
  <c r="U119" i="2483"/>
  <c r="U130" i="2483" s="1"/>
  <c r="U131" i="2483" s="1"/>
  <c r="R119" i="2483"/>
  <c r="R130" i="2483" s="1"/>
  <c r="R131" i="2483" s="1"/>
  <c r="V119" i="2483"/>
  <c r="V130" i="2483" s="1"/>
  <c r="V131" i="2483" s="1"/>
  <c r="AA119" i="2483"/>
  <c r="AA130" i="2483" s="1"/>
  <c r="AA131" i="2483" s="1"/>
  <c r="AL119" i="2483"/>
  <c r="AL130" i="2483" s="1"/>
  <c r="AL131" i="2483" s="1"/>
  <c r="W119" i="2483"/>
  <c r="W130" i="2483" s="1"/>
  <c r="W131" i="2483" s="1"/>
  <c r="H119" i="2483"/>
  <c r="H130" i="2483" s="1"/>
  <c r="H131" i="2483" s="1"/>
  <c r="Y119" i="2483"/>
  <c r="Y130" i="2483" s="1"/>
  <c r="Y131" i="2483" s="1"/>
  <c r="S119" i="2483"/>
  <c r="S130" i="2483" s="1"/>
  <c r="S131" i="2483" s="1"/>
  <c r="AI119" i="2483"/>
  <c r="AI130" i="2483" s="1"/>
  <c r="AI131" i="2483" s="1"/>
  <c r="Z119" i="2483"/>
  <c r="Z130" i="2483" s="1"/>
  <c r="Z131" i="2483" s="1"/>
  <c r="AC119" i="2483"/>
  <c r="AC130" i="2483" s="1"/>
  <c r="AC131" i="2483" s="1"/>
  <c r="Q119" i="2483"/>
  <c r="Q130" i="2483" s="1"/>
  <c r="Q131" i="2483" s="1"/>
  <c r="L119" i="2483"/>
  <c r="L130" i="2483" s="1"/>
  <c r="L131" i="2483" s="1"/>
  <c r="AM119" i="2483"/>
  <c r="AM130" i="2483" s="1"/>
  <c r="AM131" i="2483" s="1"/>
  <c r="K119" i="2483"/>
  <c r="K130" i="2483" s="1"/>
  <c r="K131" i="2483" s="1"/>
  <c r="P119" i="2483"/>
  <c r="P130" i="2483" s="1"/>
  <c r="P131" i="2483" s="1"/>
  <c r="AE119" i="2483"/>
  <c r="AE130" i="2483" s="1"/>
  <c r="AE131" i="2483" s="1"/>
  <c r="E119" i="2483"/>
  <c r="E130" i="2483" s="1"/>
  <c r="E131" i="2483" s="1"/>
  <c r="AK119" i="2483"/>
  <c r="AK130" i="2483" s="1"/>
  <c r="AK131" i="2483" s="1"/>
  <c r="J119" i="2483"/>
  <c r="J130" i="2483" s="1"/>
  <c r="J131" i="2483" s="1"/>
  <c r="T119" i="2483"/>
  <c r="T130" i="2483" s="1"/>
  <c r="T131" i="2483" s="1"/>
  <c r="AJ119" i="2483"/>
  <c r="AJ130" i="2483" s="1"/>
  <c r="AJ131" i="2483" s="1"/>
  <c r="AF119" i="2483"/>
  <c r="AF130" i="2483" s="1"/>
  <c r="AF131" i="2483" s="1"/>
  <c r="AG119" i="2483"/>
  <c r="AG130" i="2483" s="1"/>
  <c r="AG131" i="2483" s="1"/>
  <c r="AD119" i="2483"/>
  <c r="AD130" i="2483" s="1"/>
  <c r="AD131" i="2483" s="1"/>
  <c r="X119" i="2483"/>
  <c r="X130" i="2483" s="1"/>
  <c r="X131" i="2483" s="1"/>
  <c r="O119" i="2483"/>
  <c r="O130" i="2483" s="1"/>
  <c r="O131" i="2483" s="1"/>
  <c r="AH119" i="2483"/>
  <c r="AH130" i="2483" s="1"/>
  <c r="AH131" i="2483" s="1"/>
  <c r="G119" i="2483"/>
  <c r="G130" i="2483" s="1"/>
  <c r="G131" i="2483" s="1"/>
  <c r="M119" i="2483"/>
  <c r="M130" i="2483" s="1"/>
  <c r="M131" i="2483" s="1"/>
  <c r="AB119" i="2483"/>
  <c r="AB130" i="2483" s="1"/>
  <c r="AB131" i="2483" s="1"/>
  <c r="I119" i="2483"/>
  <c r="I130" i="2483" s="1"/>
  <c r="I131" i="2483" s="1"/>
  <c r="C44" i="2480"/>
  <c r="AK119" i="2480"/>
  <c r="AK130" i="2480" s="1"/>
  <c r="AK131" i="2480" s="1"/>
  <c r="T119" i="2480"/>
  <c r="T130" i="2480" s="1"/>
  <c r="T131" i="2480" s="1"/>
  <c r="U119" i="2480"/>
  <c r="U130" i="2480" s="1"/>
  <c r="U131" i="2480" s="1"/>
  <c r="AF119" i="2480"/>
  <c r="AF130" i="2480" s="1"/>
  <c r="AF131" i="2480" s="1"/>
  <c r="W119" i="2480"/>
  <c r="W130" i="2480" s="1"/>
  <c r="W131" i="2480" s="1"/>
  <c r="V119" i="2480"/>
  <c r="V130" i="2480" s="1"/>
  <c r="V131" i="2480" s="1"/>
  <c r="AI119" i="2480"/>
  <c r="AI130" i="2480" s="1"/>
  <c r="AI131" i="2480" s="1"/>
  <c r="Q119" i="2480"/>
  <c r="Q130" i="2480" s="1"/>
  <c r="Q131" i="2480" s="1"/>
  <c r="AB119" i="2480"/>
  <c r="AB130" i="2480" s="1"/>
  <c r="AB131" i="2480" s="1"/>
  <c r="AM119" i="2480"/>
  <c r="AM130" i="2480" s="1"/>
  <c r="AM131" i="2480" s="1"/>
  <c r="AC119" i="2480"/>
  <c r="AC130" i="2480" s="1"/>
  <c r="AC131" i="2480" s="1"/>
  <c r="AH119" i="2480"/>
  <c r="AH130" i="2480" s="1"/>
  <c r="AH131" i="2480" s="1"/>
  <c r="AJ119" i="2480"/>
  <c r="AJ130" i="2480" s="1"/>
  <c r="AJ131" i="2480" s="1"/>
  <c r="Z119" i="2480"/>
  <c r="Z130" i="2480" s="1"/>
  <c r="Z131" i="2480" s="1"/>
  <c r="AL119" i="2480"/>
  <c r="AL130" i="2480" s="1"/>
  <c r="AL131" i="2480" s="1"/>
  <c r="AD119" i="2480"/>
  <c r="AD130" i="2480" s="1"/>
  <c r="AD131" i="2480" s="1"/>
  <c r="Y119" i="2480"/>
  <c r="Y130" i="2480" s="1"/>
  <c r="Y131" i="2480" s="1"/>
  <c r="AA119" i="2480"/>
  <c r="AA130" i="2480" s="1"/>
  <c r="AA131" i="2480" s="1"/>
  <c r="AE119" i="2480"/>
  <c r="AE130" i="2480" s="1"/>
  <c r="AE131" i="2480" s="1"/>
  <c r="AG119" i="2480"/>
  <c r="AG130" i="2480" s="1"/>
  <c r="AG131" i="2480" s="1"/>
  <c r="H119" i="2480"/>
  <c r="H130" i="2480" s="1"/>
  <c r="H131" i="2480" s="1"/>
  <c r="R119" i="2480"/>
  <c r="R130" i="2480" s="1"/>
  <c r="R131" i="2480" s="1"/>
  <c r="S119" i="2480"/>
  <c r="S130" i="2480" s="1"/>
  <c r="S131" i="2480" s="1"/>
  <c r="X119" i="2480"/>
  <c r="X130" i="2480" s="1"/>
  <c r="X131" i="2480" s="1"/>
  <c r="M119" i="2480"/>
  <c r="M130" i="2480" s="1"/>
  <c r="M131" i="2480" s="1"/>
  <c r="F119" i="2480"/>
  <c r="F130" i="2480" s="1"/>
  <c r="F131" i="2480" s="1"/>
  <c r="J119" i="2480"/>
  <c r="J130" i="2480" s="1"/>
  <c r="J131" i="2480" s="1"/>
  <c r="O119" i="2480"/>
  <c r="O130" i="2480" s="1"/>
  <c r="O131" i="2480" s="1"/>
  <c r="K119" i="2480"/>
  <c r="K130" i="2480" s="1"/>
  <c r="K131" i="2480" s="1"/>
  <c r="I119" i="2480"/>
  <c r="I130" i="2480" s="1"/>
  <c r="I131" i="2480" s="1"/>
  <c r="G119" i="2480"/>
  <c r="G130" i="2480" s="1"/>
  <c r="G131" i="2480" s="1"/>
  <c r="L119" i="2480"/>
  <c r="L130" i="2480" s="1"/>
  <c r="L131" i="2480" s="1"/>
  <c r="N119" i="2480"/>
  <c r="N130" i="2480" s="1"/>
  <c r="N131" i="2480" s="1"/>
  <c r="P119" i="2480"/>
  <c r="P130" i="2480" s="1"/>
  <c r="P131" i="2480" s="1"/>
  <c r="E119" i="2480"/>
  <c r="E130" i="2480" s="1"/>
  <c r="E131" i="2480" s="1"/>
  <c r="R133" i="2484"/>
  <c r="G133" i="2484"/>
  <c r="C157" i="2484"/>
  <c r="D143" i="2484" s="1"/>
  <c r="C156" i="2484"/>
  <c r="J133" i="2484"/>
  <c r="D112" i="2484"/>
  <c r="D145" i="2484" s="1"/>
  <c r="U133" i="2484"/>
  <c r="P133" i="2484"/>
  <c r="S133" i="2484"/>
  <c r="K133" i="2484"/>
  <c r="F133" i="2484"/>
  <c r="H133" i="2484"/>
  <c r="N133" i="2484"/>
  <c r="V133" i="2484"/>
  <c r="W133" i="2484"/>
  <c r="L133" i="2484"/>
  <c r="E133" i="2484"/>
  <c r="M133" i="2484"/>
  <c r="O133" i="2484"/>
  <c r="Q133" i="2484"/>
  <c r="I133" i="2484"/>
  <c r="X133" i="2484"/>
  <c r="T133" i="2484"/>
  <c r="W133" i="2481"/>
  <c r="V133" i="2481"/>
  <c r="P133" i="2481"/>
  <c r="G133" i="2481"/>
  <c r="H133" i="2481"/>
  <c r="K133" i="2481"/>
  <c r="N133" i="2481"/>
  <c r="U133" i="2481"/>
  <c r="C157" i="2481"/>
  <c r="D143" i="2481" s="1"/>
  <c r="M133" i="2481"/>
  <c r="Q133" i="2481"/>
  <c r="D112" i="2481"/>
  <c r="D145" i="2481" s="1"/>
  <c r="F133" i="2481"/>
  <c r="I133" i="2481"/>
  <c r="T133" i="2481"/>
  <c r="X133" i="2481"/>
  <c r="S133" i="2481"/>
  <c r="J133" i="2481"/>
  <c r="L133" i="2481"/>
  <c r="O133" i="2481"/>
  <c r="R133" i="2481"/>
  <c r="E133" i="2481"/>
  <c r="C156" i="2481"/>
  <c r="C44" i="2485"/>
  <c r="AD119" i="2485"/>
  <c r="AD130" i="2485" s="1"/>
  <c r="AD131" i="2485" s="1"/>
  <c r="M119" i="2485"/>
  <c r="M130" i="2485" s="1"/>
  <c r="M131" i="2485" s="1"/>
  <c r="K119" i="2485"/>
  <c r="K130" i="2485" s="1"/>
  <c r="K131" i="2485" s="1"/>
  <c r="AF119" i="2485"/>
  <c r="AF130" i="2485" s="1"/>
  <c r="AF131" i="2485" s="1"/>
  <c r="G119" i="2485"/>
  <c r="G130" i="2485" s="1"/>
  <c r="G131" i="2485" s="1"/>
  <c r="X119" i="2485"/>
  <c r="X130" i="2485" s="1"/>
  <c r="X131" i="2485" s="1"/>
  <c r="T119" i="2485"/>
  <c r="T130" i="2485" s="1"/>
  <c r="T131" i="2485" s="1"/>
  <c r="AC119" i="2485"/>
  <c r="AC130" i="2485" s="1"/>
  <c r="AC131" i="2485" s="1"/>
  <c r="AH119" i="2485"/>
  <c r="AH130" i="2485" s="1"/>
  <c r="AH131" i="2485" s="1"/>
  <c r="AG119" i="2485"/>
  <c r="AG130" i="2485" s="1"/>
  <c r="AG131" i="2485" s="1"/>
  <c r="AB119" i="2485"/>
  <c r="AB130" i="2485" s="1"/>
  <c r="AB131" i="2485" s="1"/>
  <c r="L119" i="2485"/>
  <c r="L130" i="2485" s="1"/>
  <c r="L131" i="2485" s="1"/>
  <c r="S119" i="2485"/>
  <c r="S130" i="2485" s="1"/>
  <c r="S131" i="2485" s="1"/>
  <c r="F119" i="2485"/>
  <c r="F130" i="2485" s="1"/>
  <c r="F131" i="2485" s="1"/>
  <c r="J119" i="2485"/>
  <c r="J130" i="2485" s="1"/>
  <c r="J131" i="2485" s="1"/>
  <c r="AM119" i="2485"/>
  <c r="AM130" i="2485" s="1"/>
  <c r="AM131" i="2485" s="1"/>
  <c r="Z119" i="2485"/>
  <c r="Z130" i="2485" s="1"/>
  <c r="Z131" i="2485" s="1"/>
  <c r="U119" i="2485"/>
  <c r="U130" i="2485" s="1"/>
  <c r="U131" i="2485" s="1"/>
  <c r="AL119" i="2485"/>
  <c r="AL130" i="2485" s="1"/>
  <c r="AL131" i="2485" s="1"/>
  <c r="N119" i="2485"/>
  <c r="N130" i="2485" s="1"/>
  <c r="N131" i="2485" s="1"/>
  <c r="AE119" i="2485"/>
  <c r="AE130" i="2485" s="1"/>
  <c r="AE131" i="2485" s="1"/>
  <c r="P119" i="2485"/>
  <c r="P130" i="2485" s="1"/>
  <c r="P131" i="2485" s="1"/>
  <c r="AJ119" i="2485"/>
  <c r="AJ130" i="2485" s="1"/>
  <c r="AJ131" i="2485" s="1"/>
  <c r="Y119" i="2485"/>
  <c r="Y130" i="2485" s="1"/>
  <c r="Y131" i="2485" s="1"/>
  <c r="AK119" i="2485"/>
  <c r="AK130" i="2485" s="1"/>
  <c r="AK131" i="2485" s="1"/>
  <c r="AI119" i="2485"/>
  <c r="AI130" i="2485" s="1"/>
  <c r="AI131" i="2485" s="1"/>
  <c r="AA119" i="2485"/>
  <c r="AA130" i="2485" s="1"/>
  <c r="AA131" i="2485" s="1"/>
  <c r="V119" i="2485"/>
  <c r="V130" i="2485" s="1"/>
  <c r="V131" i="2485" s="1"/>
  <c r="H119" i="2485"/>
  <c r="H130" i="2485" s="1"/>
  <c r="H131" i="2485" s="1"/>
  <c r="W119" i="2485"/>
  <c r="W130" i="2485" s="1"/>
  <c r="W131" i="2485" s="1"/>
  <c r="E119" i="2485"/>
  <c r="E130" i="2485" s="1"/>
  <c r="E131" i="2485" s="1"/>
  <c r="R119" i="2485"/>
  <c r="R130" i="2485" s="1"/>
  <c r="R131" i="2485" s="1"/>
  <c r="Q119" i="2485"/>
  <c r="Q130" i="2485" s="1"/>
  <c r="Q131" i="2485" s="1"/>
  <c r="I119" i="2485"/>
  <c r="I130" i="2485" s="1"/>
  <c r="I131" i="2485" s="1"/>
  <c r="O119" i="2485"/>
  <c r="O130" i="2485" s="1"/>
  <c r="O131" i="2485" s="1"/>
  <c r="C44" i="2482"/>
  <c r="O119" i="2482"/>
  <c r="O130" i="2482" s="1"/>
  <c r="O131" i="2482" s="1"/>
  <c r="AC119" i="2482"/>
  <c r="AC130" i="2482" s="1"/>
  <c r="AC131" i="2482" s="1"/>
  <c r="Y119" i="2482"/>
  <c r="Y130" i="2482" s="1"/>
  <c r="Y131" i="2482" s="1"/>
  <c r="AA119" i="2482"/>
  <c r="AA130" i="2482" s="1"/>
  <c r="AA131" i="2482" s="1"/>
  <c r="AE119" i="2482"/>
  <c r="AE130" i="2482" s="1"/>
  <c r="AE131" i="2482" s="1"/>
  <c r="AK119" i="2482"/>
  <c r="AK130" i="2482" s="1"/>
  <c r="AK131" i="2482" s="1"/>
  <c r="L119" i="2482"/>
  <c r="L130" i="2482" s="1"/>
  <c r="L131" i="2482" s="1"/>
  <c r="R119" i="2482"/>
  <c r="R130" i="2482" s="1"/>
  <c r="R131" i="2482" s="1"/>
  <c r="Q119" i="2482"/>
  <c r="Q130" i="2482" s="1"/>
  <c r="Q131" i="2482" s="1"/>
  <c r="P119" i="2482"/>
  <c r="P130" i="2482" s="1"/>
  <c r="P131" i="2482" s="1"/>
  <c r="T119" i="2482"/>
  <c r="T130" i="2482" s="1"/>
  <c r="T131" i="2482" s="1"/>
  <c r="AD119" i="2482"/>
  <c r="AD130" i="2482" s="1"/>
  <c r="AD131" i="2482" s="1"/>
  <c r="AI119" i="2482"/>
  <c r="AI130" i="2482" s="1"/>
  <c r="AI131" i="2482" s="1"/>
  <c r="V119" i="2482"/>
  <c r="V130" i="2482" s="1"/>
  <c r="V131" i="2482" s="1"/>
  <c r="U119" i="2482"/>
  <c r="U130" i="2482" s="1"/>
  <c r="U131" i="2482" s="1"/>
  <c r="AM119" i="2482"/>
  <c r="AM130" i="2482" s="1"/>
  <c r="AM131" i="2482" s="1"/>
  <c r="AF119" i="2482"/>
  <c r="AF130" i="2482" s="1"/>
  <c r="AF131" i="2482" s="1"/>
  <c r="AB119" i="2482"/>
  <c r="AB130" i="2482" s="1"/>
  <c r="AB131" i="2482" s="1"/>
  <c r="I119" i="2482"/>
  <c r="I130" i="2482" s="1"/>
  <c r="I131" i="2482" s="1"/>
  <c r="F119" i="2482"/>
  <c r="F130" i="2482" s="1"/>
  <c r="F131" i="2482" s="1"/>
  <c r="AL119" i="2482"/>
  <c r="AL130" i="2482" s="1"/>
  <c r="AL131" i="2482" s="1"/>
  <c r="AH119" i="2482"/>
  <c r="AH130" i="2482" s="1"/>
  <c r="AH131" i="2482" s="1"/>
  <c r="AG119" i="2482"/>
  <c r="AG130" i="2482" s="1"/>
  <c r="AG131" i="2482" s="1"/>
  <c r="X119" i="2482"/>
  <c r="X130" i="2482" s="1"/>
  <c r="X131" i="2482" s="1"/>
  <c r="Z119" i="2482"/>
  <c r="Z130" i="2482" s="1"/>
  <c r="Z131" i="2482" s="1"/>
  <c r="AJ119" i="2482"/>
  <c r="AJ130" i="2482" s="1"/>
  <c r="AJ131" i="2482" s="1"/>
  <c r="W119" i="2482"/>
  <c r="W130" i="2482" s="1"/>
  <c r="W131" i="2482" s="1"/>
  <c r="G119" i="2482"/>
  <c r="G130" i="2482" s="1"/>
  <c r="G131" i="2482" s="1"/>
  <c r="H119" i="2482"/>
  <c r="H130" i="2482" s="1"/>
  <c r="H131" i="2482" s="1"/>
  <c r="J119" i="2482"/>
  <c r="J130" i="2482" s="1"/>
  <c r="J131" i="2482" s="1"/>
  <c r="M119" i="2482"/>
  <c r="M130" i="2482" s="1"/>
  <c r="M131" i="2482" s="1"/>
  <c r="S119" i="2482"/>
  <c r="S130" i="2482" s="1"/>
  <c r="S131" i="2482" s="1"/>
  <c r="K119" i="2482"/>
  <c r="K130" i="2482" s="1"/>
  <c r="K131" i="2482" s="1"/>
  <c r="N119" i="2482"/>
  <c r="N130" i="2482" s="1"/>
  <c r="N131" i="2482" s="1"/>
  <c r="E119" i="2482"/>
  <c r="E130" i="2482" s="1"/>
  <c r="E131" i="2482" s="1"/>
  <c r="M133" i="2319"/>
  <c r="W133" i="2319"/>
  <c r="V133" i="2319"/>
  <c r="U133" i="2319"/>
  <c r="T133" i="2319"/>
  <c r="X133" i="2319"/>
  <c r="L133" i="2319"/>
  <c r="Q133" i="2319"/>
  <c r="H133" i="2319"/>
  <c r="R133" i="2319"/>
  <c r="I133" i="2319"/>
  <c r="C156" i="2319"/>
  <c r="S133" i="2319"/>
  <c r="K133" i="2319"/>
  <c r="P133" i="2319"/>
  <c r="J133" i="2319"/>
  <c r="N133" i="2319"/>
  <c r="E133" i="2319"/>
  <c r="O133" i="2319"/>
  <c r="F133" i="2319"/>
  <c r="D112" i="2319"/>
  <c r="D145" i="2319" s="1"/>
  <c r="G133" i="2319"/>
  <c r="C157" i="2319"/>
  <c r="D143" i="2319" s="1"/>
  <c r="R135" i="2319" l="1"/>
  <c r="G134" i="2319"/>
  <c r="G138" i="2319" s="1"/>
  <c r="L134" i="2319"/>
  <c r="L138" i="2319" s="1"/>
  <c r="O135" i="2319"/>
  <c r="F135" i="2319"/>
  <c r="M134" i="2319"/>
  <c r="D142" i="2319"/>
  <c r="M135" i="2319"/>
  <c r="Q134" i="2319"/>
  <c r="H134" i="2319"/>
  <c r="H135" i="2319"/>
  <c r="N135" i="2319"/>
  <c r="F134" i="2319"/>
  <c r="F138" i="2319" s="1"/>
  <c r="L135" i="2319"/>
  <c r="S134" i="2319"/>
  <c r="J134" i="2319"/>
  <c r="J138" i="2319" s="1"/>
  <c r="S135" i="2319"/>
  <c r="J135" i="2319"/>
  <c r="N134" i="2319"/>
  <c r="E134" i="2319"/>
  <c r="E138" i="2319" s="1"/>
  <c r="R134" i="2319"/>
  <c r="E135" i="2319"/>
  <c r="K135" i="2319"/>
  <c r="I135" i="2319"/>
  <c r="P134" i="2319"/>
  <c r="P135" i="2319"/>
  <c r="G135" i="2319"/>
  <c r="K134" i="2319"/>
  <c r="Q135" i="2319"/>
  <c r="I134" i="2319"/>
  <c r="I136" i="2319" s="1"/>
  <c r="O134" i="2319"/>
  <c r="O136" i="2319" s="1"/>
  <c r="AJ138" i="2482"/>
  <c r="AJ139" i="2482" s="1"/>
  <c r="AJ142" i="2482" s="1"/>
  <c r="AF138" i="2482"/>
  <c r="AF139" i="2482" s="1"/>
  <c r="AF141" i="2482" s="1"/>
  <c r="AF143" i="2482" s="1"/>
  <c r="V138" i="2482"/>
  <c r="V139" i="2482" s="1"/>
  <c r="V141" i="2482" s="1"/>
  <c r="V143" i="2482" s="1"/>
  <c r="T138" i="2482"/>
  <c r="T139" i="2482" s="1"/>
  <c r="T141" i="2482" s="1"/>
  <c r="T143" i="2482" s="1"/>
  <c r="AE138" i="2482"/>
  <c r="AE139" i="2482" s="1"/>
  <c r="AE142" i="2482" s="1"/>
  <c r="AC138" i="2482"/>
  <c r="AC139" i="2482" s="1"/>
  <c r="AC142" i="2482" s="1"/>
  <c r="AI138" i="2485"/>
  <c r="AI139" i="2485" s="1"/>
  <c r="AI142" i="2485" s="1"/>
  <c r="AJ138" i="2485"/>
  <c r="AJ139" i="2485" s="1"/>
  <c r="AJ142" i="2485" s="1"/>
  <c r="Z138" i="2485"/>
  <c r="Z139" i="2485" s="1"/>
  <c r="Z141" i="2485" s="1"/>
  <c r="Z143" i="2485" s="1"/>
  <c r="AB138" i="2485"/>
  <c r="AB139" i="2485" s="1"/>
  <c r="AB142" i="2485" s="1"/>
  <c r="AC138" i="2485"/>
  <c r="AC139" i="2485" s="1"/>
  <c r="AC142" i="2485" s="1"/>
  <c r="Q135" i="2481"/>
  <c r="H135" i="2481"/>
  <c r="O134" i="2481"/>
  <c r="O138" i="2481" s="1"/>
  <c r="F134" i="2481"/>
  <c r="P135" i="2481"/>
  <c r="G135" i="2481"/>
  <c r="N134" i="2481"/>
  <c r="R135" i="2481"/>
  <c r="M134" i="2481"/>
  <c r="M138" i="2481" s="1"/>
  <c r="F135" i="2481"/>
  <c r="G134" i="2481"/>
  <c r="G138" i="2481" s="1"/>
  <c r="R134" i="2481"/>
  <c r="R138" i="2481" s="1"/>
  <c r="E134" i="2481"/>
  <c r="E138" i="2481" s="1"/>
  <c r="O135" i="2481"/>
  <c r="N135" i="2481"/>
  <c r="E135" i="2481"/>
  <c r="L134" i="2481"/>
  <c r="L138" i="2481" s="1"/>
  <c r="D142" i="2481"/>
  <c r="M135" i="2481"/>
  <c r="Q134" i="2481"/>
  <c r="Q138" i="2481" s="1"/>
  <c r="J134" i="2481"/>
  <c r="J138" i="2481" s="1"/>
  <c r="I135" i="2481"/>
  <c r="H134" i="2481"/>
  <c r="H136" i="2481" s="1"/>
  <c r="P134" i="2481"/>
  <c r="P138" i="2481" s="1"/>
  <c r="K135" i="2481"/>
  <c r="I134" i="2481"/>
  <c r="S135" i="2481"/>
  <c r="J135" i="2481"/>
  <c r="L135" i="2481"/>
  <c r="S134" i="2481"/>
  <c r="S136" i="2481" s="1"/>
  <c r="K134" i="2481"/>
  <c r="K138" i="2481" s="1"/>
  <c r="D142" i="2484"/>
  <c r="P135" i="2484"/>
  <c r="N135" i="2484"/>
  <c r="Q135" i="2484"/>
  <c r="R134" i="2484"/>
  <c r="R138" i="2484" s="1"/>
  <c r="R135" i="2484"/>
  <c r="I135" i="2484"/>
  <c r="F134" i="2484"/>
  <c r="F138" i="2484" s="1"/>
  <c r="E135" i="2484"/>
  <c r="E134" i="2484"/>
  <c r="E138" i="2484" s="1"/>
  <c r="S135" i="2484"/>
  <c r="S134" i="2484"/>
  <c r="S138" i="2484" s="1"/>
  <c r="J134" i="2484"/>
  <c r="J138" i="2484" s="1"/>
  <c r="L135" i="2484"/>
  <c r="M135" i="2484"/>
  <c r="K134" i="2484"/>
  <c r="P134" i="2484"/>
  <c r="P136" i="2484" s="1"/>
  <c r="I134" i="2484"/>
  <c r="I138" i="2484" s="1"/>
  <c r="G134" i="2484"/>
  <c r="G138" i="2484" s="1"/>
  <c r="N134" i="2484"/>
  <c r="M134" i="2484"/>
  <c r="M136" i="2484" s="1"/>
  <c r="K135" i="2484"/>
  <c r="H134" i="2484"/>
  <c r="H138" i="2484" s="1"/>
  <c r="F135" i="2484"/>
  <c r="G135" i="2484"/>
  <c r="O135" i="2484"/>
  <c r="H135" i="2484"/>
  <c r="J135" i="2484"/>
  <c r="O134" i="2484"/>
  <c r="O136" i="2484" s="1"/>
  <c r="L134" i="2484"/>
  <c r="L138" i="2484" s="1"/>
  <c r="Q134" i="2484"/>
  <c r="Q136" i="2484" s="1"/>
  <c r="X138" i="2480"/>
  <c r="X139" i="2480" s="1"/>
  <c r="X142" i="2480" s="1"/>
  <c r="AA138" i="2480"/>
  <c r="AA139" i="2480" s="1"/>
  <c r="AA142" i="2480" s="1"/>
  <c r="AL138" i="2480"/>
  <c r="AL139" i="2480" s="1"/>
  <c r="AL141" i="2480" s="1"/>
  <c r="AL143" i="2480" s="1"/>
  <c r="AH138" i="2480"/>
  <c r="AH139" i="2480" s="1"/>
  <c r="AH142" i="2480" s="1"/>
  <c r="AB138" i="2480"/>
  <c r="AB139" i="2480" s="1"/>
  <c r="AB141" i="2480" s="1"/>
  <c r="AB143" i="2480" s="1"/>
  <c r="V138" i="2480"/>
  <c r="V139" i="2480" s="1"/>
  <c r="V142" i="2480" s="1"/>
  <c r="U138" i="2480"/>
  <c r="U139" i="2480" s="1"/>
  <c r="U141" i="2480" s="1"/>
  <c r="U143" i="2480" s="1"/>
  <c r="AG138" i="2483"/>
  <c r="AG139" i="2483" s="1"/>
  <c r="AG142" i="2483" s="1"/>
  <c r="T138" i="2483"/>
  <c r="T139" i="2483" s="1"/>
  <c r="T142" i="2483" s="1"/>
  <c r="AI138" i="2483"/>
  <c r="AI139" i="2483" s="1"/>
  <c r="AI142" i="2483" s="1"/>
  <c r="AA138" i="2483"/>
  <c r="AA139" i="2483" s="1"/>
  <c r="AA142" i="2483" s="1"/>
  <c r="U138" i="2483"/>
  <c r="U139" i="2483" s="1"/>
  <c r="U142" i="2483" s="1"/>
  <c r="AG138" i="2319"/>
  <c r="AG139" i="2319" s="1"/>
  <c r="AG142" i="2319" s="1"/>
  <c r="Y138" i="2319"/>
  <c r="Y139" i="2319" s="1"/>
  <c r="Y142" i="2319" s="1"/>
  <c r="X138" i="2319"/>
  <c r="X139" i="2319" s="1"/>
  <c r="X142" i="2319" s="1"/>
  <c r="O138" i="2319"/>
  <c r="AH138" i="2319"/>
  <c r="AH139" i="2319" s="1"/>
  <c r="AH141" i="2319" s="1"/>
  <c r="AH143" i="2319" s="1"/>
  <c r="AE138" i="2319"/>
  <c r="AE139" i="2319" s="1"/>
  <c r="AE142" i="2319" s="1"/>
  <c r="AC138" i="2319"/>
  <c r="AC139" i="2319" s="1"/>
  <c r="AC141" i="2319" s="1"/>
  <c r="AC143" i="2319" s="1"/>
  <c r="AI138" i="2319"/>
  <c r="AI139" i="2319" s="1"/>
  <c r="AI142" i="2319" s="1"/>
  <c r="AF138" i="2481"/>
  <c r="AF139" i="2481" s="1"/>
  <c r="AF142" i="2481" s="1"/>
  <c r="AC138" i="2481"/>
  <c r="AC139" i="2481" s="1"/>
  <c r="AC142" i="2481" s="1"/>
  <c r="AE138" i="2481"/>
  <c r="AE139" i="2481" s="1"/>
  <c r="AE142" i="2481" s="1"/>
  <c r="AJ138" i="2481"/>
  <c r="AJ139" i="2481" s="1"/>
  <c r="AJ142" i="2481" s="1"/>
  <c r="T138" i="2481"/>
  <c r="T139" i="2481" s="1"/>
  <c r="T142" i="2481" s="1"/>
  <c r="V138" i="2481"/>
  <c r="V139" i="2481" s="1"/>
  <c r="V142" i="2481" s="1"/>
  <c r="AL138" i="2481"/>
  <c r="AL139" i="2481" s="1"/>
  <c r="AL142" i="2481" s="1"/>
  <c r="Z138" i="2481"/>
  <c r="Z139" i="2481" s="1"/>
  <c r="Z142" i="2481" s="1"/>
  <c r="AA138" i="2484"/>
  <c r="AA139" i="2484" s="1"/>
  <c r="AA141" i="2484" s="1"/>
  <c r="AA143" i="2484" s="1"/>
  <c r="T138" i="2484"/>
  <c r="T139" i="2484" s="1"/>
  <c r="T142" i="2484" s="1"/>
  <c r="AC138" i="2484"/>
  <c r="AC139" i="2484" s="1"/>
  <c r="AC142" i="2484" s="1"/>
  <c r="X138" i="2484"/>
  <c r="X139" i="2484" s="1"/>
  <c r="X142" i="2484" s="1"/>
  <c r="AF138" i="2484"/>
  <c r="AF139" i="2484" s="1"/>
  <c r="AF141" i="2484" s="1"/>
  <c r="AF143" i="2484" s="1"/>
  <c r="AD138" i="2484"/>
  <c r="AD139" i="2484" s="1"/>
  <c r="AD142" i="2484" s="1"/>
  <c r="AH138" i="2484"/>
  <c r="AH139" i="2484" s="1"/>
  <c r="AH142" i="2484" s="1"/>
  <c r="L135" i="2483"/>
  <c r="S134" i="2483"/>
  <c r="S138" i="2483" s="1"/>
  <c r="J134" i="2483"/>
  <c r="J138" i="2483" s="1"/>
  <c r="K135" i="2483"/>
  <c r="N134" i="2483"/>
  <c r="N138" i="2483" s="1"/>
  <c r="D142" i="2483"/>
  <c r="J135" i="2483"/>
  <c r="L134" i="2483"/>
  <c r="O134" i="2483"/>
  <c r="Q135" i="2483"/>
  <c r="R135" i="2483"/>
  <c r="I135" i="2483"/>
  <c r="P134" i="2483"/>
  <c r="P138" i="2483" s="1"/>
  <c r="G134" i="2483"/>
  <c r="G138" i="2483" s="1"/>
  <c r="G135" i="2483"/>
  <c r="I134" i="2483"/>
  <c r="I138" i="2483" s="1"/>
  <c r="S135" i="2483"/>
  <c r="E135" i="2483"/>
  <c r="H134" i="2483"/>
  <c r="H138" i="2483" s="1"/>
  <c r="H135" i="2483"/>
  <c r="F134" i="2483"/>
  <c r="F138" i="2483" s="1"/>
  <c r="O135" i="2483"/>
  <c r="F135" i="2483"/>
  <c r="M134" i="2483"/>
  <c r="P135" i="2483"/>
  <c r="R134" i="2483"/>
  <c r="R136" i="2483" s="1"/>
  <c r="N135" i="2483"/>
  <c r="K134" i="2483"/>
  <c r="K136" i="2483" s="1"/>
  <c r="E134" i="2483"/>
  <c r="Q134" i="2483"/>
  <c r="M135" i="2483"/>
  <c r="Q135" i="2485"/>
  <c r="H135" i="2485"/>
  <c r="O134" i="2485"/>
  <c r="F134" i="2485"/>
  <c r="I135" i="2485"/>
  <c r="G134" i="2485"/>
  <c r="G138" i="2485" s="1"/>
  <c r="N134" i="2485"/>
  <c r="M134" i="2485"/>
  <c r="S134" i="2485"/>
  <c r="S138" i="2485" s="1"/>
  <c r="O135" i="2485"/>
  <c r="F135" i="2485"/>
  <c r="N135" i="2485"/>
  <c r="E135" i="2485"/>
  <c r="L134" i="2485"/>
  <c r="L138" i="2485" s="1"/>
  <c r="R135" i="2485"/>
  <c r="P134" i="2485"/>
  <c r="P135" i="2485"/>
  <c r="H134" i="2485"/>
  <c r="S135" i="2485"/>
  <c r="J134" i="2485"/>
  <c r="Q134" i="2485"/>
  <c r="Q138" i="2485" s="1"/>
  <c r="K135" i="2485"/>
  <c r="R134" i="2485"/>
  <c r="I134" i="2485"/>
  <c r="I138" i="2485" s="1"/>
  <c r="M135" i="2485"/>
  <c r="K134" i="2485"/>
  <c r="K138" i="2485" s="1"/>
  <c r="J135" i="2485"/>
  <c r="L135" i="2485"/>
  <c r="G135" i="2485"/>
  <c r="D142" i="2485"/>
  <c r="E134" i="2485"/>
  <c r="E136" i="2485" s="1"/>
  <c r="Z138" i="2482"/>
  <c r="Z139" i="2482" s="1"/>
  <c r="Z141" i="2482" s="1"/>
  <c r="Z143" i="2482" s="1"/>
  <c r="AI138" i="2482"/>
  <c r="AI139" i="2482" s="1"/>
  <c r="AI142" i="2482" s="1"/>
  <c r="AA138" i="2482"/>
  <c r="AA139" i="2482" s="1"/>
  <c r="AA141" i="2482" s="1"/>
  <c r="AA143" i="2482" s="1"/>
  <c r="V138" i="2485"/>
  <c r="V139" i="2485" s="1"/>
  <c r="V141" i="2485" s="1"/>
  <c r="V143" i="2485" s="1"/>
  <c r="AK138" i="2485"/>
  <c r="AK139" i="2485" s="1"/>
  <c r="AK142" i="2485" s="1"/>
  <c r="AL138" i="2485"/>
  <c r="AL139" i="2485" s="1"/>
  <c r="AL141" i="2485" s="1"/>
  <c r="AL143" i="2485" s="1"/>
  <c r="AM138" i="2485"/>
  <c r="AM139" i="2485" s="1"/>
  <c r="AM142" i="2485" s="1"/>
  <c r="AG138" i="2485"/>
  <c r="AG139" i="2485" s="1"/>
  <c r="AG142" i="2485" s="1"/>
  <c r="T138" i="2485"/>
  <c r="T139" i="2485" s="1"/>
  <c r="T141" i="2485" s="1"/>
  <c r="T143" i="2485" s="1"/>
  <c r="AF138" i="2485"/>
  <c r="AF139" i="2485" s="1"/>
  <c r="AF141" i="2485" s="1"/>
  <c r="AF143" i="2485" s="1"/>
  <c r="AD138" i="2485"/>
  <c r="AD139" i="2485" s="1"/>
  <c r="AD142" i="2485" s="1"/>
  <c r="AG138" i="2480"/>
  <c r="AG139" i="2480" s="1"/>
  <c r="AG142" i="2480" s="1"/>
  <c r="Y138" i="2480"/>
  <c r="Y139" i="2480" s="1"/>
  <c r="Y142" i="2480" s="1"/>
  <c r="Z138" i="2480"/>
  <c r="Z139" i="2480" s="1"/>
  <c r="Z142" i="2480" s="1"/>
  <c r="AC138" i="2480"/>
  <c r="AC139" i="2480" s="1"/>
  <c r="AC141" i="2480" s="1"/>
  <c r="AC143" i="2480" s="1"/>
  <c r="W138" i="2480"/>
  <c r="W139" i="2480" s="1"/>
  <c r="W142" i="2480" s="1"/>
  <c r="T138" i="2480"/>
  <c r="T139" i="2480" s="1"/>
  <c r="T141" i="2480" s="1"/>
  <c r="T143" i="2480" s="1"/>
  <c r="X138" i="2483"/>
  <c r="X139" i="2483" s="1"/>
  <c r="X142" i="2483" s="1"/>
  <c r="AF138" i="2483"/>
  <c r="AF139" i="2483" s="1"/>
  <c r="AF141" i="2483" s="1"/>
  <c r="AF143" i="2483" s="1"/>
  <c r="AE138" i="2483"/>
  <c r="AE139" i="2483" s="1"/>
  <c r="AE141" i="2483" s="1"/>
  <c r="AE143" i="2483" s="1"/>
  <c r="AM138" i="2483"/>
  <c r="AM139" i="2483" s="1"/>
  <c r="AM142" i="2483" s="1"/>
  <c r="AC138" i="2483"/>
  <c r="AC139" i="2483" s="1"/>
  <c r="AC141" i="2483" s="1"/>
  <c r="AC143" i="2483" s="1"/>
  <c r="W138" i="2483"/>
  <c r="W139" i="2483" s="1"/>
  <c r="W141" i="2483" s="1"/>
  <c r="W143" i="2483" s="1"/>
  <c r="V138" i="2483"/>
  <c r="V139" i="2483" s="1"/>
  <c r="V142" i="2483" s="1"/>
  <c r="AM138" i="2319"/>
  <c r="AM139" i="2319" s="1"/>
  <c r="AM142" i="2319" s="1"/>
  <c r="AD138" i="2319"/>
  <c r="AD139" i="2319" s="1"/>
  <c r="AD142" i="2319" s="1"/>
  <c r="T138" i="2319"/>
  <c r="T139" i="2319" s="1"/>
  <c r="T141" i="2319" s="1"/>
  <c r="T143" i="2319" s="1"/>
  <c r="P138" i="2319"/>
  <c r="Z138" i="2319"/>
  <c r="Z139" i="2319" s="1"/>
  <c r="Z142" i="2319" s="1"/>
  <c r="AK138" i="2319"/>
  <c r="AK139" i="2319" s="1"/>
  <c r="AK141" i="2319" s="1"/>
  <c r="AK143" i="2319" s="1"/>
  <c r="N138" i="2319"/>
  <c r="N135" i="2482"/>
  <c r="F134" i="2482"/>
  <c r="F138" i="2482" s="1"/>
  <c r="H134" i="2482"/>
  <c r="Q135" i="2482"/>
  <c r="G134" i="2482"/>
  <c r="G138" i="2482" s="1"/>
  <c r="O134" i="2482"/>
  <c r="M135" i="2482"/>
  <c r="F135" i="2482"/>
  <c r="K134" i="2482"/>
  <c r="K138" i="2482" s="1"/>
  <c r="I134" i="2482"/>
  <c r="J134" i="2482"/>
  <c r="J138" i="2482" s="1"/>
  <c r="N134" i="2482"/>
  <c r="L134" i="2482"/>
  <c r="L138" i="2482" s="1"/>
  <c r="D142" i="2482"/>
  <c r="S134" i="2482"/>
  <c r="H135" i="2482"/>
  <c r="I135" i="2482"/>
  <c r="G135" i="2482"/>
  <c r="R134" i="2482"/>
  <c r="R135" i="2482"/>
  <c r="J135" i="2482"/>
  <c r="E135" i="2482"/>
  <c r="Q134" i="2482"/>
  <c r="Q138" i="2482" s="1"/>
  <c r="M134" i="2482"/>
  <c r="O135" i="2482"/>
  <c r="L135" i="2482"/>
  <c r="P135" i="2482"/>
  <c r="K135" i="2482"/>
  <c r="P134" i="2482"/>
  <c r="P138" i="2482" s="1"/>
  <c r="E134" i="2482"/>
  <c r="S135" i="2482"/>
  <c r="N138" i="2481"/>
  <c r="AB138" i="2481"/>
  <c r="AB139" i="2481" s="1"/>
  <c r="AB141" i="2481" s="1"/>
  <c r="AB143" i="2481" s="1"/>
  <c r="Y138" i="2481"/>
  <c r="Y139" i="2481" s="1"/>
  <c r="Y142" i="2481" s="1"/>
  <c r="W138" i="2481"/>
  <c r="W139" i="2481" s="1"/>
  <c r="W141" i="2481" s="1"/>
  <c r="W143" i="2481" s="1"/>
  <c r="AM138" i="2481"/>
  <c r="AM139" i="2481" s="1"/>
  <c r="AM141" i="2481" s="1"/>
  <c r="AM143" i="2481" s="1"/>
  <c r="AA138" i="2481"/>
  <c r="AA139" i="2481" s="1"/>
  <c r="AA142" i="2481" s="1"/>
  <c r="AH138" i="2481"/>
  <c r="AH139" i="2481" s="1"/>
  <c r="AH142" i="2481" s="1"/>
  <c r="F138" i="2481"/>
  <c r="AE138" i="2484"/>
  <c r="AE139" i="2484" s="1"/>
  <c r="AE141" i="2484" s="1"/>
  <c r="AE143" i="2484" s="1"/>
  <c r="AJ138" i="2484"/>
  <c r="AJ139" i="2484" s="1"/>
  <c r="AJ142" i="2484" s="1"/>
  <c r="AI138" i="2484"/>
  <c r="AI139" i="2484" s="1"/>
  <c r="AI141" i="2484" s="1"/>
  <c r="AI143" i="2484" s="1"/>
  <c r="AB138" i="2484"/>
  <c r="AB139" i="2484" s="1"/>
  <c r="AB141" i="2484" s="1"/>
  <c r="AB143" i="2484" s="1"/>
  <c r="Y138" i="2484"/>
  <c r="Y139" i="2484" s="1"/>
  <c r="Y142" i="2484" s="1"/>
  <c r="K138" i="2484"/>
  <c r="W138" i="2484"/>
  <c r="W139" i="2484" s="1"/>
  <c r="W142" i="2484" s="1"/>
  <c r="AG138" i="2482"/>
  <c r="AG139" i="2482" s="1"/>
  <c r="AG142" i="2482" s="1"/>
  <c r="AH138" i="2482"/>
  <c r="AH139" i="2482" s="1"/>
  <c r="AH141" i="2482" s="1"/>
  <c r="AH143" i="2482" s="1"/>
  <c r="AM138" i="2482"/>
  <c r="AM139" i="2482" s="1"/>
  <c r="AM142" i="2482" s="1"/>
  <c r="W138" i="2482"/>
  <c r="W139" i="2482" s="1"/>
  <c r="W142" i="2482" s="1"/>
  <c r="X138" i="2482"/>
  <c r="X139" i="2482" s="1"/>
  <c r="X142" i="2482" s="1"/>
  <c r="AL138" i="2482"/>
  <c r="AL139" i="2482" s="1"/>
  <c r="AL141" i="2482" s="1"/>
  <c r="AL143" i="2482" s="1"/>
  <c r="AB138" i="2482"/>
  <c r="AB139" i="2482" s="1"/>
  <c r="AB141" i="2482" s="1"/>
  <c r="AB143" i="2482" s="1"/>
  <c r="U138" i="2482"/>
  <c r="U139" i="2482" s="1"/>
  <c r="U142" i="2482" s="1"/>
  <c r="AD138" i="2482"/>
  <c r="AD139" i="2482" s="1"/>
  <c r="AD141" i="2482" s="1"/>
  <c r="AD143" i="2482" s="1"/>
  <c r="AK138" i="2482"/>
  <c r="AK139" i="2482" s="1"/>
  <c r="AK141" i="2482" s="1"/>
  <c r="AK143" i="2482" s="1"/>
  <c r="Y138" i="2482"/>
  <c r="Y139" i="2482" s="1"/>
  <c r="Y141" i="2482" s="1"/>
  <c r="Y143" i="2482" s="1"/>
  <c r="W138" i="2485"/>
  <c r="W139" i="2485" s="1"/>
  <c r="W141" i="2485" s="1"/>
  <c r="W143" i="2485" s="1"/>
  <c r="AA138" i="2485"/>
  <c r="AA139" i="2485" s="1"/>
  <c r="AA142" i="2485" s="1"/>
  <c r="Y138" i="2485"/>
  <c r="Y139" i="2485" s="1"/>
  <c r="Y141" i="2485" s="1"/>
  <c r="Y143" i="2485" s="1"/>
  <c r="AE138" i="2485"/>
  <c r="AE139" i="2485" s="1"/>
  <c r="AE141" i="2485" s="1"/>
  <c r="AE143" i="2485" s="1"/>
  <c r="U138" i="2485"/>
  <c r="U139" i="2485" s="1"/>
  <c r="U141" i="2485" s="1"/>
  <c r="U143" i="2485" s="1"/>
  <c r="AH138" i="2485"/>
  <c r="AH139" i="2485" s="1"/>
  <c r="AH142" i="2485" s="1"/>
  <c r="X138" i="2485"/>
  <c r="X139" i="2485" s="1"/>
  <c r="X141" i="2485" s="1"/>
  <c r="X143" i="2485" s="1"/>
  <c r="AE138" i="2480"/>
  <c r="AE139" i="2480" s="1"/>
  <c r="AE141" i="2480" s="1"/>
  <c r="AE143" i="2480" s="1"/>
  <c r="AD138" i="2480"/>
  <c r="AD139" i="2480" s="1"/>
  <c r="AD142" i="2480" s="1"/>
  <c r="AJ138" i="2480"/>
  <c r="AJ139" i="2480" s="1"/>
  <c r="AJ141" i="2480" s="1"/>
  <c r="AJ143" i="2480" s="1"/>
  <c r="AM138" i="2480"/>
  <c r="AM139" i="2480" s="1"/>
  <c r="AM142" i="2480" s="1"/>
  <c r="AI138" i="2480"/>
  <c r="AI139" i="2480" s="1"/>
  <c r="AI141" i="2480" s="1"/>
  <c r="AI143" i="2480" s="1"/>
  <c r="AF138" i="2480"/>
  <c r="AF139" i="2480" s="1"/>
  <c r="AF141" i="2480" s="1"/>
  <c r="AF143" i="2480" s="1"/>
  <c r="AK138" i="2480"/>
  <c r="AK139" i="2480" s="1"/>
  <c r="AK141" i="2480" s="1"/>
  <c r="AK143" i="2480" s="1"/>
  <c r="AB138" i="2483"/>
  <c r="AB139" i="2483" s="1"/>
  <c r="AB142" i="2483" s="1"/>
  <c r="AH138" i="2483"/>
  <c r="AH139" i="2483" s="1"/>
  <c r="AH141" i="2483" s="1"/>
  <c r="AH143" i="2483" s="1"/>
  <c r="AD138" i="2483"/>
  <c r="AD139" i="2483" s="1"/>
  <c r="AD142" i="2483" s="1"/>
  <c r="AJ138" i="2483"/>
  <c r="AJ139" i="2483" s="1"/>
  <c r="AJ141" i="2483" s="1"/>
  <c r="AJ143" i="2483" s="1"/>
  <c r="AK138" i="2483"/>
  <c r="AK139" i="2483" s="1"/>
  <c r="AK141" i="2483" s="1"/>
  <c r="AK143" i="2483" s="1"/>
  <c r="Z138" i="2483"/>
  <c r="Z139" i="2483" s="1"/>
  <c r="Z142" i="2483" s="1"/>
  <c r="Y138" i="2483"/>
  <c r="Y139" i="2483" s="1"/>
  <c r="Y141" i="2483" s="1"/>
  <c r="Y143" i="2483" s="1"/>
  <c r="AL138" i="2483"/>
  <c r="AL139" i="2483" s="1"/>
  <c r="AL141" i="2483" s="1"/>
  <c r="AL143" i="2483" s="1"/>
  <c r="AA138" i="2319"/>
  <c r="AA139" i="2319" s="1"/>
  <c r="AA142" i="2319" s="1"/>
  <c r="AJ138" i="2319"/>
  <c r="AJ139" i="2319" s="1"/>
  <c r="AJ142" i="2319" s="1"/>
  <c r="AB138" i="2319"/>
  <c r="AB139" i="2319" s="1"/>
  <c r="AB142" i="2319" s="1"/>
  <c r="U138" i="2319"/>
  <c r="U139" i="2319" s="1"/>
  <c r="U142" i="2319" s="1"/>
  <c r="AF138" i="2319"/>
  <c r="AF139" i="2319" s="1"/>
  <c r="AF142" i="2319" s="1"/>
  <c r="H138" i="2319"/>
  <c r="K138" i="2319"/>
  <c r="AL138" i="2319"/>
  <c r="AL139" i="2319" s="1"/>
  <c r="AL142" i="2319" s="1"/>
  <c r="V138" i="2319"/>
  <c r="V139" i="2319" s="1"/>
  <c r="V142" i="2319" s="1"/>
  <c r="W138" i="2319"/>
  <c r="W139" i="2319" s="1"/>
  <c r="W141" i="2319" s="1"/>
  <c r="W143" i="2319" s="1"/>
  <c r="I138" i="2481"/>
  <c r="AG138" i="2481"/>
  <c r="AG139" i="2481" s="1"/>
  <c r="AG141" i="2481" s="1"/>
  <c r="AG143" i="2481" s="1"/>
  <c r="U138" i="2481"/>
  <c r="U139" i="2481" s="1"/>
  <c r="U141" i="2481" s="1"/>
  <c r="U143" i="2481" s="1"/>
  <c r="X138" i="2481"/>
  <c r="X139" i="2481" s="1"/>
  <c r="X142" i="2481" s="1"/>
  <c r="AI138" i="2481"/>
  <c r="AI139" i="2481" s="1"/>
  <c r="AI142" i="2481" s="1"/>
  <c r="AK138" i="2481"/>
  <c r="AK139" i="2481" s="1"/>
  <c r="AK141" i="2481" s="1"/>
  <c r="AK143" i="2481" s="1"/>
  <c r="AD138" i="2481"/>
  <c r="AD139" i="2481" s="1"/>
  <c r="AD141" i="2481" s="1"/>
  <c r="AD143" i="2481" s="1"/>
  <c r="V138" i="2484"/>
  <c r="V139" i="2484" s="1"/>
  <c r="V142" i="2484" s="1"/>
  <c r="Z138" i="2484"/>
  <c r="Z139" i="2484" s="1"/>
  <c r="Z141" i="2484" s="1"/>
  <c r="Z143" i="2484" s="1"/>
  <c r="AG138" i="2484"/>
  <c r="AG139" i="2484" s="1"/>
  <c r="AG141" i="2484" s="1"/>
  <c r="AG143" i="2484" s="1"/>
  <c r="AL138" i="2484"/>
  <c r="AL139" i="2484" s="1"/>
  <c r="AL141" i="2484" s="1"/>
  <c r="AL143" i="2484" s="1"/>
  <c r="AM138" i="2484"/>
  <c r="AM139" i="2484" s="1"/>
  <c r="AM141" i="2484" s="1"/>
  <c r="AM143" i="2484" s="1"/>
  <c r="U138" i="2484"/>
  <c r="U139" i="2484" s="1"/>
  <c r="U141" i="2484" s="1"/>
  <c r="U143" i="2484" s="1"/>
  <c r="AK138" i="2484"/>
  <c r="AK139" i="2484" s="1"/>
  <c r="AK141" i="2484" s="1"/>
  <c r="AK143" i="2484" s="1"/>
  <c r="N134" i="2480"/>
  <c r="N138" i="2480" s="1"/>
  <c r="F135" i="2480"/>
  <c r="I134" i="2480"/>
  <c r="P135" i="2480"/>
  <c r="G135" i="2480"/>
  <c r="K134" i="2480"/>
  <c r="Q135" i="2480"/>
  <c r="P134" i="2480"/>
  <c r="O135" i="2480"/>
  <c r="S134" i="2480"/>
  <c r="F134" i="2480"/>
  <c r="F136" i="2480" s="1"/>
  <c r="I135" i="2480"/>
  <c r="E135" i="2480"/>
  <c r="D142" i="2480"/>
  <c r="M135" i="2480"/>
  <c r="Q134" i="2480"/>
  <c r="Q136" i="2480" s="1"/>
  <c r="H134" i="2480"/>
  <c r="L135" i="2480"/>
  <c r="L134" i="2480"/>
  <c r="L138" i="2480" s="1"/>
  <c r="K135" i="2480"/>
  <c r="O134" i="2480"/>
  <c r="O136" i="2480" s="1"/>
  <c r="N135" i="2480"/>
  <c r="R134" i="2480"/>
  <c r="M134" i="2480"/>
  <c r="S135" i="2480"/>
  <c r="J135" i="2480"/>
  <c r="E134" i="2480"/>
  <c r="H135" i="2480"/>
  <c r="G134" i="2480"/>
  <c r="G136" i="2480" s="1"/>
  <c r="J134" i="2480"/>
  <c r="R135" i="2480"/>
  <c r="M136" i="2480" l="1"/>
  <c r="H138" i="2481"/>
  <c r="H139" i="2481" s="1"/>
  <c r="R136" i="2319"/>
  <c r="Q138" i="2484"/>
  <c r="Q139" i="2484" s="1"/>
  <c r="R138" i="2483"/>
  <c r="V141" i="2480"/>
  <c r="V143" i="2480" s="1"/>
  <c r="S136" i="2319"/>
  <c r="M136" i="2319"/>
  <c r="E136" i="2319"/>
  <c r="O138" i="2484"/>
  <c r="O139" i="2484" s="1"/>
  <c r="E136" i="2482"/>
  <c r="M136" i="2482"/>
  <c r="N136" i="2482"/>
  <c r="AE142" i="2484"/>
  <c r="AB142" i="2481"/>
  <c r="E138" i="2482"/>
  <c r="R136" i="2485"/>
  <c r="Q136" i="2483"/>
  <c r="E136" i="2480"/>
  <c r="P138" i="2484"/>
  <c r="P139" i="2484" s="1"/>
  <c r="I138" i="2319"/>
  <c r="I139" i="2319" s="1"/>
  <c r="AC142" i="2480"/>
  <c r="N136" i="2485"/>
  <c r="L136" i="2483"/>
  <c r="AA142" i="2484"/>
  <c r="L138" i="2483"/>
  <c r="L139" i="2483" s="1"/>
  <c r="X141" i="2482"/>
  <c r="X143" i="2482" s="1"/>
  <c r="AM142" i="2481"/>
  <c r="AL142" i="2480"/>
  <c r="M138" i="2319"/>
  <c r="M139" i="2319" s="1"/>
  <c r="W142" i="2483"/>
  <c r="V141" i="2481"/>
  <c r="V143" i="2481" s="1"/>
  <c r="R138" i="2319"/>
  <c r="T142" i="2482"/>
  <c r="AF142" i="2482"/>
  <c r="AH142" i="2483"/>
  <c r="AK142" i="2480"/>
  <c r="AF142" i="2480"/>
  <c r="AD141" i="2319"/>
  <c r="AD143" i="2319" s="1"/>
  <c r="J136" i="2485"/>
  <c r="M136" i="2483"/>
  <c r="O136" i="2483"/>
  <c r="J136" i="2483"/>
  <c r="AH141" i="2484"/>
  <c r="AH143" i="2484" s="1"/>
  <c r="AH142" i="2319"/>
  <c r="U141" i="2483"/>
  <c r="U143" i="2483" s="1"/>
  <c r="AI141" i="2485"/>
  <c r="AI143" i="2485" s="1"/>
  <c r="AJ141" i="2482"/>
  <c r="AJ143" i="2482" s="1"/>
  <c r="Q136" i="2319"/>
  <c r="L136" i="2319"/>
  <c r="R136" i="2480"/>
  <c r="H136" i="2480"/>
  <c r="P136" i="2480"/>
  <c r="AJ141" i="2319"/>
  <c r="AJ143" i="2319" s="1"/>
  <c r="AL142" i="2483"/>
  <c r="Z141" i="2483"/>
  <c r="Z143" i="2483" s="1"/>
  <c r="AE142" i="2485"/>
  <c r="AD142" i="2482"/>
  <c r="AM141" i="2482"/>
  <c r="AM143" i="2482" s="1"/>
  <c r="AK142" i="2319"/>
  <c r="Z141" i="2319"/>
  <c r="Z143" i="2319" s="1"/>
  <c r="AM141" i="2319"/>
  <c r="AM143" i="2319" s="1"/>
  <c r="AF142" i="2483"/>
  <c r="W141" i="2480"/>
  <c r="W143" i="2480" s="1"/>
  <c r="AG141" i="2480"/>
  <c r="AG143" i="2480" s="1"/>
  <c r="AF142" i="2485"/>
  <c r="K136" i="2481"/>
  <c r="AL142" i="2484"/>
  <c r="Z142" i="2484"/>
  <c r="V141" i="2484"/>
  <c r="V143" i="2484" s="1"/>
  <c r="AK142" i="2481"/>
  <c r="AI141" i="2481"/>
  <c r="AI143" i="2481" s="1"/>
  <c r="V141" i="2319"/>
  <c r="V143" i="2319" s="1"/>
  <c r="AF141" i="2319"/>
  <c r="AF143" i="2319" s="1"/>
  <c r="AB141" i="2319"/>
  <c r="AB143" i="2319" s="1"/>
  <c r="AK142" i="2483"/>
  <c r="AD141" i="2483"/>
  <c r="AD143" i="2483" s="1"/>
  <c r="AD141" i="2480"/>
  <c r="AD143" i="2480" s="1"/>
  <c r="AH141" i="2485"/>
  <c r="AH143" i="2485" s="1"/>
  <c r="J138" i="2485"/>
  <c r="J139" i="2485" s="1"/>
  <c r="S138" i="2319"/>
  <c r="S139" i="2319" s="1"/>
  <c r="P136" i="2485"/>
  <c r="F136" i="2485"/>
  <c r="E136" i="2483"/>
  <c r="G136" i="2483"/>
  <c r="N136" i="2483"/>
  <c r="H136" i="2484"/>
  <c r="N136" i="2484"/>
  <c r="F136" i="2484"/>
  <c r="J136" i="2481"/>
  <c r="J136" i="2480"/>
  <c r="K136" i="2480"/>
  <c r="AK142" i="2484"/>
  <c r="AM142" i="2484"/>
  <c r="U142" i="2481"/>
  <c r="W142" i="2319"/>
  <c r="AI142" i="2480"/>
  <c r="AJ142" i="2480"/>
  <c r="X142" i="2485"/>
  <c r="Y142" i="2485"/>
  <c r="W142" i="2485"/>
  <c r="Y142" i="2482"/>
  <c r="U141" i="2482"/>
  <c r="U143" i="2482" s="1"/>
  <c r="AL142" i="2482"/>
  <c r="AH142" i="2482"/>
  <c r="AB142" i="2484"/>
  <c r="M138" i="2484"/>
  <c r="M139" i="2484" s="1"/>
  <c r="R136" i="2482"/>
  <c r="I136" i="2482"/>
  <c r="Q138" i="2319"/>
  <c r="Z142" i="2482"/>
  <c r="X141" i="2484"/>
  <c r="X143" i="2484" s="1"/>
  <c r="N138" i="2484"/>
  <c r="N139" i="2484" s="1"/>
  <c r="AC141" i="2481"/>
  <c r="AC143" i="2481" s="1"/>
  <c r="S138" i="2481"/>
  <c r="S139" i="2481" s="1"/>
  <c r="AI141" i="2319"/>
  <c r="AI143" i="2319" s="1"/>
  <c r="Y141" i="2319"/>
  <c r="Y143" i="2319" s="1"/>
  <c r="T141" i="2483"/>
  <c r="T143" i="2483" s="1"/>
  <c r="E136" i="2484"/>
  <c r="I136" i="2481"/>
  <c r="Q136" i="2481"/>
  <c r="G136" i="2481"/>
  <c r="AB141" i="2485"/>
  <c r="AB143" i="2485" s="1"/>
  <c r="L139" i="2480"/>
  <c r="L142" i="2480" s="1"/>
  <c r="N139" i="2480"/>
  <c r="N142" i="2480" s="1"/>
  <c r="F139" i="2482"/>
  <c r="F142" i="2482" s="1"/>
  <c r="L139" i="2482"/>
  <c r="L142" i="2482" s="1"/>
  <c r="G139" i="2485"/>
  <c r="G142" i="2485" s="1"/>
  <c r="H139" i="2483"/>
  <c r="H142" i="2483" s="1"/>
  <c r="I136" i="2480"/>
  <c r="G139" i="2481"/>
  <c r="I139" i="2481"/>
  <c r="Q139" i="2481"/>
  <c r="K139" i="2319"/>
  <c r="K142" i="2319" s="1"/>
  <c r="L139" i="2319"/>
  <c r="Q139" i="2482"/>
  <c r="Q142" i="2482" s="1"/>
  <c r="J139" i="2482"/>
  <c r="J142" i="2482" s="1"/>
  <c r="K139" i="2482"/>
  <c r="K142" i="2482" s="1"/>
  <c r="E139" i="2482"/>
  <c r="E142" i="2482" s="1"/>
  <c r="W141" i="2484"/>
  <c r="W143" i="2484" s="1"/>
  <c r="AI142" i="2484"/>
  <c r="AH141" i="2481"/>
  <c r="AH143" i="2481" s="1"/>
  <c r="J139" i="2481"/>
  <c r="W142" i="2481"/>
  <c r="N139" i="2319"/>
  <c r="N142" i="2319" s="1"/>
  <c r="Q139" i="2319"/>
  <c r="AC142" i="2483"/>
  <c r="AM141" i="2483"/>
  <c r="AM143" i="2483" s="1"/>
  <c r="J139" i="2483"/>
  <c r="X141" i="2483"/>
  <c r="X143" i="2483" s="1"/>
  <c r="Q138" i="2480"/>
  <c r="Z141" i="2480"/>
  <c r="Z143" i="2480" s="1"/>
  <c r="T142" i="2485"/>
  <c r="AM141" i="2485"/>
  <c r="AM143" i="2485" s="1"/>
  <c r="AK141" i="2485"/>
  <c r="AK143" i="2485" s="1"/>
  <c r="E138" i="2485"/>
  <c r="AA142" i="2482"/>
  <c r="I138" i="2482"/>
  <c r="K136" i="2485"/>
  <c r="L136" i="2485"/>
  <c r="M136" i="2485"/>
  <c r="F136" i="2483"/>
  <c r="AD141" i="2484"/>
  <c r="AD143" i="2484" s="1"/>
  <c r="AC141" i="2484"/>
  <c r="AC143" i="2484" s="1"/>
  <c r="Z141" i="2481"/>
  <c r="Z143" i="2481" s="1"/>
  <c r="O139" i="2481"/>
  <c r="O142" i="2481" s="1"/>
  <c r="T141" i="2481"/>
  <c r="T143" i="2481" s="1"/>
  <c r="AJ141" i="2481"/>
  <c r="AJ143" i="2481" s="1"/>
  <c r="AF141" i="2481"/>
  <c r="AF143" i="2481" s="1"/>
  <c r="AC142" i="2319"/>
  <c r="X141" i="2319"/>
  <c r="X143" i="2319" s="1"/>
  <c r="J139" i="2319"/>
  <c r="J142" i="2319" s="1"/>
  <c r="AG141" i="2319"/>
  <c r="AG143" i="2319" s="1"/>
  <c r="R139" i="2319"/>
  <c r="AA141" i="2483"/>
  <c r="AA143" i="2483" s="1"/>
  <c r="Q138" i="2483"/>
  <c r="K138" i="2483"/>
  <c r="E138" i="2483"/>
  <c r="AG141" i="2483"/>
  <c r="AG143" i="2483" s="1"/>
  <c r="AB142" i="2480"/>
  <c r="AA141" i="2480"/>
  <c r="AA143" i="2480" s="1"/>
  <c r="J138" i="2480"/>
  <c r="I138" i="2480"/>
  <c r="P136" i="2481"/>
  <c r="R136" i="2481"/>
  <c r="M136" i="2481"/>
  <c r="O136" i="2481"/>
  <c r="Z142" i="2485"/>
  <c r="AC141" i="2482"/>
  <c r="AC143" i="2482" s="1"/>
  <c r="R138" i="2482"/>
  <c r="V142" i="2482"/>
  <c r="K136" i="2319"/>
  <c r="P136" i="2319"/>
  <c r="N136" i="2319"/>
  <c r="J136" i="2319"/>
  <c r="F136" i="2319"/>
  <c r="H136" i="2319"/>
  <c r="L139" i="2485"/>
  <c r="L142" i="2485" s="1"/>
  <c r="R139" i="2481"/>
  <c r="R142" i="2481" s="1"/>
  <c r="S136" i="2482"/>
  <c r="K136" i="2482"/>
  <c r="O136" i="2482"/>
  <c r="H136" i="2482"/>
  <c r="P139" i="2319"/>
  <c r="P142" i="2319" s="1"/>
  <c r="F139" i="2483"/>
  <c r="F142" i="2483" s="1"/>
  <c r="G139" i="2483"/>
  <c r="I139" i="2483"/>
  <c r="I142" i="2483" s="1"/>
  <c r="F138" i="2480"/>
  <c r="K138" i="2480"/>
  <c r="E138" i="2480"/>
  <c r="P139" i="2482"/>
  <c r="P142" i="2482" s="1"/>
  <c r="S136" i="2483"/>
  <c r="J139" i="2484"/>
  <c r="J142" i="2484" s="1"/>
  <c r="K139" i="2481"/>
  <c r="E139" i="2481"/>
  <c r="E142" i="2481" s="1"/>
  <c r="F139" i="2319"/>
  <c r="F142" i="2319" s="1"/>
  <c r="O138" i="2483"/>
  <c r="M138" i="2483"/>
  <c r="H138" i="2480"/>
  <c r="G136" i="2484"/>
  <c r="K136" i="2484"/>
  <c r="J136" i="2484"/>
  <c r="L136" i="2481"/>
  <c r="N138" i="2485"/>
  <c r="E139" i="2484"/>
  <c r="K139" i="2485"/>
  <c r="K142" i="2485" s="1"/>
  <c r="G139" i="2482"/>
  <c r="G142" i="2482" s="1"/>
  <c r="K139" i="2484"/>
  <c r="K142" i="2484" s="1"/>
  <c r="L136" i="2480"/>
  <c r="S136" i="2480"/>
  <c r="N136" i="2480"/>
  <c r="U142" i="2484"/>
  <c r="AG142" i="2484"/>
  <c r="S139" i="2484"/>
  <c r="S142" i="2484" s="1"/>
  <c r="AD142" i="2481"/>
  <c r="L139" i="2481"/>
  <c r="L142" i="2481" s="1"/>
  <c r="X141" i="2481"/>
  <c r="X143" i="2481" s="1"/>
  <c r="P139" i="2481"/>
  <c r="P142" i="2481" s="1"/>
  <c r="AG142" i="2481"/>
  <c r="AL141" i="2319"/>
  <c r="AL143" i="2319" s="1"/>
  <c r="G139" i="2319"/>
  <c r="G142" i="2319" s="1"/>
  <c r="H139" i="2319"/>
  <c r="H142" i="2319" s="1"/>
  <c r="U141" i="2319"/>
  <c r="U143" i="2319" s="1"/>
  <c r="AA141" i="2319"/>
  <c r="AA143" i="2319" s="1"/>
  <c r="N139" i="2483"/>
  <c r="R139" i="2483"/>
  <c r="Y142" i="2483"/>
  <c r="P139" i="2483"/>
  <c r="P142" i="2483" s="1"/>
  <c r="AJ142" i="2483"/>
  <c r="AB141" i="2483"/>
  <c r="AB143" i="2483" s="1"/>
  <c r="AM141" i="2480"/>
  <c r="AM143" i="2480" s="1"/>
  <c r="AE142" i="2480"/>
  <c r="R138" i="2480"/>
  <c r="M138" i="2480"/>
  <c r="O138" i="2480"/>
  <c r="G138" i="2480"/>
  <c r="P138" i="2480"/>
  <c r="U142" i="2485"/>
  <c r="AA141" i="2485"/>
  <c r="AA143" i="2485" s="1"/>
  <c r="Q139" i="2485"/>
  <c r="Q142" i="2485" s="1"/>
  <c r="AK142" i="2482"/>
  <c r="AB142" i="2482"/>
  <c r="W141" i="2482"/>
  <c r="W143" i="2482" s="1"/>
  <c r="AG141" i="2482"/>
  <c r="AG143" i="2482" s="1"/>
  <c r="G139" i="2484"/>
  <c r="G142" i="2484" s="1"/>
  <c r="Y141" i="2484"/>
  <c r="Y143" i="2484" s="1"/>
  <c r="AJ141" i="2484"/>
  <c r="AJ143" i="2484" s="1"/>
  <c r="F139" i="2484"/>
  <c r="L139" i="2484"/>
  <c r="L142" i="2484" s="1"/>
  <c r="F139" i="2481"/>
  <c r="F142" i="2481" s="1"/>
  <c r="AA141" i="2481"/>
  <c r="AA143" i="2481" s="1"/>
  <c r="Y141" i="2481"/>
  <c r="Y143" i="2481" s="1"/>
  <c r="M139" i="2481"/>
  <c r="M142" i="2481" s="1"/>
  <c r="N139" i="2481"/>
  <c r="N142" i="2481" s="1"/>
  <c r="P136" i="2482"/>
  <c r="L136" i="2482"/>
  <c r="Q136" i="2482"/>
  <c r="J136" i="2482"/>
  <c r="G136" i="2482"/>
  <c r="F136" i="2482"/>
  <c r="T142" i="2319"/>
  <c r="E139" i="2319"/>
  <c r="V141" i="2483"/>
  <c r="V143" i="2483" s="1"/>
  <c r="S139" i="2483"/>
  <c r="S142" i="2483" s="1"/>
  <c r="AE142" i="2483"/>
  <c r="T142" i="2480"/>
  <c r="Y141" i="2480"/>
  <c r="Y143" i="2480" s="1"/>
  <c r="S138" i="2480"/>
  <c r="AD141" i="2485"/>
  <c r="AD143" i="2485" s="1"/>
  <c r="AG141" i="2485"/>
  <c r="AG143" i="2485" s="1"/>
  <c r="S139" i="2485"/>
  <c r="S142" i="2485" s="1"/>
  <c r="AL142" i="2485"/>
  <c r="P138" i="2485"/>
  <c r="V142" i="2485"/>
  <c r="I139" i="2485"/>
  <c r="I142" i="2485" s="1"/>
  <c r="O138" i="2482"/>
  <c r="AI141" i="2482"/>
  <c r="AI143" i="2482" s="1"/>
  <c r="M138" i="2482"/>
  <c r="N138" i="2482"/>
  <c r="H138" i="2482"/>
  <c r="I136" i="2485"/>
  <c r="I141" i="2485" s="1"/>
  <c r="I143" i="2485" s="1"/>
  <c r="Q136" i="2485"/>
  <c r="H136" i="2485"/>
  <c r="S136" i="2485"/>
  <c r="G136" i="2485"/>
  <c r="O136" i="2485"/>
  <c r="H136" i="2483"/>
  <c r="I136" i="2483"/>
  <c r="P136" i="2483"/>
  <c r="AF142" i="2484"/>
  <c r="T141" i="2484"/>
  <c r="T143" i="2484" s="1"/>
  <c r="R139" i="2484"/>
  <c r="R142" i="2484" s="1"/>
  <c r="H139" i="2484"/>
  <c r="I139" i="2484"/>
  <c r="I142" i="2484" s="1"/>
  <c r="AL141" i="2481"/>
  <c r="AL143" i="2481" s="1"/>
  <c r="AE141" i="2481"/>
  <c r="AE143" i="2481" s="1"/>
  <c r="AE141" i="2319"/>
  <c r="AE143" i="2319" s="1"/>
  <c r="O139" i="2319"/>
  <c r="AI141" i="2483"/>
  <c r="AI143" i="2483" s="1"/>
  <c r="U142" i="2480"/>
  <c r="AH141" i="2480"/>
  <c r="AH143" i="2480" s="1"/>
  <c r="X141" i="2480"/>
  <c r="X143" i="2480" s="1"/>
  <c r="L136" i="2484"/>
  <c r="I136" i="2484"/>
  <c r="S136" i="2484"/>
  <c r="R136" i="2484"/>
  <c r="E136" i="2481"/>
  <c r="N136" i="2481"/>
  <c r="F136" i="2481"/>
  <c r="M138" i="2485"/>
  <c r="AC141" i="2485"/>
  <c r="AC143" i="2485" s="1"/>
  <c r="F138" i="2485"/>
  <c r="AJ141" i="2485"/>
  <c r="AJ143" i="2485" s="1"/>
  <c r="H138" i="2485"/>
  <c r="R138" i="2485"/>
  <c r="O138" i="2485"/>
  <c r="AE141" i="2482"/>
  <c r="AE143" i="2482" s="1"/>
  <c r="S138" i="2482"/>
  <c r="G136" i="2319"/>
  <c r="F141" i="2481" l="1"/>
  <c r="F143" i="2481" s="1"/>
  <c r="E141" i="2481"/>
  <c r="E143" i="2481" s="1"/>
  <c r="P141" i="2483"/>
  <c r="P143" i="2483" s="1"/>
  <c r="L141" i="2482"/>
  <c r="L143" i="2482" s="1"/>
  <c r="G141" i="2319"/>
  <c r="G143" i="2319" s="1"/>
  <c r="G141" i="2482"/>
  <c r="G143" i="2482" s="1"/>
  <c r="R141" i="2481"/>
  <c r="R143" i="2481" s="1"/>
  <c r="H141" i="2483"/>
  <c r="H143" i="2483" s="1"/>
  <c r="F141" i="2482"/>
  <c r="F143" i="2482" s="1"/>
  <c r="R141" i="2484"/>
  <c r="R143" i="2484" s="1"/>
  <c r="L141" i="2484"/>
  <c r="L143" i="2484" s="1"/>
  <c r="S141" i="2485"/>
  <c r="S143" i="2485" s="1"/>
  <c r="Q141" i="2482"/>
  <c r="Q143" i="2482" s="1"/>
  <c r="L141" i="2480"/>
  <c r="L143" i="2480" s="1"/>
  <c r="J141" i="2484"/>
  <c r="J143" i="2484" s="1"/>
  <c r="N141" i="2319"/>
  <c r="N143" i="2319" s="1"/>
  <c r="N141" i="2480"/>
  <c r="N143" i="2480" s="1"/>
  <c r="N141" i="2481"/>
  <c r="N143" i="2481" s="1"/>
  <c r="S141" i="2484"/>
  <c r="S143" i="2484" s="1"/>
  <c r="I141" i="2483"/>
  <c r="I143" i="2483" s="1"/>
  <c r="G141" i="2485"/>
  <c r="G143" i="2485" s="1"/>
  <c r="Q141" i="2485"/>
  <c r="Q143" i="2485" s="1"/>
  <c r="J141" i="2482"/>
  <c r="J143" i="2482" s="1"/>
  <c r="J141" i="2319"/>
  <c r="J143" i="2319" s="1"/>
  <c r="K141" i="2319"/>
  <c r="K143" i="2319" s="1"/>
  <c r="K141" i="2484"/>
  <c r="K143" i="2484" s="1"/>
  <c r="L141" i="2485"/>
  <c r="L143" i="2485" s="1"/>
  <c r="P141" i="2482"/>
  <c r="P143" i="2482" s="1"/>
  <c r="F139" i="2485"/>
  <c r="N139" i="2482"/>
  <c r="H139" i="2485"/>
  <c r="H142" i="2485" s="1"/>
  <c r="S139" i="2480"/>
  <c r="S142" i="2480" s="1"/>
  <c r="P139" i="2480"/>
  <c r="M139" i="2480"/>
  <c r="L141" i="2483"/>
  <c r="L143" i="2483" s="1"/>
  <c r="L142" i="2483"/>
  <c r="R142" i="2483"/>
  <c r="R141" i="2483"/>
  <c r="R143" i="2483" s="1"/>
  <c r="E142" i="2484"/>
  <c r="E141" i="2484"/>
  <c r="O139" i="2485"/>
  <c r="O142" i="2485" s="1"/>
  <c r="M139" i="2485"/>
  <c r="M142" i="2485" s="1"/>
  <c r="I141" i="2484"/>
  <c r="I143" i="2484" s="1"/>
  <c r="N142" i="2484"/>
  <c r="N141" i="2484"/>
  <c r="N143" i="2484" s="1"/>
  <c r="H139" i="2482"/>
  <c r="H142" i="2482" s="1"/>
  <c r="M142" i="2484"/>
  <c r="M141" i="2484"/>
  <c r="M143" i="2484" s="1"/>
  <c r="G139" i="2480"/>
  <c r="R139" i="2480"/>
  <c r="S141" i="2480"/>
  <c r="S143" i="2480" s="1"/>
  <c r="N139" i="2485"/>
  <c r="H139" i="2480"/>
  <c r="F139" i="2480"/>
  <c r="M142" i="2319"/>
  <c r="M141" i="2319"/>
  <c r="M143" i="2319" s="1"/>
  <c r="K141" i="2482"/>
  <c r="K143" i="2482" s="1"/>
  <c r="Q142" i="2484"/>
  <c r="Q141" i="2484"/>
  <c r="Q143" i="2484" s="1"/>
  <c r="F141" i="2319"/>
  <c r="F143" i="2319" s="1"/>
  <c r="P141" i="2319"/>
  <c r="P143" i="2319" s="1"/>
  <c r="R139" i="2482"/>
  <c r="O141" i="2481"/>
  <c r="O143" i="2481" s="1"/>
  <c r="J139" i="2480"/>
  <c r="Q139" i="2483"/>
  <c r="R141" i="2319"/>
  <c r="R143" i="2319" s="1"/>
  <c r="R142" i="2319"/>
  <c r="F141" i="2483"/>
  <c r="F143" i="2483" s="1"/>
  <c r="K141" i="2485"/>
  <c r="K143" i="2485" s="1"/>
  <c r="E139" i="2485"/>
  <c r="Q142" i="2319"/>
  <c r="Q141" i="2319"/>
  <c r="Q143" i="2319" s="1"/>
  <c r="Q141" i="2481"/>
  <c r="Q143" i="2481" s="1"/>
  <c r="Q142" i="2481"/>
  <c r="R139" i="2485"/>
  <c r="H142" i="2484"/>
  <c r="H141" i="2484"/>
  <c r="H143" i="2484" s="1"/>
  <c r="O139" i="2482"/>
  <c r="O142" i="2482" s="1"/>
  <c r="E141" i="2319"/>
  <c r="E142" i="2319"/>
  <c r="F141" i="2484"/>
  <c r="F143" i="2484" s="1"/>
  <c r="F142" i="2484"/>
  <c r="O139" i="2480"/>
  <c r="N142" i="2483"/>
  <c r="N141" i="2483"/>
  <c r="N143" i="2483" s="1"/>
  <c r="J142" i="2485"/>
  <c r="J141" i="2485"/>
  <c r="J143" i="2485" s="1"/>
  <c r="O142" i="2484"/>
  <c r="O141" i="2484"/>
  <c r="O143" i="2484" s="1"/>
  <c r="L141" i="2481"/>
  <c r="L143" i="2481" s="1"/>
  <c r="M139" i="2483"/>
  <c r="S142" i="2481"/>
  <c r="S141" i="2481"/>
  <c r="S143" i="2481" s="1"/>
  <c r="S141" i="2483"/>
  <c r="S143" i="2483" s="1"/>
  <c r="E139" i="2480"/>
  <c r="G141" i="2483"/>
  <c r="G143" i="2483" s="1"/>
  <c r="G142" i="2483"/>
  <c r="M141" i="2481"/>
  <c r="M143" i="2481" s="1"/>
  <c r="P141" i="2481"/>
  <c r="P143" i="2481" s="1"/>
  <c r="E139" i="2483"/>
  <c r="I139" i="2482"/>
  <c r="J141" i="2481"/>
  <c r="J143" i="2481" s="1"/>
  <c r="J142" i="2481"/>
  <c r="G141" i="2481"/>
  <c r="G143" i="2481" s="1"/>
  <c r="G142" i="2481"/>
  <c r="E141" i="2482"/>
  <c r="S139" i="2482"/>
  <c r="S142" i="2482" s="1"/>
  <c r="O141" i="2319"/>
  <c r="O143" i="2319" s="1"/>
  <c r="O142" i="2319"/>
  <c r="M139" i="2482"/>
  <c r="P139" i="2485"/>
  <c r="H142" i="2481"/>
  <c r="H141" i="2481"/>
  <c r="H143" i="2481" s="1"/>
  <c r="G141" i="2484"/>
  <c r="G143" i="2484" s="1"/>
  <c r="O139" i="2483"/>
  <c r="K141" i="2481"/>
  <c r="K143" i="2481" s="1"/>
  <c r="K142" i="2481"/>
  <c r="K139" i="2480"/>
  <c r="I142" i="2319"/>
  <c r="I141" i="2319"/>
  <c r="I143" i="2319" s="1"/>
  <c r="P141" i="2484"/>
  <c r="P143" i="2484" s="1"/>
  <c r="P142" i="2484"/>
  <c r="H141" i="2319"/>
  <c r="H143" i="2319" s="1"/>
  <c r="I139" i="2480"/>
  <c r="I142" i="2480" s="1"/>
  <c r="K139" i="2483"/>
  <c r="Q139" i="2480"/>
  <c r="J141" i="2483"/>
  <c r="J143" i="2483" s="1"/>
  <c r="J142" i="2483"/>
  <c r="S142" i="2319"/>
  <c r="S141" i="2319"/>
  <c r="S143" i="2319" s="1"/>
  <c r="L142" i="2319"/>
  <c r="L141" i="2319"/>
  <c r="L143" i="2319" s="1"/>
  <c r="I142" i="2481"/>
  <c r="I141" i="2481"/>
  <c r="I143" i="2481" s="1"/>
  <c r="O141" i="2485" l="1"/>
  <c r="O143" i="2485" s="1"/>
  <c r="O141" i="2482"/>
  <c r="O143" i="2482" s="1"/>
  <c r="M141" i="2485"/>
  <c r="M143" i="2485" s="1"/>
  <c r="C154" i="2481"/>
  <c r="S141" i="2482"/>
  <c r="S143" i="2482" s="1"/>
  <c r="H141" i="2485"/>
  <c r="H143" i="2485" s="1"/>
  <c r="H141" i="2482"/>
  <c r="H143" i="2482" s="1"/>
  <c r="I141" i="2480"/>
  <c r="I143" i="2480" s="1"/>
  <c r="K142" i="2483"/>
  <c r="K141" i="2483"/>
  <c r="K143" i="2483" s="1"/>
  <c r="C154" i="2319"/>
  <c r="Q142" i="2480"/>
  <c r="Q141" i="2480"/>
  <c r="Q143" i="2480" s="1"/>
  <c r="K142" i="2480"/>
  <c r="K141" i="2480"/>
  <c r="K143" i="2480" s="1"/>
  <c r="P142" i="2485"/>
  <c r="P141" i="2485"/>
  <c r="P143" i="2485" s="1"/>
  <c r="E142" i="2480"/>
  <c r="E141" i="2480"/>
  <c r="C149" i="2319"/>
  <c r="C5" i="2319" s="1"/>
  <c r="E143" i="2319"/>
  <c r="C155" i="2319" s="1"/>
  <c r="R142" i="2485"/>
  <c r="R141" i="2485"/>
  <c r="R143" i="2485" s="1"/>
  <c r="E142" i="2485"/>
  <c r="E141" i="2485"/>
  <c r="Q142" i="2483"/>
  <c r="Q141" i="2483"/>
  <c r="Q143" i="2483" s="1"/>
  <c r="N142" i="2485"/>
  <c r="N141" i="2485"/>
  <c r="N143" i="2485" s="1"/>
  <c r="G142" i="2480"/>
  <c r="G141" i="2480"/>
  <c r="G143" i="2480" s="1"/>
  <c r="F142" i="2485"/>
  <c r="F141" i="2485"/>
  <c r="F143" i="2485" s="1"/>
  <c r="O142" i="2483"/>
  <c r="O141" i="2483"/>
  <c r="O143" i="2483" s="1"/>
  <c r="E143" i="2482"/>
  <c r="I142" i="2482"/>
  <c r="I141" i="2482"/>
  <c r="I143" i="2482" s="1"/>
  <c r="E142" i="2483"/>
  <c r="E141" i="2483"/>
  <c r="H142" i="2480"/>
  <c r="H141" i="2480"/>
  <c r="H143" i="2480" s="1"/>
  <c r="R142" i="2480"/>
  <c r="R141" i="2480"/>
  <c r="R143" i="2480" s="1"/>
  <c r="C155" i="2481"/>
  <c r="E143" i="2484"/>
  <c r="C155" i="2484" s="1"/>
  <c r="C149" i="2484"/>
  <c r="C5" i="2484" s="1"/>
  <c r="P142" i="2480"/>
  <c r="P141" i="2480"/>
  <c r="P143" i="2480" s="1"/>
  <c r="N142" i="2482"/>
  <c r="N141" i="2482"/>
  <c r="N143" i="2482" s="1"/>
  <c r="M142" i="2482"/>
  <c r="M141" i="2482"/>
  <c r="M143" i="2482" s="1"/>
  <c r="M142" i="2483"/>
  <c r="M141" i="2483"/>
  <c r="M143" i="2483" s="1"/>
  <c r="O142" i="2480"/>
  <c r="O141" i="2480"/>
  <c r="O143" i="2480" s="1"/>
  <c r="J142" i="2480"/>
  <c r="J141" i="2480"/>
  <c r="J143" i="2480" s="1"/>
  <c r="R142" i="2482"/>
  <c r="R141" i="2482"/>
  <c r="R143" i="2482" s="1"/>
  <c r="F142" i="2480"/>
  <c r="F141" i="2480"/>
  <c r="F143" i="2480" s="1"/>
  <c r="C149" i="2481"/>
  <c r="C5" i="2481" s="1"/>
  <c r="C154" i="2484"/>
  <c r="M142" i="2480"/>
  <c r="M141" i="2480"/>
  <c r="M143" i="2480" s="1"/>
  <c r="C154" i="2482" l="1"/>
  <c r="C154" i="2485"/>
  <c r="C154" i="2480"/>
  <c r="E143" i="2483"/>
  <c r="C155" i="2483" s="1"/>
  <c r="C149" i="2483"/>
  <c r="C5" i="2483" s="1"/>
  <c r="C6" i="2319"/>
  <c r="E145" i="2319"/>
  <c r="Q146" i="2319"/>
  <c r="J146" i="2319"/>
  <c r="R146" i="2319"/>
  <c r="M146" i="2319"/>
  <c r="L146" i="2319"/>
  <c r="S146" i="2319"/>
  <c r="I146" i="2319"/>
  <c r="H146" i="2319"/>
  <c r="K146" i="2319"/>
  <c r="N146" i="2319"/>
  <c r="P146" i="2319"/>
  <c r="F146" i="2319"/>
  <c r="G146" i="2319"/>
  <c r="E146" i="2319"/>
  <c r="O146" i="2319"/>
  <c r="C6" i="2484"/>
  <c r="E145" i="2484"/>
  <c r="Q146" i="2484"/>
  <c r="J146" i="2484"/>
  <c r="R146" i="2484"/>
  <c r="P146" i="2484"/>
  <c r="E146" i="2484"/>
  <c r="S146" i="2484"/>
  <c r="G146" i="2484"/>
  <c r="L146" i="2484"/>
  <c r="O146" i="2484"/>
  <c r="F146" i="2484"/>
  <c r="H146" i="2484"/>
  <c r="K146" i="2484"/>
  <c r="M146" i="2484"/>
  <c r="N146" i="2484"/>
  <c r="I146" i="2484"/>
  <c r="C149" i="2482"/>
  <c r="C5" i="2482" s="1"/>
  <c r="C6" i="2481"/>
  <c r="E145" i="2481"/>
  <c r="Q146" i="2481"/>
  <c r="R146" i="2481"/>
  <c r="E146" i="2481"/>
  <c r="I146" i="2481"/>
  <c r="K146" i="2481"/>
  <c r="L146" i="2481"/>
  <c r="P146" i="2481"/>
  <c r="H146" i="2481"/>
  <c r="G146" i="2481"/>
  <c r="J146" i="2481"/>
  <c r="O146" i="2481"/>
  <c r="S146" i="2481"/>
  <c r="F146" i="2481"/>
  <c r="N146" i="2481"/>
  <c r="M146" i="2481"/>
  <c r="C154" i="2483"/>
  <c r="C155" i="2482"/>
  <c r="E143" i="2485"/>
  <c r="C155" i="2485" s="1"/>
  <c r="C149" i="2485"/>
  <c r="C5" i="2485" s="1"/>
  <c r="C149" i="2480"/>
  <c r="C5" i="2480" s="1"/>
  <c r="E143" i="2480"/>
  <c r="C155" i="2480" s="1"/>
  <c r="C152" i="2319" l="1"/>
  <c r="F145" i="2484"/>
  <c r="G145" i="2484" s="1"/>
  <c r="H145" i="2484" s="1"/>
  <c r="I145" i="2484" s="1"/>
  <c r="J145" i="2484" s="1"/>
  <c r="K145" i="2484" s="1"/>
  <c r="L145" i="2484" s="1"/>
  <c r="M145" i="2484" s="1"/>
  <c r="N145" i="2484" s="1"/>
  <c r="O145" i="2484" s="1"/>
  <c r="P145" i="2484" s="1"/>
  <c r="Q145" i="2484" s="1"/>
  <c r="R145" i="2484" s="1"/>
  <c r="S145" i="2484" s="1"/>
  <c r="T145" i="2484" s="1"/>
  <c r="U145" i="2484" s="1"/>
  <c r="V145" i="2484" s="1"/>
  <c r="W145" i="2484" s="1"/>
  <c r="X145" i="2484" s="1"/>
  <c r="Y145" i="2484" s="1"/>
  <c r="Z145" i="2484" s="1"/>
  <c r="AA145" i="2484" s="1"/>
  <c r="AB145" i="2484" s="1"/>
  <c r="AC145" i="2484" s="1"/>
  <c r="AD145" i="2484" s="1"/>
  <c r="AE145" i="2484" s="1"/>
  <c r="AF145" i="2484" s="1"/>
  <c r="AG145" i="2484" s="1"/>
  <c r="AH145" i="2484" s="1"/>
  <c r="AI145" i="2484" s="1"/>
  <c r="AJ145" i="2484" s="1"/>
  <c r="AK145" i="2484" s="1"/>
  <c r="AL145" i="2484" s="1"/>
  <c r="AM145" i="2484" s="1"/>
  <c r="AN145" i="2484" s="1"/>
  <c r="AO145" i="2484" s="1"/>
  <c r="AP145" i="2484" s="1"/>
  <c r="AQ145" i="2484" s="1"/>
  <c r="AR145" i="2484" s="1"/>
  <c r="F145" i="2319"/>
  <c r="G145" i="2319" s="1"/>
  <c r="H145" i="2319" s="1"/>
  <c r="I145" i="2319" s="1"/>
  <c r="J145" i="2319" s="1"/>
  <c r="K145" i="2319" s="1"/>
  <c r="L145" i="2319" s="1"/>
  <c r="M145" i="2319" s="1"/>
  <c r="N145" i="2319" s="1"/>
  <c r="O145" i="2319" s="1"/>
  <c r="P145" i="2319" s="1"/>
  <c r="Q145" i="2319" s="1"/>
  <c r="R145" i="2319" s="1"/>
  <c r="S145" i="2319" s="1"/>
  <c r="T145" i="2319" s="1"/>
  <c r="U145" i="2319" s="1"/>
  <c r="V145" i="2319" s="1"/>
  <c r="W145" i="2319" s="1"/>
  <c r="X145" i="2319" s="1"/>
  <c r="Y145" i="2319" s="1"/>
  <c r="Z145" i="2319" s="1"/>
  <c r="AA145" i="2319" s="1"/>
  <c r="AB145" i="2319" s="1"/>
  <c r="AC145" i="2319" s="1"/>
  <c r="AD145" i="2319" s="1"/>
  <c r="AE145" i="2319" s="1"/>
  <c r="AF145" i="2319" s="1"/>
  <c r="AG145" i="2319" s="1"/>
  <c r="AH145" i="2319" s="1"/>
  <c r="AI145" i="2319" s="1"/>
  <c r="AJ145" i="2319" s="1"/>
  <c r="AK145" i="2319" s="1"/>
  <c r="AL145" i="2319" s="1"/>
  <c r="AM145" i="2319" s="1"/>
  <c r="AN145" i="2319" s="1"/>
  <c r="AO145" i="2319" s="1"/>
  <c r="AP145" i="2319" s="1"/>
  <c r="AQ145" i="2319" s="1"/>
  <c r="AR145" i="2319" s="1"/>
  <c r="C6" i="2483"/>
  <c r="E145" i="2483"/>
  <c r="F146" i="2483"/>
  <c r="J146" i="2483"/>
  <c r="I146" i="2483"/>
  <c r="R146" i="2483"/>
  <c r="L146" i="2483"/>
  <c r="H146" i="2483"/>
  <c r="G146" i="2483"/>
  <c r="N146" i="2483"/>
  <c r="S146" i="2483"/>
  <c r="P146" i="2483"/>
  <c r="M146" i="2483"/>
  <c r="K146" i="2483"/>
  <c r="E146" i="2483"/>
  <c r="O146" i="2483"/>
  <c r="Q146" i="2483"/>
  <c r="C6" i="2480"/>
  <c r="E145" i="2480"/>
  <c r="N146" i="2480"/>
  <c r="L146" i="2480"/>
  <c r="S146" i="2480"/>
  <c r="G146" i="2480"/>
  <c r="E146" i="2480"/>
  <c r="K146" i="2480"/>
  <c r="M146" i="2480"/>
  <c r="F146" i="2480"/>
  <c r="J146" i="2480"/>
  <c r="O146" i="2480"/>
  <c r="P146" i="2480"/>
  <c r="R146" i="2480"/>
  <c r="H146" i="2480"/>
  <c r="I146" i="2480"/>
  <c r="Q146" i="2480"/>
  <c r="C6" i="2485"/>
  <c r="E145" i="2485"/>
  <c r="S146" i="2485"/>
  <c r="Q146" i="2485"/>
  <c r="G146" i="2485"/>
  <c r="L146" i="2485"/>
  <c r="J146" i="2485"/>
  <c r="K146" i="2485"/>
  <c r="I146" i="2485"/>
  <c r="F146" i="2485"/>
  <c r="O146" i="2485"/>
  <c r="N146" i="2485"/>
  <c r="P146" i="2485"/>
  <c r="H146" i="2485"/>
  <c r="M146" i="2485"/>
  <c r="E146" i="2485"/>
  <c r="R146" i="2485"/>
  <c r="C152" i="2484"/>
  <c r="C152" i="2481"/>
  <c r="F145" i="2481"/>
  <c r="G145" i="2481" s="1"/>
  <c r="H145" i="2481" s="1"/>
  <c r="I145" i="2481" s="1"/>
  <c r="J145" i="2481" s="1"/>
  <c r="K145" i="2481" s="1"/>
  <c r="L145" i="2481" s="1"/>
  <c r="M145" i="2481" s="1"/>
  <c r="N145" i="2481" s="1"/>
  <c r="O145" i="2481" s="1"/>
  <c r="P145" i="2481" s="1"/>
  <c r="Q145" i="2481" s="1"/>
  <c r="R145" i="2481" s="1"/>
  <c r="S145" i="2481" s="1"/>
  <c r="T145" i="2481" s="1"/>
  <c r="U145" i="2481" s="1"/>
  <c r="V145" i="2481" s="1"/>
  <c r="W145" i="2481" s="1"/>
  <c r="X145" i="2481" s="1"/>
  <c r="Y145" i="2481" s="1"/>
  <c r="Z145" i="2481" s="1"/>
  <c r="AA145" i="2481" s="1"/>
  <c r="AB145" i="2481" s="1"/>
  <c r="AC145" i="2481" s="1"/>
  <c r="AD145" i="2481" s="1"/>
  <c r="AE145" i="2481" s="1"/>
  <c r="AF145" i="2481" s="1"/>
  <c r="AG145" i="2481" s="1"/>
  <c r="AH145" i="2481" s="1"/>
  <c r="AI145" i="2481" s="1"/>
  <c r="AJ145" i="2481" s="1"/>
  <c r="AK145" i="2481" s="1"/>
  <c r="AL145" i="2481" s="1"/>
  <c r="AM145" i="2481" s="1"/>
  <c r="AN145" i="2481" s="1"/>
  <c r="AO145" i="2481" s="1"/>
  <c r="AP145" i="2481" s="1"/>
  <c r="AQ145" i="2481" s="1"/>
  <c r="AR145" i="2481" s="1"/>
  <c r="C6" i="2482"/>
  <c r="E145" i="2482"/>
  <c r="Q146" i="2482"/>
  <c r="E146" i="2482"/>
  <c r="P146" i="2482"/>
  <c r="K146" i="2482"/>
  <c r="G146" i="2482"/>
  <c r="F146" i="2482"/>
  <c r="L146" i="2482"/>
  <c r="J146" i="2482"/>
  <c r="R146" i="2482"/>
  <c r="O146" i="2482"/>
  <c r="M146" i="2482"/>
  <c r="N146" i="2482"/>
  <c r="H146" i="2482"/>
  <c r="I146" i="2482"/>
  <c r="S146" i="2482"/>
  <c r="C160" i="2484" l="1"/>
  <c r="C160" i="2319"/>
  <c r="C152" i="2482"/>
  <c r="C152" i="2485"/>
  <c r="C152" i="2480"/>
  <c r="F145" i="2482"/>
  <c r="G145" i="2482" s="1"/>
  <c r="H145" i="2482" s="1"/>
  <c r="I145" i="2482" s="1"/>
  <c r="J145" i="2482" s="1"/>
  <c r="K145" i="2482" s="1"/>
  <c r="L145" i="2482" s="1"/>
  <c r="M145" i="2482" s="1"/>
  <c r="N145" i="2482" s="1"/>
  <c r="O145" i="2482" s="1"/>
  <c r="P145" i="2482" s="1"/>
  <c r="Q145" i="2482" s="1"/>
  <c r="R145" i="2482" s="1"/>
  <c r="S145" i="2482" s="1"/>
  <c r="T145" i="2482" s="1"/>
  <c r="U145" i="2482" s="1"/>
  <c r="V145" i="2482" s="1"/>
  <c r="W145" i="2482" s="1"/>
  <c r="X145" i="2482" s="1"/>
  <c r="Y145" i="2482" s="1"/>
  <c r="Z145" i="2482" s="1"/>
  <c r="AA145" i="2482" s="1"/>
  <c r="AB145" i="2482" s="1"/>
  <c r="AC145" i="2482" s="1"/>
  <c r="AD145" i="2482" s="1"/>
  <c r="AE145" i="2482" s="1"/>
  <c r="AF145" i="2482" s="1"/>
  <c r="AG145" i="2482" s="1"/>
  <c r="AH145" i="2482" s="1"/>
  <c r="AI145" i="2482" s="1"/>
  <c r="AJ145" i="2482" s="1"/>
  <c r="AK145" i="2482" s="1"/>
  <c r="AL145" i="2482" s="1"/>
  <c r="AM145" i="2482" s="1"/>
  <c r="AN145" i="2482" s="1"/>
  <c r="AO145" i="2482" s="1"/>
  <c r="AP145" i="2482" s="1"/>
  <c r="AQ145" i="2482" s="1"/>
  <c r="AR145" i="2482" s="1"/>
  <c r="C160" i="2481"/>
  <c r="C152" i="2483"/>
  <c r="F145" i="2485"/>
  <c r="G145" i="2485" s="1"/>
  <c r="H145" i="2485" s="1"/>
  <c r="I145" i="2485" s="1"/>
  <c r="J145" i="2485" s="1"/>
  <c r="K145" i="2485" s="1"/>
  <c r="L145" i="2485" s="1"/>
  <c r="M145" i="2485" s="1"/>
  <c r="N145" i="2485" s="1"/>
  <c r="O145" i="2485" s="1"/>
  <c r="P145" i="2485" s="1"/>
  <c r="Q145" i="2485" s="1"/>
  <c r="R145" i="2485" s="1"/>
  <c r="S145" i="2485" s="1"/>
  <c r="T145" i="2485" s="1"/>
  <c r="U145" i="2485" s="1"/>
  <c r="V145" i="2485" s="1"/>
  <c r="W145" i="2485" s="1"/>
  <c r="X145" i="2485" s="1"/>
  <c r="Y145" i="2485" s="1"/>
  <c r="Z145" i="2485" s="1"/>
  <c r="AA145" i="2485" s="1"/>
  <c r="AB145" i="2485" s="1"/>
  <c r="AC145" i="2485" s="1"/>
  <c r="AD145" i="2485" s="1"/>
  <c r="AE145" i="2485" s="1"/>
  <c r="AF145" i="2485" s="1"/>
  <c r="AG145" i="2485" s="1"/>
  <c r="AH145" i="2485" s="1"/>
  <c r="AI145" i="2485" s="1"/>
  <c r="AJ145" i="2485" s="1"/>
  <c r="AK145" i="2485" s="1"/>
  <c r="AL145" i="2485" s="1"/>
  <c r="AM145" i="2485" s="1"/>
  <c r="AN145" i="2485" s="1"/>
  <c r="AO145" i="2485" s="1"/>
  <c r="AP145" i="2485" s="1"/>
  <c r="AQ145" i="2485" s="1"/>
  <c r="AR145" i="2485" s="1"/>
  <c r="F145" i="2480"/>
  <c r="G145" i="2480" s="1"/>
  <c r="H145" i="2480" s="1"/>
  <c r="I145" i="2480" s="1"/>
  <c r="J145" i="2480" s="1"/>
  <c r="K145" i="2480" s="1"/>
  <c r="L145" i="2480" s="1"/>
  <c r="M145" i="2480" s="1"/>
  <c r="N145" i="2480" s="1"/>
  <c r="O145" i="2480" s="1"/>
  <c r="P145" i="2480" s="1"/>
  <c r="Q145" i="2480" s="1"/>
  <c r="R145" i="2480" s="1"/>
  <c r="S145" i="2480" s="1"/>
  <c r="T145" i="2480" s="1"/>
  <c r="U145" i="2480" s="1"/>
  <c r="V145" i="2480" s="1"/>
  <c r="W145" i="2480" s="1"/>
  <c r="X145" i="2480" s="1"/>
  <c r="Y145" i="2480" s="1"/>
  <c r="Z145" i="2480" s="1"/>
  <c r="AA145" i="2480" s="1"/>
  <c r="AB145" i="2480" s="1"/>
  <c r="AC145" i="2480" s="1"/>
  <c r="AD145" i="2480" s="1"/>
  <c r="AE145" i="2480" s="1"/>
  <c r="AF145" i="2480" s="1"/>
  <c r="AG145" i="2480" s="1"/>
  <c r="AH145" i="2480" s="1"/>
  <c r="AI145" i="2480" s="1"/>
  <c r="AJ145" i="2480" s="1"/>
  <c r="AK145" i="2480" s="1"/>
  <c r="AL145" i="2480" s="1"/>
  <c r="AM145" i="2480" s="1"/>
  <c r="AN145" i="2480" s="1"/>
  <c r="AO145" i="2480" s="1"/>
  <c r="AP145" i="2480" s="1"/>
  <c r="AQ145" i="2480" s="1"/>
  <c r="AR145" i="2480" s="1"/>
  <c r="F145" i="2483"/>
  <c r="G145" i="2483" s="1"/>
  <c r="H145" i="2483" s="1"/>
  <c r="I145" i="2483" s="1"/>
  <c r="J145" i="2483" s="1"/>
  <c r="K145" i="2483" s="1"/>
  <c r="L145" i="2483" s="1"/>
  <c r="M145" i="2483" s="1"/>
  <c r="N145" i="2483" s="1"/>
  <c r="O145" i="2483" s="1"/>
  <c r="P145" i="2483" s="1"/>
  <c r="Q145" i="2483" s="1"/>
  <c r="R145" i="2483" s="1"/>
  <c r="S145" i="2483" s="1"/>
  <c r="T145" i="2483" s="1"/>
  <c r="U145" i="2483" s="1"/>
  <c r="V145" i="2483" s="1"/>
  <c r="W145" i="2483" s="1"/>
  <c r="X145" i="2483" s="1"/>
  <c r="Y145" i="2483" s="1"/>
  <c r="Z145" i="2483" s="1"/>
  <c r="AA145" i="2483" s="1"/>
  <c r="AB145" i="2483" s="1"/>
  <c r="AC145" i="2483" s="1"/>
  <c r="AD145" i="2483" s="1"/>
  <c r="AE145" i="2483" s="1"/>
  <c r="AF145" i="2483" s="1"/>
  <c r="AG145" i="2483" s="1"/>
  <c r="AH145" i="2483" s="1"/>
  <c r="AI145" i="2483" s="1"/>
  <c r="AJ145" i="2483" s="1"/>
  <c r="AK145" i="2483" s="1"/>
  <c r="AL145" i="2483" s="1"/>
  <c r="AM145" i="2483" s="1"/>
  <c r="AN145" i="2483" s="1"/>
  <c r="AO145" i="2483" s="1"/>
  <c r="AP145" i="2483" s="1"/>
  <c r="AQ145" i="2483" s="1"/>
  <c r="AR145" i="2483" s="1"/>
  <c r="C160" i="2483" l="1"/>
  <c r="C160" i="2482"/>
  <c r="C160" i="2480"/>
  <c r="C160" i="2485"/>
</calcChain>
</file>

<file path=xl/sharedStrings.xml><?xml version="1.0" encoding="utf-8"?>
<sst xmlns="http://schemas.openxmlformats.org/spreadsheetml/2006/main" count="2130" uniqueCount="278">
  <si>
    <t>Berekening basisbedragen</t>
  </si>
  <si>
    <t>Auteur</t>
  </si>
  <si>
    <t>OT-model Sander Lensink, Chris Henriquez, Matthijs Mugge, Janneke Blok</t>
  </si>
  <si>
    <t>Datum</t>
  </si>
  <si>
    <t>Versie</t>
  </si>
  <si>
    <t>Verantwoording</t>
  </si>
  <si>
    <t>Contactinformatie voor deze rekensheet: sde@pbl.nl.</t>
  </si>
  <si>
    <t>Kleurcodering bij gebruik OT-model</t>
  </si>
  <si>
    <t>Tabelkop</t>
  </si>
  <si>
    <t>Tabelinhoud</t>
  </si>
  <si>
    <t>Resultaat</t>
  </si>
  <si>
    <t>Berekening</t>
  </si>
  <si>
    <t>Vaste of generieke waarde</t>
  </si>
  <si>
    <t>Invulveld</t>
  </si>
  <si>
    <t>Instellingen</t>
  </si>
  <si>
    <t>Jaar</t>
  </si>
  <si>
    <t>SDE++ of SCE</t>
  </si>
  <si>
    <t>Aantal decimalen in rapportage</t>
  </si>
  <si>
    <t>Domein</t>
  </si>
  <si>
    <t>Plafond [Euro/t CO2]</t>
  </si>
  <si>
    <t>CCS/CCU</t>
  </si>
  <si>
    <t>Elektriciteit</t>
  </si>
  <si>
    <t>Hogetemperatuurwarmte</t>
  </si>
  <si>
    <t>Lagetemperatuurwarmte</t>
  </si>
  <si>
    <t>Moleculen</t>
  </si>
  <si>
    <t>Generiek</t>
  </si>
  <si>
    <t>Parameter</t>
  </si>
  <si>
    <t>Subsidie-intensiteit</t>
  </si>
  <si>
    <t>Basisbedrag</t>
  </si>
  <si>
    <t>Bodemprijs of basisprijs</t>
  </si>
  <si>
    <t>Voorlopige waarde ETS-correctie</t>
  </si>
  <si>
    <t>Toelichting</t>
  </si>
  <si>
    <t>Categorie</t>
  </si>
  <si>
    <t>Langetermijnprijs</t>
  </si>
  <si>
    <t>Productie-eenheid</t>
  </si>
  <si>
    <t>kWh</t>
  </si>
  <si>
    <t>Vermogenseenheid</t>
  </si>
  <si>
    <t>Waarde</t>
  </si>
  <si>
    <t>Berekeningswijze correctiebedrag methode-ID</t>
  </si>
  <si>
    <t>Berekeningswijze ETS-correctie-ID</t>
  </si>
  <si>
    <t>Geen warmte</t>
  </si>
  <si>
    <t>Berekeningswijze correctiebedrag methode-ID netlevering</t>
  </si>
  <si>
    <t>Berekeningswijze correctiebedrag methode-ID niet-netlevering</t>
  </si>
  <si>
    <t>Netlevering deel</t>
  </si>
  <si>
    <t>Niet-netlevering deel</t>
  </si>
  <si>
    <t>Inputvermogen</t>
  </si>
  <si>
    <t>Seasonal Performance Factor (SPF)</t>
  </si>
  <si>
    <t>Gaat het om een installatie voor hernieuwbaar gas?</t>
  </si>
  <si>
    <t>Outputvermogen (thermisch of hernieuwbaar gas)</t>
  </si>
  <si>
    <t>Outputvermogen (elektrisch of overig)</t>
  </si>
  <si>
    <t>Vollasturen levering (thermisch of hernieuwbaar gas)</t>
  </si>
  <si>
    <t>Vollasturen levering  (elektrisch of overig)</t>
  </si>
  <si>
    <t>Max. elektrisch rendement</t>
  </si>
  <si>
    <t>Elektrisch rendement</t>
  </si>
  <si>
    <t>Thermisch rendement of rendement gasproductie</t>
  </si>
  <si>
    <t>Elektriciteitsderving bij warmtelevering</t>
  </si>
  <si>
    <t>KOSTEN</t>
  </si>
  <si>
    <t>Totale investeringskosten</t>
  </si>
  <si>
    <t>Totale jaarlijkse vaste operationele kosten</t>
  </si>
  <si>
    <t xml:space="preserve">    Overige variabele operationele kosten</t>
  </si>
  <si>
    <t>ENERGIEGEBRUIK</t>
  </si>
  <si>
    <t>Energie-inhoud brandstof</t>
  </si>
  <si>
    <t>Biomassadoorzet</t>
  </si>
  <si>
    <t>Netto brandstofprijs</t>
  </si>
  <si>
    <t xml:space="preserve">Relatief elektriciteitsgebruik </t>
  </si>
  <si>
    <t>Elektriciteitsgebruik</t>
  </si>
  <si>
    <t>Relatief warmtegebruik</t>
  </si>
  <si>
    <t xml:space="preserve">Warmtegebruik </t>
  </si>
  <si>
    <t>Relatief aardgasgebruik</t>
  </si>
  <si>
    <t>Aardgasgebruik</t>
  </si>
  <si>
    <t>EMISSIEFACTOREN</t>
  </si>
  <si>
    <t>Emissiefactor van warmteproductie per eenheid</t>
  </si>
  <si>
    <t>Emissiefactor van elektriciteitsproductie of overig per eenheid</t>
  </si>
  <si>
    <t>Emissiefactor van gasproductie per eenheid</t>
  </si>
  <si>
    <t>Emissiefactor gebruik van biomassa</t>
  </si>
  <si>
    <t>Emissiefactor gebruik van warmte</t>
  </si>
  <si>
    <t>Emissiefactor gebruik van elektriciteit</t>
  </si>
  <si>
    <t>Emissiefactor gebruik van gas</t>
  </si>
  <si>
    <t>TERMIJNEN</t>
  </si>
  <si>
    <t>Economische levensduur</t>
  </si>
  <si>
    <t>Termijn lening</t>
  </si>
  <si>
    <t xml:space="preserve">Afschrijvingstermijn </t>
  </si>
  <si>
    <t>Beleidsperiode</t>
  </si>
  <si>
    <t>PARAMETERS NA SUBSIDIEPERIODE</t>
  </si>
  <si>
    <t>Elektriciteitsprijs na subsidieperiode</t>
  </si>
  <si>
    <t>Vollasturen na subsidieperiode elektriciteit of overige</t>
  </si>
  <si>
    <t>Prijs warmte of hernieuwbaar gas na subsidieperiode</t>
  </si>
  <si>
    <t>Vollasturen na subsidieperiode warmte of hernieuwbaar gas</t>
  </si>
  <si>
    <t>Inflatie</t>
  </si>
  <si>
    <t>Rendement op vreemd vermogen</t>
  </si>
  <si>
    <t>Rendement op eigen vermogen</t>
  </si>
  <si>
    <t>Percentage vreemd vermogen in investering</t>
  </si>
  <si>
    <t>Percentage eigen vermogen in investering</t>
  </si>
  <si>
    <t>Vennootschapsbelasting</t>
  </si>
  <si>
    <t>INVESTERINGSSUBSIDIES</t>
  </si>
  <si>
    <t>Investeringssubsidie t.g.v. vreemd vermogen</t>
  </si>
  <si>
    <t>Investeringssubsidie t.g.v. eigen vermogen (NCW)</t>
  </si>
  <si>
    <t>ONREGELMATIGE CASHFLOWS</t>
  </si>
  <si>
    <t>Afsluitprovisie als percentage van lening</t>
  </si>
  <si>
    <t>Berekeningswijzen productprijzen</t>
  </si>
  <si>
    <t>Methode-ID</t>
  </si>
  <si>
    <t>Omschrijving</t>
  </si>
  <si>
    <t>Formule</t>
  </si>
  <si>
    <t>EPEX2</t>
  </si>
  <si>
    <t>LT_e</t>
  </si>
  <si>
    <t>Berekeningswijzen overige correcties: GvO</t>
  </si>
  <si>
    <t>Type bate</t>
  </si>
  <si>
    <t>Berekeningswijze</t>
  </si>
  <si>
    <t>GvO</t>
  </si>
  <si>
    <t>GVO_e</t>
  </si>
  <si>
    <t>Gelijk aan de meest recente waarde</t>
  </si>
  <si>
    <t>Berekeningswijzen overige correcties: HBE</t>
  </si>
  <si>
    <t>Berekeningswijzen overige correcties: ETS</t>
  </si>
  <si>
    <t>ETS-correctie-ID</t>
  </si>
  <si>
    <t>Eenheid</t>
  </si>
  <si>
    <t>Geen ETS-correctie</t>
  </si>
  <si>
    <t>Parameterwaardes</t>
  </si>
  <si>
    <t>Recent</t>
  </si>
  <si>
    <t>Berekeningswijze1</t>
  </si>
  <si>
    <t>Lange termijn</t>
  </si>
  <si>
    <t>€/kWh</t>
  </si>
  <si>
    <t>Elektriciteitsprijs (negatieve uren niet meegenomen)</t>
  </si>
  <si>
    <t>Langetermijnelektriciteitsprijs</t>
  </si>
  <si>
    <t>Warmtekrachtverhouding</t>
  </si>
  <si>
    <t>BASISBEDRAG en SUBSIDIE-INTENSITEIT</t>
  </si>
  <si>
    <t>Het basisbedrag is een maat voor de productiekosten. Deze waarde kan berekend worden als alleen deze worksheet geopend is.</t>
  </si>
  <si>
    <t>Euro/t CO2</t>
  </si>
  <si>
    <t>De subsidie-intensiteit is de maat die in de rangschikking gebruikt wordt. Om deze waarde te berekenen dient ook de worksheet 'Correcties' geopend te zijn.</t>
  </si>
  <si>
    <t>De SDE++ kent twee rekeneenheden waarover subsidie kan worden uitgekeerd: kWh voor energiecategorieën en t CO2 voor CCS- en CCU-categorieën.</t>
  </si>
  <si>
    <t>Het corresponderende domein bij deze categorie geeft aan binnen welk 'hekje' de subsidiecategorie valt.</t>
  </si>
  <si>
    <t>CORRECTIEMETHODES</t>
  </si>
  <si>
    <t>Typering</t>
  </si>
  <si>
    <t>ETS-voordeel bij merendeel van projecten?</t>
  </si>
  <si>
    <t>Ja of Nee</t>
  </si>
  <si>
    <t>Alleen van belang voor warmteprojecten. Deze parameter werkt door op de langetermijnprijs en subsidie-intensiteit.</t>
  </si>
  <si>
    <t>Enkel relevant voor zon-pv. Aandeel van de productie dat aan het net wordt geleverd.</t>
  </si>
  <si>
    <t>Enkel relevant voor zon-pv. Aandeel eigen gebruik.</t>
  </si>
  <si>
    <t>SYSTEEMGROOTTE</t>
  </si>
  <si>
    <t>Hier wordt de seizoensgemiddelde COP, of Seasonal performance factor, mee bedoeld voor het hele systeem.</t>
  </si>
  <si>
    <t>Alleen 'Ja' invullen als de installatie gas van aardgaskwaliteit produceert.</t>
  </si>
  <si>
    <t xml:space="preserve">    Methaangehalte hernieuwbaar gas voor gaszuivering</t>
  </si>
  <si>
    <t>Het percentage methaan in het biogas, dat nog niet tot aardgaskwaliteit is opgewaardeerd.</t>
  </si>
  <si>
    <t xml:space="preserve">    Vermogen hernieuwbaargasproductie (voor zuivering)</t>
  </si>
  <si>
    <t>Nm3/uur</t>
  </si>
  <si>
    <t>Dit veld alleen invullen bij productie van warmte (al dan niet in WKK-variant) of hernieuwbaar gas van aardgaskwaleit</t>
  </si>
  <si>
    <t xml:space="preserve">    Outputvermogen (hernieuwbaar gas)</t>
  </si>
  <si>
    <t>Dit veld invullen als de installatie elektriciteit produceert (al dan niet in WKK-variant), of iets anders dan warmte of gas van aardgaskwaliteit produceert.</t>
  </si>
  <si>
    <t>uur/jaar</t>
  </si>
  <si>
    <t>Bij een installatie voor gecombineerde opwekking, wordt de bedrijfstijd automatisch genomen als maximum van de vollasturen warmte en vollasturen elektriciteit.</t>
  </si>
  <si>
    <t>ENERGETISCH RENDEMENT</t>
  </si>
  <si>
    <t>elektriciteit : warmte</t>
  </si>
  <si>
    <t>Enkel invullen als de installatie een WKK-installatie is waarbij warmtelevering ten koste gaat van de elektriciteitsproductie.</t>
  </si>
  <si>
    <t xml:space="preserve">    Investeringskosten input gebaseerd</t>
  </si>
  <si>
    <t>De investeringskosten 'input gebaseerd' worden opgeteld bij de investeringskosten 'output gebaseerd'. Pas op voor onbedoelde dubbeltelling.</t>
  </si>
  <si>
    <t xml:space="preserve">    Investeringskosten output gebaseerd</t>
  </si>
  <si>
    <t>Euro (miljoen)</t>
  </si>
  <si>
    <t xml:space="preserve">    Vaste operationele kosten input gebaseerd</t>
  </si>
  <si>
    <t>De operationele kosten 'input gebaseerd' worden opgeteld bij de investeringskosten 'output gebaseerd'. Pas op voor onbedoelde dubbeltelling.</t>
  </si>
  <si>
    <t xml:space="preserve">    Vaste operationele kosten output gebaseerd</t>
  </si>
  <si>
    <t>Euro (duizend)</t>
  </si>
  <si>
    <t>Deze waarde wordt ter illustratie getoond.</t>
  </si>
  <si>
    <t xml:space="preserve">    Kosten elektriciteitsverbruik</t>
  </si>
  <si>
    <t xml:space="preserve">    Kosten gasverbruik</t>
  </si>
  <si>
    <t xml:space="preserve">    Kosten warmteverbruik</t>
  </si>
  <si>
    <t>Totale variabele operationele kosten</t>
  </si>
  <si>
    <t>GJ/ton</t>
  </si>
  <si>
    <t>ton/jaar</t>
  </si>
  <si>
    <t>Euro/ton</t>
  </si>
  <si>
    <t>Hier wordt de brandstofprijs aan de poort bedoeld, inclusief eventuele risico-opslag.</t>
  </si>
  <si>
    <t>MWh/jaar</t>
  </si>
  <si>
    <t>kg CO2/ton</t>
  </si>
  <si>
    <t>De waarde die hier getoond wordt, is afhankelijk aan de uitgangspunten in de adviesvraag.</t>
  </si>
  <si>
    <t>kg CO2/kWh</t>
  </si>
  <si>
    <t>Vermeden emissies</t>
  </si>
  <si>
    <t>jaar</t>
  </si>
  <si>
    <t>Deze waarde wordt gebruikt om eventuele inkomsten van het project na subsidieperiode te berekenen.</t>
  </si>
  <si>
    <t>Totale operationale periode</t>
  </si>
  <si>
    <t>Deze waarde wordt gebruikt om de vermeden emissies gedurende de hele operationele periode van de installatie te berekenen.</t>
  </si>
  <si>
    <t>Euro/kWh</t>
  </si>
  <si>
    <t>Totaal geproduceerde eenheden subsidieperiode</t>
  </si>
  <si>
    <t>Totale geproduceerde eenheden bedrijfsperiode</t>
  </si>
  <si>
    <t>Verrekeningsfactor bespaarde emissies</t>
  </si>
  <si>
    <t>FINANCIËLE PARAMETERS</t>
  </si>
  <si>
    <t>Euro</t>
  </si>
  <si>
    <t>Voer in cel kolom C het jaar in waarin de onregelmatige cashflow plaatsvindt en in kolom D97 de reële kosten (als negatieve waarde) in dat specifieke jaar.</t>
  </si>
  <si>
    <t>Deze afsluitprovisie wordt verrekend in de totale investeringskosten en is gedefinieerd als percentage van de lening.</t>
  </si>
  <si>
    <t>SUBSIDIE-INKOMSTEN (niet invullen voor basisbedragberekening)</t>
  </si>
  <si>
    <t>Basisbedrag (deze cellen kunnen gebruikt worden om de inkomsten toe te voegen)</t>
  </si>
  <si>
    <t>Correctiebedrag (deze cellen kunnen gebruikt worden om de inkomsten toe te voegen)</t>
  </si>
  <si>
    <t>Inflator</t>
  </si>
  <si>
    <t>index</t>
  </si>
  <si>
    <t>Tabel: Nominale kasstroom (positieve bedragen = gunstig voor de producent)</t>
  </si>
  <si>
    <t>INITIELE INVESTERING</t>
  </si>
  <si>
    <t>Investering</t>
  </si>
  <si>
    <t>AFZET</t>
  </si>
  <si>
    <t>Afzet elektriciteit of overige</t>
  </si>
  <si>
    <t>Afzet warmte</t>
  </si>
  <si>
    <t>Afzet hernieuwbaar gas</t>
  </si>
  <si>
    <t>kWh (HHV)</t>
  </si>
  <si>
    <t>Afzet</t>
  </si>
  <si>
    <t>KOSTEN EN INKOMSTEN</t>
  </si>
  <si>
    <t>Operationele kosten</t>
  </si>
  <si>
    <t>Brandstofkosten (biomassa)</t>
  </si>
  <si>
    <t>Marktwaarde elektriciteit na einde beleidsperiode</t>
  </si>
  <si>
    <t>Marktwaarde warmte of hernieuwbaar gas na einde beleidsperiode</t>
  </si>
  <si>
    <t>Correctiebedrag</t>
  </si>
  <si>
    <t>SDE-vergoeding</t>
  </si>
  <si>
    <t>Marktinkomsten na einde beleidsperiode</t>
  </si>
  <si>
    <t>Marktinkomsten gedurende beleidsperiode</t>
  </si>
  <si>
    <t>TOTALE KOSTEN EN INKOMSTEN</t>
  </si>
  <si>
    <t>Inkomen totaal (nominaal)</t>
  </si>
  <si>
    <t>Kosten totaal (nominaal)</t>
  </si>
  <si>
    <t>Bruto inkomen (nominaal)</t>
  </si>
  <si>
    <t>AFSCHRIJVING EN SCHULDEN</t>
  </si>
  <si>
    <t>Afschrijving</t>
  </si>
  <si>
    <t>Rente</t>
  </si>
  <si>
    <t>Aflossing</t>
  </si>
  <si>
    <t>Totale lasten lening</t>
  </si>
  <si>
    <t>BELASTING</t>
  </si>
  <si>
    <t>Belastbaar inkomen</t>
  </si>
  <si>
    <t>Belasting bedrag</t>
  </si>
  <si>
    <t>CASHFLOWS</t>
  </si>
  <si>
    <t>Netto inkomen na belasting</t>
  </si>
  <si>
    <t>Project cashflow</t>
  </si>
  <si>
    <t>Equity cashflow</t>
  </si>
  <si>
    <t>Subsidiebasis: afzet</t>
  </si>
  <si>
    <t>Terug te verdienen investering</t>
  </si>
  <si>
    <t>DSCR</t>
  </si>
  <si>
    <t>PROJECTPARAMETERS</t>
  </si>
  <si>
    <t>Verdisconteerde inkomsten</t>
  </si>
  <si>
    <t>euro</t>
  </si>
  <si>
    <t>Verdisconteerde afzet</t>
  </si>
  <si>
    <t>Totale investering</t>
  </si>
  <si>
    <t>DSCR (gemiddeld)</t>
  </si>
  <si>
    <t>Vermogenskostenvergoeding (WACC nominaal/reëel)</t>
  </si>
  <si>
    <t>Projectrendement (IRR)</t>
  </si>
  <si>
    <t>Rendement op eigen vermogen (IRR)</t>
  </si>
  <si>
    <t>Aandeel lening</t>
  </si>
  <si>
    <t>Aandeel eigen vermogen</t>
  </si>
  <si>
    <t>W:E</t>
  </si>
  <si>
    <t>Samengesteld aantal vollasturen</t>
  </si>
  <si>
    <t>Terugverdientijd (inclusief SDE++-subsidie)</t>
  </si>
  <si>
    <t>SUBSIDIEPARAMETERS</t>
  </si>
  <si>
    <t>Langetermijnwaarde ETS-correctie</t>
  </si>
  <si>
    <t>CONVERSIEFACTOREN</t>
  </si>
  <si>
    <t>Verbrandingswaarde methaan (onderwaarde)</t>
  </si>
  <si>
    <t>MJ/Nm3</t>
  </si>
  <si>
    <t>Verbrandingswaarde hernieuwbaar gas (onderwaarde)</t>
  </si>
  <si>
    <t>Verbrandingswaarde hernieuwbaar gas (bovenwaarde)</t>
  </si>
  <si>
    <t>kWh naar MJ</t>
  </si>
  <si>
    <t>MJ/kWh</t>
  </si>
  <si>
    <t>Deze prijs is inclusief de profielfactor.</t>
  </si>
  <si>
    <t>TOWOZ 2026</t>
  </si>
  <si>
    <t>X</t>
  </si>
  <si>
    <t>Elektriciteiit-WOZ (vanaf 2025)</t>
  </si>
  <si>
    <t>EPEX2 x PF_WOZ</t>
  </si>
  <si>
    <t>LT_e x LT_PF_WOZ</t>
  </si>
  <si>
    <t>2/3 x LT_e x LT_PF_WOZ</t>
  </si>
  <si>
    <t>PF_WOZ</t>
  </si>
  <si>
    <t>Profielfactor wind op zee</t>
  </si>
  <si>
    <t>LT_PF_WOZ</t>
  </si>
  <si>
    <t>Langetermijnprofielfactor wind op zee</t>
  </si>
  <si>
    <t>Gemiddelde 2025-2039 (KEV2025)</t>
  </si>
  <si>
    <t>Elektriciteit-WOZ</t>
  </si>
  <si>
    <t>Definitief correctiebedrag 2024</t>
  </si>
  <si>
    <t>Definitieve correcties 2024</t>
  </si>
  <si>
    <t>TOWOZ</t>
  </si>
  <si>
    <t>EPEX-NL 1-1-24 t/, 31-12-24</t>
  </si>
  <si>
    <t>IJmuiden-Ver alpha (modelberekening)</t>
  </si>
  <si>
    <t>IJmuiden-Ver beta (modelberekening)</t>
  </si>
  <si>
    <t>IJmuiden-Ver gamma (lot a)</t>
  </si>
  <si>
    <t>IJmuiden-Ver gamma (lot b)</t>
  </si>
  <si>
    <t>Nederwiek 1 (lot A)</t>
  </si>
  <si>
    <t>Nederwiek 1 (lot B)</t>
  </si>
  <si>
    <t>Nederwiek 2</t>
  </si>
  <si>
    <t>both imbalance costs and base price risk premium</t>
  </si>
  <si>
    <t>Advies TOWOZ 2026</t>
  </si>
  <si>
    <t>Inclusief ca. 11% cumulatieve inflatie t.o.v. constante prijzen 2025 uit advies. Inclusief 5% bouwrente.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</si>
</sst>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3" formatCode="_ * #,##0.00_ ;_ * \-#,##0.00_ ;_ * &quot;-&quot;??_ ;_ @_ "/>
    <numFmt numFmtId="164" formatCode="0.0000"/>
    <numFmt numFmtId="165" formatCode="0.00;\-0.00;&quot;-&quot;"/>
    <numFmt numFmtId="166" formatCode="0.0"/>
    <numFmt numFmtId="167" formatCode="0.000"/>
    <numFmt numFmtId="168" formatCode="0.0%"/>
    <numFmt numFmtId="169" formatCode="0;\-0;&quot;-&quot;"/>
    <numFmt numFmtId="170" formatCode="0%;\-0%;&quot;n.v.t.&quot;"/>
    <numFmt numFmtId="171" formatCode="#,###,###,###,###;\-#,###,###,###,###;&quot;-&quot;"/>
    <numFmt numFmtId="172" formatCode="0.0000;\-0.0000;&quot;-&quot;"/>
    <numFmt numFmtId="173" formatCode="#,##0.000_ ;\-#,##0.000;&quot;-&quot;"/>
    <numFmt numFmtId="174" formatCode="_(* #,##0_);_(* \(#,##0\);_(* &quot;-&quot;??_);_(@_)"/>
    <numFmt numFmtId="175" formatCode="#,##0_ ;\-#,##0\ "/>
    <numFmt numFmtId="176" formatCode="_-* #,##0.00_-;_-* #,##0.00\-;_-* &quot;-&quot;??_-;_-@_-"/>
    <numFmt numFmtId="177" formatCode="[$-413]d\ mmmm\ yyyy;@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1"/>
      <color rgb="FF3F3F76"/>
      <name val="Calibri"/>
      <family val="2"/>
      <scheme val="minor"/>
    </font>
    <font>
      <sz val="10"/>
      <color theme="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0"/>
      <name val="Arial"/>
      <family val="2"/>
    </font>
    <font>
      <b/>
      <sz val="13"/>
      <color theme="0"/>
      <name val="Arial"/>
      <family val="2"/>
    </font>
    <font>
      <sz val="20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sz val="14"/>
      <name val="Arial"/>
      <family val="2"/>
    </font>
    <font>
      <sz val="16"/>
      <name val="Arial"/>
      <family val="2"/>
    </font>
    <font>
      <b/>
      <sz val="10"/>
      <color rgb="FFFFFF00"/>
      <name val="Arial"/>
      <family val="2"/>
    </font>
    <font>
      <i/>
      <sz val="10"/>
      <name val="Arial"/>
      <family val="2"/>
    </font>
    <font>
      <i/>
      <sz val="10"/>
      <color rgb="FFFF0000"/>
      <name val="Arial"/>
      <family val="2"/>
    </font>
    <font>
      <sz val="10"/>
      <color rgb="FFFF0000"/>
      <name val="Arial"/>
      <family val="2"/>
    </font>
    <font>
      <sz val="10"/>
      <color indexed="10"/>
      <name val="Arial"/>
      <family val="2"/>
    </font>
    <font>
      <b/>
      <sz val="11"/>
      <color theme="0"/>
      <name val="Arial"/>
      <family val="2"/>
    </font>
    <font>
      <b/>
      <sz val="12"/>
      <color theme="0"/>
      <name val="Arial"/>
      <family val="2"/>
    </font>
    <font>
      <sz val="11"/>
      <color theme="0"/>
      <name val="Arial"/>
      <family val="2"/>
    </font>
    <font>
      <sz val="12"/>
      <color theme="0"/>
      <name val="Arial"/>
      <family val="2"/>
    </font>
    <font>
      <sz val="11"/>
      <color theme="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CC99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D8E6C5"/>
        <bgColor indexed="64"/>
      </patternFill>
    </fill>
    <fill>
      <patternFill patternType="solid">
        <fgColor rgb="FF1A4222"/>
        <bgColor indexed="64"/>
      </patternFill>
    </fill>
    <fill>
      <patternFill patternType="solid">
        <fgColor rgb="FF006E9A"/>
        <bgColor indexed="64"/>
      </patternFill>
    </fill>
    <fill>
      <patternFill patternType="solid">
        <fgColor rgb="FFA5D1F2"/>
        <bgColor indexed="64"/>
      </patternFill>
    </fill>
    <fill>
      <patternFill patternType="solid">
        <fgColor rgb="FFF3D696"/>
        <bgColor indexed="64"/>
      </patternFill>
    </fill>
    <fill>
      <patternFill patternType="solid">
        <fgColor rgb="FFBFBFBF"/>
        <bgColor indexed="64"/>
      </patternFill>
    </fill>
  </fills>
  <borders count="29">
    <border>
      <left/>
      <right/>
      <top/>
      <bottom/>
      <diagonal/>
    </border>
    <border>
      <left/>
      <right style="thin">
        <color theme="0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theme="0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theme="0"/>
      </top>
      <bottom style="thin">
        <color theme="0"/>
      </bottom>
      <diagonal/>
    </border>
    <border>
      <left/>
      <right style="medium">
        <color indexed="64"/>
      </right>
      <top/>
      <bottom style="thin">
        <color rgb="FFCCCCCC"/>
      </bottom>
      <diagonal/>
    </border>
    <border>
      <left/>
      <right style="medium">
        <color indexed="64"/>
      </right>
      <top style="thin">
        <color rgb="FFCCCCCC"/>
      </top>
      <bottom style="thin">
        <color rgb="FFCCCCCC"/>
      </bottom>
      <diagonal/>
    </border>
    <border>
      <left style="medium">
        <color indexed="64"/>
      </left>
      <right/>
      <top style="thin">
        <color theme="0"/>
      </top>
      <bottom style="medium">
        <color indexed="64"/>
      </bottom>
      <diagonal/>
    </border>
    <border>
      <left/>
      <right style="medium">
        <color indexed="64"/>
      </right>
      <top style="thin">
        <color rgb="FFCCCCCC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9">
    <xf numFmtId="0" fontId="0" fillId="0" borderId="0"/>
    <xf numFmtId="43" fontId="1" fillId="0" borderId="0"/>
    <xf numFmtId="9" fontId="1" fillId="0" borderId="0"/>
    <xf numFmtId="0" fontId="2" fillId="0" borderId="0"/>
    <xf numFmtId="9" fontId="2" fillId="0" borderId="0"/>
    <xf numFmtId="176" fontId="2" fillId="0" borderId="0"/>
    <xf numFmtId="0" fontId="2" fillId="0" borderId="0"/>
    <xf numFmtId="43" fontId="1" fillId="0" borderId="0"/>
    <xf numFmtId="0" fontId="7" fillId="3" borderId="8"/>
  </cellStyleXfs>
  <cellXfs count="282">
    <xf numFmtId="0" fontId="0" fillId="0" borderId="0" xfId="0"/>
    <xf numFmtId="0" fontId="3" fillId="0" borderId="0" xfId="3" applyFont="1" applyAlignment="1">
      <alignment vertical="center"/>
    </xf>
    <xf numFmtId="0" fontId="3" fillId="0" borderId="0" xfId="3" applyFont="1" applyAlignment="1">
      <alignment horizontal="left" vertical="center"/>
    </xf>
    <xf numFmtId="0" fontId="4" fillId="0" borderId="0" xfId="3" applyFont="1" applyAlignment="1">
      <alignment horizontal="left" vertical="center"/>
    </xf>
    <xf numFmtId="0" fontId="5" fillId="0" borderId="0" xfId="3" applyFont="1" applyAlignment="1">
      <alignment horizontal="left" vertical="center"/>
    </xf>
    <xf numFmtId="0" fontId="6" fillId="0" borderId="0" xfId="3" applyFont="1" applyAlignment="1">
      <alignment horizontal="left" vertical="center"/>
    </xf>
    <xf numFmtId="0" fontId="9" fillId="0" borderId="0" xfId="0" applyFont="1"/>
    <xf numFmtId="0" fontId="2" fillId="0" borderId="3" xfId="3" applyBorder="1"/>
    <xf numFmtId="0" fontId="2" fillId="0" borderId="5" xfId="3" applyBorder="1"/>
    <xf numFmtId="0" fontId="2" fillId="0" borderId="6" xfId="3" applyBorder="1"/>
    <xf numFmtId="0" fontId="2" fillId="0" borderId="7" xfId="3" applyBorder="1"/>
    <xf numFmtId="0" fontId="3" fillId="0" borderId="6" xfId="3" applyFont="1" applyBorder="1" applyAlignment="1">
      <alignment vertical="center"/>
    </xf>
    <xf numFmtId="0" fontId="3" fillId="0" borderId="7" xfId="3" applyFont="1" applyBorder="1" applyAlignment="1">
      <alignment vertical="center"/>
    </xf>
    <xf numFmtId="0" fontId="2" fillId="0" borderId="0" xfId="3" applyAlignment="1">
      <alignment horizontal="left" vertical="center"/>
    </xf>
    <xf numFmtId="0" fontId="2" fillId="4" borderId="2" xfId="3" applyFill="1" applyBorder="1" applyAlignment="1">
      <alignment horizontal="center"/>
    </xf>
    <xf numFmtId="0" fontId="2" fillId="4" borderId="15" xfId="3" applyFill="1" applyBorder="1" applyAlignment="1">
      <alignment horizontal="center"/>
    </xf>
    <xf numFmtId="0" fontId="15" fillId="0" borderId="0" xfId="3" applyFont="1"/>
    <xf numFmtId="0" fontId="2" fillId="0" borderId="0" xfId="3" applyAlignment="1">
      <alignment horizontal="center"/>
    </xf>
    <xf numFmtId="0" fontId="17" fillId="0" borderId="0" xfId="3" applyFont="1"/>
    <xf numFmtId="0" fontId="17" fillId="0" borderId="0" xfId="3" applyFont="1" applyAlignment="1">
      <alignment horizontal="center"/>
    </xf>
    <xf numFmtId="9" fontId="17" fillId="0" borderId="0" xfId="3" applyNumberFormat="1" applyFont="1"/>
    <xf numFmtId="0" fontId="20" fillId="2" borderId="0" xfId="3" applyFont="1" applyFill="1" applyAlignment="1">
      <alignment horizontal="left"/>
    </xf>
    <xf numFmtId="0" fontId="21" fillId="0" borderId="0" xfId="3" applyFont="1"/>
    <xf numFmtId="0" fontId="21" fillId="2" borderId="0" xfId="3" applyFont="1" applyFill="1" applyAlignment="1">
      <alignment horizontal="left"/>
    </xf>
    <xf numFmtId="2" fontId="22" fillId="0" borderId="0" xfId="3" applyNumberFormat="1" applyFont="1" applyAlignment="1">
      <alignment horizontal="center"/>
    </xf>
    <xf numFmtId="0" fontId="2" fillId="0" borderId="0" xfId="3" applyAlignment="1" applyProtection="1">
      <alignment horizontal="center"/>
      <protection locked="0"/>
    </xf>
    <xf numFmtId="13" fontId="2" fillId="0" borderId="0" xfId="4" applyNumberFormat="1" applyAlignment="1" applyProtection="1">
      <alignment horizontal="center"/>
      <protection locked="0"/>
    </xf>
    <xf numFmtId="0" fontId="2" fillId="4" borderId="0" xfId="4" applyNumberFormat="1" applyFill="1" applyAlignment="1" applyProtection="1">
      <alignment horizontal="center"/>
      <protection locked="0"/>
    </xf>
    <xf numFmtId="9" fontId="2" fillId="4" borderId="0" xfId="4" applyFill="1" applyAlignment="1" applyProtection="1">
      <alignment horizontal="center"/>
      <protection locked="0"/>
    </xf>
    <xf numFmtId="0" fontId="2" fillId="4" borderId="0" xfId="3" applyFill="1" applyAlignment="1">
      <alignment horizontal="right"/>
    </xf>
    <xf numFmtId="0" fontId="2" fillId="4" borderId="9" xfId="3" applyFill="1" applyBorder="1" applyAlignment="1">
      <alignment horizontal="right"/>
    </xf>
    <xf numFmtId="0" fontId="2" fillId="4" borderId="9" xfId="2" applyNumberFormat="1" applyFont="1" applyFill="1" applyBorder="1" applyAlignment="1" applyProtection="1">
      <alignment horizontal="center"/>
      <protection locked="0"/>
    </xf>
    <xf numFmtId="0" fontId="8" fillId="0" borderId="0" xfId="3" applyFont="1"/>
    <xf numFmtId="0" fontId="14" fillId="0" borderId="0" xfId="3" applyFont="1"/>
    <xf numFmtId="0" fontId="10" fillId="0" borderId="0" xfId="0" applyFont="1" applyAlignment="1">
      <alignment vertical="center"/>
    </xf>
    <xf numFmtId="9" fontId="2" fillId="0" borderId="0" xfId="3" applyNumberFormat="1"/>
    <xf numFmtId="1" fontId="2" fillId="0" borderId="0" xfId="3" applyNumberFormat="1" applyAlignment="1">
      <alignment horizontal="center"/>
    </xf>
    <xf numFmtId="0" fontId="9" fillId="0" borderId="0" xfId="0" quotePrefix="1" applyFont="1" applyAlignment="1">
      <alignment wrapText="1"/>
    </xf>
    <xf numFmtId="0" fontId="9" fillId="0" borderId="0" xfId="0" quotePrefix="1" applyFont="1"/>
    <xf numFmtId="0" fontId="23" fillId="0" borderId="0" xfId="0" applyFont="1"/>
    <xf numFmtId="0" fontId="25" fillId="0" borderId="0" xfId="0" applyFont="1"/>
    <xf numFmtId="0" fontId="3" fillId="0" borderId="0" xfId="0" applyFont="1"/>
    <xf numFmtId="49" fontId="3" fillId="0" borderId="0" xfId="0" quotePrefix="1" applyNumberFormat="1" applyFont="1"/>
    <xf numFmtId="0" fontId="27" fillId="0" borderId="0" xfId="0" applyFont="1" applyAlignment="1">
      <alignment horizontal="center"/>
    </xf>
    <xf numFmtId="0" fontId="27" fillId="0" borderId="0" xfId="0" applyFont="1"/>
    <xf numFmtId="0" fontId="3" fillId="0" borderId="0" xfId="0" applyFont="1" applyAlignment="1">
      <alignment horizontal="center"/>
    </xf>
    <xf numFmtId="49" fontId="3" fillId="0" borderId="0" xfId="0" applyNumberFormat="1" applyFont="1"/>
    <xf numFmtId="0" fontId="3" fillId="0" borderId="0" xfId="0" applyFont="1" applyAlignment="1">
      <alignment horizontal="left"/>
    </xf>
    <xf numFmtId="0" fontId="27" fillId="0" borderId="0" xfId="0" applyFont="1" applyAlignment="1">
      <alignment horizontal="right"/>
    </xf>
    <xf numFmtId="0" fontId="27" fillId="0" borderId="0" xfId="0" applyFont="1" applyAlignment="1">
      <alignment horizontal="left"/>
    </xf>
    <xf numFmtId="0" fontId="2" fillId="5" borderId="13" xfId="3" applyFill="1" applyBorder="1"/>
    <xf numFmtId="0" fontId="2" fillId="5" borderId="14" xfId="3" applyFill="1" applyBorder="1"/>
    <xf numFmtId="1" fontId="2" fillId="5" borderId="0" xfId="3" applyNumberFormat="1" applyFill="1" applyAlignment="1">
      <alignment horizontal="center"/>
    </xf>
    <xf numFmtId="0" fontId="2" fillId="5" borderId="0" xfId="3" applyFill="1" applyAlignment="1">
      <alignment horizontal="center"/>
    </xf>
    <xf numFmtId="0" fontId="19" fillId="5" borderId="0" xfId="3" applyFont="1" applyFill="1" applyAlignment="1">
      <alignment horizontal="left"/>
    </xf>
    <xf numFmtId="0" fontId="19" fillId="5" borderId="9" xfId="3" applyFont="1" applyFill="1" applyBorder="1" applyAlignment="1">
      <alignment horizontal="left"/>
    </xf>
    <xf numFmtId="0" fontId="8" fillId="6" borderId="11" xfId="3" applyFont="1" applyFill="1" applyBorder="1" applyAlignment="1">
      <alignment horizontal="left"/>
    </xf>
    <xf numFmtId="0" fontId="8" fillId="6" borderId="21" xfId="3" applyFont="1" applyFill="1" applyBorder="1" applyAlignment="1">
      <alignment horizontal="center"/>
    </xf>
    <xf numFmtId="0" fontId="2" fillId="5" borderId="11" xfId="3" applyFill="1" applyBorder="1"/>
    <xf numFmtId="0" fontId="19" fillId="5" borderId="21" xfId="3" applyFont="1" applyFill="1" applyBorder="1" applyAlignment="1">
      <alignment horizontal="center"/>
    </xf>
    <xf numFmtId="0" fontId="19" fillId="5" borderId="0" xfId="3" applyFont="1" applyFill="1" applyAlignment="1">
      <alignment horizontal="center"/>
    </xf>
    <xf numFmtId="0" fontId="2" fillId="5" borderId="9" xfId="3" applyFill="1" applyBorder="1" applyAlignment="1">
      <alignment horizontal="center"/>
    </xf>
    <xf numFmtId="0" fontId="2" fillId="5" borderId="13" xfId="3" applyFill="1" applyBorder="1" applyAlignment="1">
      <alignment horizontal="left"/>
    </xf>
    <xf numFmtId="0" fontId="2" fillId="5" borderId="13" xfId="3" applyFill="1" applyBorder="1" applyAlignment="1">
      <alignment vertical="center"/>
    </xf>
    <xf numFmtId="0" fontId="8" fillId="6" borderId="11" xfId="3" applyFont="1" applyFill="1" applyBorder="1"/>
    <xf numFmtId="0" fontId="2" fillId="5" borderId="14" xfId="3" applyFill="1" applyBorder="1" applyAlignment="1">
      <alignment horizontal="left" wrapText="1"/>
    </xf>
    <xf numFmtId="0" fontId="2" fillId="5" borderId="13" xfId="6" applyFill="1" applyBorder="1"/>
    <xf numFmtId="0" fontId="2" fillId="5" borderId="13" xfId="3" applyFill="1" applyBorder="1" applyAlignment="1">
      <alignment horizontal="left" wrapText="1"/>
    </xf>
    <xf numFmtId="0" fontId="2" fillId="5" borderId="14" xfId="3" applyFill="1" applyBorder="1" applyAlignment="1">
      <alignment horizontal="left"/>
    </xf>
    <xf numFmtId="0" fontId="2" fillId="5" borderId="14" xfId="6" applyFill="1" applyBorder="1"/>
    <xf numFmtId="0" fontId="8" fillId="6" borderId="11" xfId="0" applyFont="1" applyFill="1" applyBorder="1" applyAlignment="1">
      <alignment vertical="center"/>
    </xf>
    <xf numFmtId="1" fontId="11" fillId="7" borderId="0" xfId="3" applyNumberFormat="1" applyFont="1" applyFill="1" applyAlignment="1">
      <alignment horizontal="center"/>
    </xf>
    <xf numFmtId="1" fontId="2" fillId="8" borderId="0" xfId="3" applyNumberFormat="1" applyFill="1" applyAlignment="1" applyProtection="1">
      <alignment horizontal="center"/>
      <protection locked="0"/>
    </xf>
    <xf numFmtId="9" fontId="2" fillId="8" borderId="0" xfId="4" applyFill="1" applyAlignment="1">
      <alignment horizontal="center"/>
    </xf>
    <xf numFmtId="3" fontId="2" fillId="8" borderId="0" xfId="5" applyNumberFormat="1" applyFill="1" applyAlignment="1">
      <alignment horizontal="center"/>
    </xf>
    <xf numFmtId="0" fontId="9" fillId="8" borderId="9" xfId="1" applyNumberFormat="1" applyFont="1" applyFill="1" applyBorder="1" applyAlignment="1">
      <alignment horizontal="center"/>
    </xf>
    <xf numFmtId="0" fontId="9" fillId="8" borderId="0" xfId="1" applyNumberFormat="1" applyFont="1" applyFill="1" applyAlignment="1">
      <alignment horizontal="center"/>
    </xf>
    <xf numFmtId="2" fontId="2" fillId="8" borderId="9" xfId="3" applyNumberFormat="1" applyFill="1" applyBorder="1" applyAlignment="1">
      <alignment horizontal="right"/>
    </xf>
    <xf numFmtId="2" fontId="2" fillId="8" borderId="15" xfId="3" applyNumberFormat="1" applyFill="1" applyBorder="1" applyAlignment="1">
      <alignment horizontal="right"/>
    </xf>
    <xf numFmtId="1" fontId="2" fillId="9" borderId="0" xfId="3" applyNumberFormat="1" applyFill="1" applyAlignment="1" applyProtection="1">
      <alignment horizontal="center"/>
      <protection locked="0"/>
    </xf>
    <xf numFmtId="1" fontId="2" fillId="9" borderId="9" xfId="3" applyNumberFormat="1" applyFill="1" applyBorder="1" applyAlignment="1" applyProtection="1">
      <alignment horizontal="center"/>
      <protection locked="0"/>
    </xf>
    <xf numFmtId="2" fontId="2" fillId="9" borderId="0" xfId="3" applyNumberFormat="1" applyFill="1" applyAlignment="1" applyProtection="1">
      <alignment horizontal="center"/>
      <protection locked="0"/>
    </xf>
    <xf numFmtId="2" fontId="2" fillId="9" borderId="9" xfId="3" applyNumberFormat="1" applyFill="1" applyBorder="1" applyAlignment="1" applyProtection="1">
      <alignment horizontal="center"/>
      <protection locked="0"/>
    </xf>
    <xf numFmtId="9" fontId="2" fillId="9" borderId="0" xfId="2" applyFont="1" applyFill="1" applyAlignment="1" applyProtection="1">
      <alignment horizontal="center"/>
      <protection locked="0"/>
    </xf>
    <xf numFmtId="0" fontId="2" fillId="9" borderId="0" xfId="3" applyFill="1" applyAlignment="1" applyProtection="1">
      <alignment horizontal="center"/>
      <protection locked="0"/>
    </xf>
    <xf numFmtId="0" fontId="2" fillId="9" borderId="9" xfId="3" applyFill="1" applyBorder="1" applyAlignment="1" applyProtection="1">
      <alignment horizontal="center"/>
      <protection locked="0"/>
    </xf>
    <xf numFmtId="13" fontId="2" fillId="9" borderId="9" xfId="4" applyNumberFormat="1" applyFill="1" applyBorder="1" applyAlignment="1" applyProtection="1">
      <alignment horizontal="center"/>
      <protection locked="0"/>
    </xf>
    <xf numFmtId="0" fontId="2" fillId="9" borderId="0" xfId="4" applyNumberFormat="1" applyFill="1" applyAlignment="1" applyProtection="1">
      <alignment horizontal="center"/>
      <protection locked="0"/>
    </xf>
    <xf numFmtId="1" fontId="2" fillId="9" borderId="0" xfId="4" applyNumberFormat="1" applyFill="1" applyAlignment="1" applyProtection="1">
      <alignment horizontal="center"/>
      <protection locked="0"/>
    </xf>
    <xf numFmtId="0" fontId="2" fillId="9" borderId="0" xfId="2" applyNumberFormat="1" applyFont="1" applyFill="1" applyAlignment="1" applyProtection="1">
      <alignment horizontal="center"/>
      <protection locked="0"/>
    </xf>
    <xf numFmtId="3" fontId="2" fillId="9" borderId="0" xfId="1" applyNumberFormat="1" applyFont="1" applyFill="1" applyAlignment="1" applyProtection="1">
      <alignment horizontal="center"/>
      <protection locked="0"/>
    </xf>
    <xf numFmtId="0" fontId="2" fillId="9" borderId="9" xfId="2" applyNumberFormat="1" applyFont="1" applyFill="1" applyBorder="1" applyAlignment="1">
      <alignment horizontal="center"/>
    </xf>
    <xf numFmtId="3" fontId="2" fillId="9" borderId="9" xfId="1" applyNumberFormat="1" applyFont="1" applyFill="1" applyBorder="1" applyAlignment="1" applyProtection="1">
      <alignment horizontal="center"/>
      <protection locked="0"/>
    </xf>
    <xf numFmtId="0" fontId="2" fillId="9" borderId="0" xfId="3" applyFill="1" applyAlignment="1">
      <alignment horizontal="right" vertical="center"/>
    </xf>
    <xf numFmtId="0" fontId="2" fillId="10" borderId="0" xfId="4" applyNumberFormat="1" applyFill="1" applyAlignment="1" applyProtection="1">
      <alignment horizontal="center"/>
      <protection locked="0"/>
    </xf>
    <xf numFmtId="0" fontId="2" fillId="10" borderId="0" xfId="3" applyFill="1" applyAlignment="1" applyProtection="1">
      <alignment horizontal="center"/>
      <protection locked="0"/>
    </xf>
    <xf numFmtId="0" fontId="3" fillId="9" borderId="2" xfId="8" applyFont="1" applyFill="1" applyBorder="1" applyAlignment="1">
      <alignment horizontal="center"/>
    </xf>
    <xf numFmtId="0" fontId="3" fillId="9" borderId="15" xfId="8" applyFont="1" applyFill="1" applyBorder="1" applyAlignment="1">
      <alignment horizontal="center"/>
    </xf>
    <xf numFmtId="0" fontId="2" fillId="5" borderId="16" xfId="3" applyFill="1" applyBorder="1" applyAlignment="1">
      <alignment horizontal="left" vertical="center"/>
    </xf>
    <xf numFmtId="0" fontId="2" fillId="5" borderId="17" xfId="3" applyFill="1" applyBorder="1" applyAlignment="1">
      <alignment horizontal="left" vertical="center" wrapText="1"/>
    </xf>
    <xf numFmtId="0" fontId="14" fillId="5" borderId="18" xfId="3" applyFont="1" applyFill="1" applyBorder="1" applyAlignment="1">
      <alignment horizontal="left" vertical="center" wrapText="1"/>
    </xf>
    <xf numFmtId="0" fontId="2" fillId="5" borderId="19" xfId="3" applyFill="1" applyBorder="1" applyAlignment="1">
      <alignment horizontal="left" vertical="center"/>
    </xf>
    <xf numFmtId="0" fontId="2" fillId="5" borderId="20" xfId="3" applyFill="1" applyBorder="1" applyAlignment="1">
      <alignment horizontal="left" vertical="center" wrapText="1"/>
    </xf>
    <xf numFmtId="0" fontId="23" fillId="6" borderId="3" xfId="0" applyFont="1" applyFill="1" applyBorder="1" applyAlignment="1">
      <alignment horizontal="left"/>
    </xf>
    <xf numFmtId="0" fontId="24" fillId="6" borderId="4" xfId="0" applyFont="1" applyFill="1" applyBorder="1"/>
    <xf numFmtId="0" fontId="24" fillId="6" borderId="10" xfId="0" applyFont="1" applyFill="1" applyBorder="1"/>
    <xf numFmtId="0" fontId="25" fillId="6" borderId="6" xfId="0" applyFont="1" applyFill="1" applyBorder="1" applyAlignment="1">
      <alignment horizontal="center"/>
    </xf>
    <xf numFmtId="0" fontId="26" fillId="6" borderId="0" xfId="0" applyFont="1" applyFill="1"/>
    <xf numFmtId="0" fontId="26" fillId="6" borderId="1" xfId="0" applyFont="1" applyFill="1" applyBorder="1" applyAlignment="1">
      <alignment horizontal="center"/>
    </xf>
    <xf numFmtId="0" fontId="26" fillId="6" borderId="0" xfId="0" applyFont="1" applyFill="1" applyAlignment="1">
      <alignment horizontal="center"/>
    </xf>
    <xf numFmtId="0" fontId="26" fillId="6" borderId="1" xfId="0" applyFont="1" applyFill="1" applyBorder="1"/>
    <xf numFmtId="0" fontId="26" fillId="6" borderId="7" xfId="0" applyFont="1" applyFill="1" applyBorder="1"/>
    <xf numFmtId="0" fontId="3" fillId="6" borderId="4" xfId="0" applyFont="1" applyFill="1" applyBorder="1"/>
    <xf numFmtId="49" fontId="25" fillId="6" borderId="10" xfId="0" quotePrefix="1" applyNumberFormat="1" applyFont="1" applyFill="1" applyBorder="1"/>
    <xf numFmtId="49" fontId="25" fillId="6" borderId="1" xfId="0" quotePrefix="1" applyNumberFormat="1" applyFont="1" applyFill="1" applyBorder="1"/>
    <xf numFmtId="0" fontId="25" fillId="6" borderId="4" xfId="0" applyFont="1" applyFill="1" applyBorder="1"/>
    <xf numFmtId="49" fontId="25" fillId="6" borderId="4" xfId="0" quotePrefix="1" applyNumberFormat="1" applyFont="1" applyFill="1" applyBorder="1"/>
    <xf numFmtId="49" fontId="25" fillId="6" borderId="5" xfId="0" quotePrefix="1" applyNumberFormat="1" applyFont="1" applyFill="1" applyBorder="1"/>
    <xf numFmtId="0" fontId="25" fillId="6" borderId="6" xfId="0" applyFont="1" applyFill="1" applyBorder="1"/>
    <xf numFmtId="49" fontId="25" fillId="6" borderId="0" xfId="0" applyNumberFormat="1" applyFont="1" applyFill="1"/>
    <xf numFmtId="0" fontId="25" fillId="6" borderId="0" xfId="0" applyFont="1" applyFill="1" applyAlignment="1">
      <alignment horizontal="center"/>
    </xf>
    <xf numFmtId="49" fontId="25" fillId="6" borderId="1" xfId="0" applyNumberFormat="1" applyFont="1" applyFill="1" applyBorder="1"/>
    <xf numFmtId="0" fontId="25" fillId="6" borderId="0" xfId="0" applyFont="1" applyFill="1"/>
    <xf numFmtId="49" fontId="25" fillId="6" borderId="7" xfId="0" applyNumberFormat="1" applyFont="1" applyFill="1" applyBorder="1"/>
    <xf numFmtId="49" fontId="3" fillId="5" borderId="0" xfId="0" applyNumberFormat="1" applyFont="1" applyFill="1"/>
    <xf numFmtId="49" fontId="3" fillId="5" borderId="2" xfId="0" applyNumberFormat="1" applyFont="1" applyFill="1" applyBorder="1" applyAlignment="1">
      <alignment horizontal="center"/>
    </xf>
    <xf numFmtId="0" fontId="3" fillId="5" borderId="0" xfId="0" applyFont="1" applyFill="1"/>
    <xf numFmtId="0" fontId="3" fillId="5" borderId="2" xfId="0" applyFont="1" applyFill="1" applyBorder="1" applyAlignment="1">
      <alignment horizontal="center"/>
    </xf>
    <xf numFmtId="49" fontId="3" fillId="5" borderId="2" xfId="0" quotePrefix="1" applyNumberFormat="1" applyFont="1" applyFill="1" applyBorder="1"/>
    <xf numFmtId="49" fontId="3" fillId="5" borderId="7" xfId="0" quotePrefix="1" applyNumberFormat="1" applyFont="1" applyFill="1" applyBorder="1"/>
    <xf numFmtId="0" fontId="3" fillId="5" borderId="7" xfId="0" applyFont="1" applyFill="1" applyBorder="1"/>
    <xf numFmtId="0" fontId="3" fillId="5" borderId="0" xfId="0" applyFont="1" applyFill="1" applyAlignment="1">
      <alignment horizontal="center"/>
    </xf>
    <xf numFmtId="0" fontId="3" fillId="5" borderId="7" xfId="0" applyFont="1" applyFill="1" applyBorder="1" applyAlignment="1">
      <alignment horizontal="left"/>
    </xf>
    <xf numFmtId="0" fontId="3" fillId="5" borderId="6" xfId="0" applyFont="1" applyFill="1" applyBorder="1"/>
    <xf numFmtId="0" fontId="3" fillId="5" borderId="0" xfId="0" quotePrefix="1" applyFont="1" applyFill="1" applyAlignment="1">
      <alignment horizontal="center"/>
    </xf>
    <xf numFmtId="0" fontId="3" fillId="5" borderId="2" xfId="0" applyFont="1" applyFill="1" applyBorder="1" applyAlignment="1">
      <alignment horizontal="left"/>
    </xf>
    <xf numFmtId="0" fontId="8" fillId="6" borderId="12" xfId="3" applyFont="1" applyFill="1" applyBorder="1" applyAlignment="1">
      <alignment horizontal="center"/>
    </xf>
    <xf numFmtId="0" fontId="2" fillId="5" borderId="0" xfId="3" applyFill="1" applyAlignment="1">
      <alignment horizontal="left"/>
    </xf>
    <xf numFmtId="0" fontId="2" fillId="5" borderId="9" xfId="3" applyFill="1" applyBorder="1" applyAlignment="1">
      <alignment horizontal="left"/>
    </xf>
    <xf numFmtId="49" fontId="3" fillId="5" borderId="6" xfId="0" applyNumberFormat="1" applyFont="1" applyFill="1" applyBorder="1" applyAlignment="1">
      <alignment horizontal="center"/>
    </xf>
    <xf numFmtId="49" fontId="2" fillId="9" borderId="0" xfId="3" applyNumberFormat="1" applyFill="1" applyAlignment="1" applyProtection="1">
      <alignment horizontal="center"/>
      <protection locked="0"/>
    </xf>
    <xf numFmtId="0" fontId="2" fillId="0" borderId="0" xfId="3" applyAlignment="1">
      <alignment horizontal="left"/>
    </xf>
    <xf numFmtId="0" fontId="16" fillId="0" borderId="0" xfId="3" applyFont="1"/>
    <xf numFmtId="0" fontId="11" fillId="6" borderId="0" xfId="3" applyFont="1" applyFill="1" applyAlignment="1">
      <alignment horizontal="right"/>
    </xf>
    <xf numFmtId="0" fontId="11" fillId="6" borderId="0" xfId="3" applyFont="1" applyFill="1" applyAlignment="1">
      <alignment horizontal="center"/>
    </xf>
    <xf numFmtId="0" fontId="2" fillId="5" borderId="0" xfId="3" applyFill="1"/>
    <xf numFmtId="3" fontId="2" fillId="5" borderId="0" xfId="3" applyNumberFormat="1" applyFill="1" applyAlignment="1">
      <alignment horizontal="center"/>
    </xf>
    <xf numFmtId="0" fontId="14" fillId="5" borderId="0" xfId="3" applyFont="1" applyFill="1" applyAlignment="1">
      <alignment horizontal="center"/>
    </xf>
    <xf numFmtId="0" fontId="14" fillId="6" borderId="0" xfId="3" applyFont="1" applyFill="1" applyAlignment="1">
      <alignment horizontal="right"/>
    </xf>
    <xf numFmtId="0" fontId="14" fillId="6" borderId="0" xfId="3" applyFont="1" applyFill="1" applyAlignment="1">
      <alignment horizontal="center"/>
    </xf>
    <xf numFmtId="1" fontId="2" fillId="5" borderId="0" xfId="3" applyNumberFormat="1" applyFill="1"/>
    <xf numFmtId="1" fontId="2" fillId="8" borderId="0" xfId="3" applyNumberFormat="1" applyFill="1"/>
    <xf numFmtId="0" fontId="2" fillId="8" borderId="0" xfId="3" applyFill="1"/>
    <xf numFmtId="3" fontId="2" fillId="5" borderId="0" xfId="3" applyNumberFormat="1" applyFill="1"/>
    <xf numFmtId="3" fontId="2" fillId="8" borderId="0" xfId="3" applyNumberFormat="1" applyFill="1"/>
    <xf numFmtId="0" fontId="2" fillId="6" borderId="21" xfId="3" applyFill="1" applyBorder="1"/>
    <xf numFmtId="0" fontId="2" fillId="6" borderId="12" xfId="3" applyFill="1" applyBorder="1"/>
    <xf numFmtId="0" fontId="8" fillId="6" borderId="13" xfId="3" applyFont="1" applyFill="1" applyBorder="1" applyAlignment="1">
      <alignment horizontal="left"/>
    </xf>
    <xf numFmtId="0" fontId="11" fillId="6" borderId="2" xfId="3" applyFont="1" applyFill="1" applyBorder="1" applyAlignment="1">
      <alignment horizontal="center"/>
    </xf>
    <xf numFmtId="0" fontId="14" fillId="5" borderId="2" xfId="3" applyFont="1" applyFill="1" applyBorder="1" applyAlignment="1">
      <alignment horizontal="center"/>
    </xf>
    <xf numFmtId="0" fontId="14" fillId="6" borderId="2" xfId="3" applyFont="1" applyFill="1" applyBorder="1" applyAlignment="1">
      <alignment horizontal="center"/>
    </xf>
    <xf numFmtId="0" fontId="2" fillId="8" borderId="13" xfId="3" applyFill="1" applyBorder="1"/>
    <xf numFmtId="0" fontId="2" fillId="5" borderId="13" xfId="1" applyNumberFormat="1" applyFont="1" applyFill="1" applyBorder="1" applyAlignment="1">
      <alignment horizontal="left"/>
    </xf>
    <xf numFmtId="0" fontId="2" fillId="5" borderId="14" xfId="1" applyNumberFormat="1" applyFont="1" applyFill="1" applyBorder="1"/>
    <xf numFmtId="9" fontId="2" fillId="4" borderId="9" xfId="2" applyFont="1" applyFill="1" applyBorder="1" applyAlignment="1" applyProtection="1">
      <alignment horizontal="center"/>
      <protection locked="0"/>
    </xf>
    <xf numFmtId="0" fontId="2" fillId="0" borderId="0" xfId="3"/>
    <xf numFmtId="164" fontId="25" fillId="7" borderId="0" xfId="0" applyNumberFormat="1" applyFont="1" applyFill="1" applyAlignment="1">
      <alignment horizontal="center"/>
    </xf>
    <xf numFmtId="164" fontId="25" fillId="7" borderId="0" xfId="0" quotePrefix="1" applyNumberFormat="1" applyFont="1" applyFill="1" applyAlignment="1">
      <alignment horizontal="center"/>
    </xf>
    <xf numFmtId="167" fontId="3" fillId="0" borderId="0" xfId="0" applyNumberFormat="1" applyFont="1"/>
    <xf numFmtId="164" fontId="3" fillId="0" borderId="0" xfId="0" applyNumberFormat="1" applyFont="1" applyAlignment="1">
      <alignment horizontal="center"/>
    </xf>
    <xf numFmtId="164" fontId="3" fillId="0" borderId="0" xfId="0" quotePrefix="1" applyNumberFormat="1" applyFont="1" applyAlignment="1">
      <alignment horizontal="center"/>
    </xf>
    <xf numFmtId="164" fontId="25" fillId="0" borderId="0" xfId="0" applyNumberFormat="1" applyFont="1" applyAlignment="1">
      <alignment horizontal="center"/>
    </xf>
    <xf numFmtId="167" fontId="23" fillId="6" borderId="3" xfId="0" applyNumberFormat="1" applyFont="1" applyFill="1" applyBorder="1"/>
    <xf numFmtId="164" fontId="25" fillId="6" borderId="4" xfId="0" applyNumberFormat="1" applyFont="1" applyFill="1" applyBorder="1" applyAlignment="1">
      <alignment horizontal="center"/>
    </xf>
    <xf numFmtId="164" fontId="25" fillId="6" borderId="4" xfId="0" quotePrefix="1" applyNumberFormat="1" applyFont="1" applyFill="1" applyBorder="1" applyAlignment="1">
      <alignment horizontal="center"/>
    </xf>
    <xf numFmtId="164" fontId="3" fillId="9" borderId="0" xfId="8" applyNumberFormat="1" applyFont="1" applyFill="1" applyBorder="1" applyAlignment="1">
      <alignment horizontal="right"/>
    </xf>
    <xf numFmtId="167" fontId="3" fillId="9" borderId="0" xfId="8" applyNumberFormat="1" applyFont="1" applyFill="1" applyBorder="1" applyAlignment="1">
      <alignment horizontal="right"/>
    </xf>
    <xf numFmtId="164" fontId="27" fillId="0" borderId="0" xfId="0" applyNumberFormat="1" applyFont="1" applyAlignment="1">
      <alignment horizontal="center"/>
    </xf>
    <xf numFmtId="166" fontId="2" fillId="9" borderId="0" xfId="3" applyNumberFormat="1" applyFill="1" applyAlignment="1" applyProtection="1">
      <alignment horizontal="center"/>
      <protection locked="0"/>
    </xf>
    <xf numFmtId="169" fontId="2" fillId="8" borderId="0" xfId="3" applyNumberFormat="1" applyFill="1" applyAlignment="1" applyProtection="1">
      <alignment horizontal="center"/>
      <protection locked="0"/>
    </xf>
    <xf numFmtId="170" fontId="2" fillId="8" borderId="0" xfId="4" applyNumberFormat="1" applyFill="1" applyAlignment="1">
      <alignment horizontal="center"/>
    </xf>
    <xf numFmtId="167" fontId="2" fillId="8" borderId="0" xfId="3" applyNumberFormat="1" applyFill="1" applyAlignment="1">
      <alignment horizontal="center"/>
    </xf>
    <xf numFmtId="164" fontId="2" fillId="9" borderId="0" xfId="3" applyNumberFormat="1" applyFill="1" applyAlignment="1" applyProtection="1">
      <alignment horizontal="center"/>
      <protection locked="0"/>
    </xf>
    <xf numFmtId="164" fontId="2" fillId="8" borderId="9" xfId="3" applyNumberFormat="1" applyFill="1" applyBorder="1" applyAlignment="1" applyProtection="1">
      <alignment horizontal="center"/>
      <protection locked="0"/>
    </xf>
    <xf numFmtId="169" fontId="2" fillId="8" borderId="9" xfId="3" applyNumberFormat="1" applyFill="1" applyBorder="1" applyAlignment="1" applyProtection="1">
      <alignment horizontal="center"/>
      <protection locked="0"/>
    </xf>
    <xf numFmtId="167" fontId="2" fillId="10" borderId="0" xfId="4" applyNumberFormat="1" applyFill="1" applyAlignment="1" applyProtection="1">
      <alignment horizontal="center"/>
      <protection locked="0"/>
    </xf>
    <xf numFmtId="166" fontId="9" fillId="8" borderId="9" xfId="0" applyNumberFormat="1" applyFont="1" applyFill="1" applyBorder="1" applyAlignment="1">
      <alignment horizontal="center"/>
    </xf>
    <xf numFmtId="168" fontId="2" fillId="4" borderId="0" xfId="3" applyNumberFormat="1" applyFill="1" applyAlignment="1" applyProtection="1">
      <alignment horizontal="center"/>
      <protection locked="0"/>
    </xf>
    <xf numFmtId="168" fontId="2" fillId="4" borderId="0" xfId="4" applyNumberFormat="1" applyFill="1" applyAlignment="1" applyProtection="1">
      <alignment horizontal="center"/>
      <protection locked="0"/>
    </xf>
    <xf numFmtId="168" fontId="2" fillId="4" borderId="9" xfId="4" applyNumberFormat="1" applyFill="1" applyBorder="1" applyAlignment="1" applyProtection="1">
      <alignment horizontal="center"/>
      <protection locked="0"/>
    </xf>
    <xf numFmtId="171" fontId="2" fillId="0" borderId="0" xfId="3" applyNumberFormat="1"/>
    <xf numFmtId="167" fontId="2" fillId="5" borderId="0" xfId="4" applyNumberFormat="1" applyFill="1" applyAlignment="1">
      <alignment horizontal="center" vertical="center"/>
    </xf>
    <xf numFmtId="172" fontId="2" fillId="5" borderId="0" xfId="3" applyNumberFormat="1" applyFill="1" applyAlignment="1" applyProtection="1">
      <alignment horizontal="center" vertical="center"/>
      <protection locked="0"/>
    </xf>
    <xf numFmtId="167" fontId="2" fillId="5" borderId="9" xfId="4" applyNumberFormat="1" applyFill="1" applyBorder="1" applyAlignment="1">
      <alignment horizontal="center"/>
    </xf>
    <xf numFmtId="171" fontId="2" fillId="5" borderId="0" xfId="3" applyNumberFormat="1" applyFill="1"/>
    <xf numFmtId="171" fontId="2" fillId="5" borderId="2" xfId="3" applyNumberFormat="1" applyFill="1" applyBorder="1"/>
    <xf numFmtId="171" fontId="2" fillId="8" borderId="0" xfId="5" applyNumberFormat="1" applyFill="1"/>
    <xf numFmtId="171" fontId="2" fillId="8" borderId="2" xfId="5" applyNumberFormat="1" applyFill="1" applyBorder="1"/>
    <xf numFmtId="173" fontId="2" fillId="5" borderId="0" xfId="3" applyNumberFormat="1" applyFill="1"/>
    <xf numFmtId="173" fontId="2" fillId="5" borderId="2" xfId="3" applyNumberFormat="1" applyFill="1" applyBorder="1"/>
    <xf numFmtId="171" fontId="2" fillId="8" borderId="0" xfId="3" applyNumberFormat="1" applyFill="1"/>
    <xf numFmtId="171" fontId="2" fillId="8" borderId="2" xfId="3" applyNumberFormat="1" applyFill="1" applyBorder="1"/>
    <xf numFmtId="174" fontId="2" fillId="5" borderId="0" xfId="1" applyNumberFormat="1" applyFont="1" applyFill="1"/>
    <xf numFmtId="174" fontId="2" fillId="5" borderId="2" xfId="1" applyNumberFormat="1" applyFont="1" applyFill="1" applyBorder="1"/>
    <xf numFmtId="174" fontId="2" fillId="5" borderId="9" xfId="1" applyNumberFormat="1" applyFont="1" applyFill="1" applyBorder="1"/>
    <xf numFmtId="43" fontId="2" fillId="5" borderId="9" xfId="1" applyFont="1" applyFill="1" applyBorder="1"/>
    <xf numFmtId="43" fontId="2" fillId="5" borderId="15" xfId="1" applyFont="1" applyFill="1" applyBorder="1"/>
    <xf numFmtId="174" fontId="14" fillId="0" borderId="0" xfId="1" applyNumberFormat="1" applyFont="1"/>
    <xf numFmtId="174" fontId="2" fillId="0" borderId="0" xfId="1" applyNumberFormat="1" applyFont="1"/>
    <xf numFmtId="174" fontId="2" fillId="0" borderId="0" xfId="3" applyNumberFormat="1"/>
    <xf numFmtId="171" fontId="21" fillId="0" borderId="0" xfId="3" applyNumberFormat="1" applyFont="1"/>
    <xf numFmtId="164" fontId="9" fillId="8" borderId="23" xfId="0" applyNumberFormat="1" applyFont="1" applyFill="1" applyBorder="1" applyAlignment="1">
      <alignment horizontal="center"/>
    </xf>
    <xf numFmtId="164" fontId="9" fillId="8" borderId="9" xfId="0" applyNumberFormat="1" applyFont="1" applyFill="1" applyBorder="1" applyAlignment="1">
      <alignment horizontal="center"/>
    </xf>
    <xf numFmtId="166" fontId="2" fillId="4" borderId="9" xfId="3" applyNumberFormat="1" applyFill="1" applyBorder="1" applyAlignment="1" applyProtection="1">
      <alignment horizontal="center"/>
      <protection locked="0"/>
    </xf>
    <xf numFmtId="0" fontId="2" fillId="0" borderId="27" xfId="3" applyBorder="1" applyAlignment="1">
      <alignment horizontal="center"/>
    </xf>
    <xf numFmtId="0" fontId="2" fillId="7" borderId="27" xfId="3" applyFill="1" applyBorder="1"/>
    <xf numFmtId="0" fontId="2" fillId="8" borderId="27" xfId="3" applyFill="1" applyBorder="1"/>
    <xf numFmtId="0" fontId="2" fillId="4" borderId="27" xfId="3" applyFill="1" applyBorder="1"/>
    <xf numFmtId="0" fontId="2" fillId="9" borderId="27" xfId="3" applyFill="1" applyBorder="1"/>
    <xf numFmtId="0" fontId="2" fillId="5" borderId="2" xfId="3" applyFill="1" applyBorder="1" applyAlignment="1">
      <alignment horizontal="center"/>
    </xf>
    <xf numFmtId="2" fontId="2" fillId="4" borderId="0" xfId="3" applyNumberFormat="1" applyFill="1" applyAlignment="1" applyProtection="1">
      <alignment horizontal="center"/>
      <protection locked="0"/>
    </xf>
    <xf numFmtId="0" fontId="2" fillId="5" borderId="15" xfId="3" applyFill="1" applyBorder="1" applyAlignment="1">
      <alignment horizontal="center"/>
    </xf>
    <xf numFmtId="164" fontId="9" fillId="8" borderId="0" xfId="0" applyNumberFormat="1" applyFont="1" applyFill="1" applyAlignment="1">
      <alignment horizontal="center"/>
    </xf>
    <xf numFmtId="164" fontId="9" fillId="8" borderId="21" xfId="0" applyNumberFormat="1" applyFont="1" applyFill="1" applyBorder="1" applyAlignment="1">
      <alignment horizontal="center"/>
    </xf>
    <xf numFmtId="0" fontId="2" fillId="5" borderId="22" xfId="3" applyFill="1" applyBorder="1"/>
    <xf numFmtId="164" fontId="2" fillId="8" borderId="0" xfId="3" applyNumberFormat="1" applyFill="1" applyAlignment="1">
      <alignment horizontal="center"/>
    </xf>
    <xf numFmtId="4" fontId="2" fillId="8" borderId="0" xfId="3" applyNumberFormat="1" applyFill="1" applyAlignment="1" applyProtection="1">
      <alignment horizontal="center"/>
      <protection locked="0"/>
    </xf>
    <xf numFmtId="175" fontId="2" fillId="8" borderId="0" xfId="3" applyNumberFormat="1" applyFill="1" applyAlignment="1" applyProtection="1">
      <alignment horizontal="center"/>
      <protection locked="0"/>
    </xf>
    <xf numFmtId="165" fontId="2" fillId="8" borderId="0" xfId="3" applyNumberFormat="1" applyFill="1" applyAlignment="1" applyProtection="1">
      <alignment horizontal="center"/>
      <protection locked="0"/>
    </xf>
    <xf numFmtId="0" fontId="2" fillId="5" borderId="26" xfId="3" applyFill="1" applyBorder="1" applyAlignment="1">
      <alignment horizontal="center"/>
    </xf>
    <xf numFmtId="0" fontId="2" fillId="5" borderId="12" xfId="3" applyFill="1" applyBorder="1" applyAlignment="1">
      <alignment horizontal="center"/>
    </xf>
    <xf numFmtId="0" fontId="24" fillId="6" borderId="28" xfId="0" applyFont="1" applyFill="1" applyBorder="1"/>
    <xf numFmtId="164" fontId="25" fillId="6" borderId="2" xfId="0" applyNumberFormat="1" applyFont="1" applyFill="1" applyBorder="1" applyAlignment="1">
      <alignment horizontal="center"/>
    </xf>
    <xf numFmtId="164" fontId="3" fillId="5" borderId="2" xfId="0" applyNumberFormat="1" applyFont="1" applyFill="1" applyBorder="1" applyAlignment="1">
      <alignment horizontal="center"/>
    </xf>
    <xf numFmtId="49" fontId="25" fillId="6" borderId="28" xfId="0" quotePrefix="1" applyNumberFormat="1" applyFont="1" applyFill="1" applyBorder="1"/>
    <xf numFmtId="49" fontId="25" fillId="6" borderId="2" xfId="0" quotePrefix="1" applyNumberFormat="1" applyFont="1" applyFill="1" applyBorder="1"/>
    <xf numFmtId="0" fontId="3" fillId="5" borderId="2" xfId="0" applyFont="1" applyFill="1" applyBorder="1"/>
    <xf numFmtId="0" fontId="3" fillId="5" borderId="6" xfId="0" applyFont="1" applyFill="1" applyBorder="1" applyAlignment="1">
      <alignment horizontal="center"/>
    </xf>
    <xf numFmtId="0" fontId="2" fillId="5" borderId="15" xfId="3" applyFill="1" applyBorder="1" applyAlignment="1">
      <alignment horizontal="left"/>
    </xf>
    <xf numFmtId="167" fontId="2" fillId="0" borderId="0" xfId="3" applyNumberFormat="1" applyAlignment="1">
      <alignment vertical="center"/>
    </xf>
    <xf numFmtId="0" fontId="2" fillId="5" borderId="2" xfId="3" applyFill="1" applyBorder="1" applyAlignment="1">
      <alignment horizontal="left"/>
    </xf>
    <xf numFmtId="0" fontId="2" fillId="0" borderId="0" xfId="3"/>
    <xf numFmtId="177" fontId="2" fillId="5" borderId="18" xfId="3" applyNumberFormat="1" applyFill="1" applyBorder="1" applyAlignment="1">
      <alignment horizontal="left" vertical="center" wrapText="1"/>
    </xf>
    <xf numFmtId="0" fontId="2" fillId="5" borderId="2" xfId="3" applyFill="1" applyBorder="1" applyAlignment="1">
      <alignment horizontal="left"/>
    </xf>
    <xf numFmtId="0" fontId="2" fillId="0" borderId="0" xfId="3"/>
    <xf numFmtId="0" fontId="0" fillId="0" borderId="2" xfId="0" applyBorder="1"/>
    <xf numFmtId="0" fontId="2" fillId="5" borderId="15" xfId="3" applyFill="1" applyBorder="1" applyAlignment="1">
      <alignment horizontal="left"/>
    </xf>
    <xf numFmtId="167" fontId="2" fillId="0" borderId="0" xfId="3" applyNumberFormat="1" applyAlignment="1">
      <alignment vertical="center"/>
    </xf>
    <xf numFmtId="164" fontId="27" fillId="9" borderId="0" xfId="8" applyNumberFormat="1" applyFont="1" applyFill="1" applyBorder="1" applyAlignment="1">
      <alignment horizontal="right"/>
    </xf>
    <xf numFmtId="164" fontId="2" fillId="4" borderId="0" xfId="4" applyNumberFormat="1" applyFill="1" applyAlignment="1" applyProtection="1">
      <alignment horizontal="center"/>
      <protection locked="0"/>
    </xf>
    <xf numFmtId="1" fontId="13" fillId="5" borderId="24" xfId="3" applyNumberFormat="1" applyFont="1" applyFill="1" applyBorder="1" applyAlignment="1" applyProtection="1">
      <alignment horizontal="center" vertical="center"/>
      <protection locked="0"/>
    </xf>
    <xf numFmtId="0" fontId="0" fillId="0" borderId="7" xfId="0" applyBorder="1" applyProtection="1">
      <protection locked="0"/>
    </xf>
    <xf numFmtId="0" fontId="19" fillId="0" borderId="27" xfId="3" applyFont="1" applyBorder="1" applyAlignment="1">
      <alignment horizontal="center"/>
    </xf>
    <xf numFmtId="0" fontId="0" fillId="0" borderId="26" xfId="0" applyBorder="1"/>
    <xf numFmtId="0" fontId="8" fillId="6" borderId="25" xfId="3" applyFont="1" applyFill="1" applyBorder="1" applyAlignment="1">
      <alignment horizontal="center"/>
    </xf>
    <xf numFmtId="0" fontId="0" fillId="0" borderId="12" xfId="0" applyBorder="1"/>
    <xf numFmtId="0" fontId="12" fillId="6" borderId="24" xfId="3" applyFont="1" applyFill="1" applyBorder="1" applyAlignment="1">
      <alignment horizontal="center" vertical="center"/>
    </xf>
    <xf numFmtId="0" fontId="0" fillId="0" borderId="7" xfId="0" applyBorder="1"/>
    <xf numFmtId="0" fontId="24" fillId="6" borderId="5" xfId="0" applyFont="1" applyFill="1" applyBorder="1" applyAlignment="1">
      <alignment horizontal="left"/>
    </xf>
    <xf numFmtId="0" fontId="0" fillId="0" borderId="5" xfId="0" applyBorder="1"/>
    <xf numFmtId="0" fontId="24" fillId="6" borderId="10" xfId="0" applyFont="1" applyFill="1" applyBorder="1" applyAlignment="1">
      <alignment horizontal="left"/>
    </xf>
    <xf numFmtId="0" fontId="0" fillId="0" borderId="10" xfId="0" applyBorder="1"/>
    <xf numFmtId="0" fontId="8" fillId="6" borderId="12" xfId="3" applyFont="1" applyFill="1" applyBorder="1" applyAlignment="1">
      <alignment horizontal="left"/>
    </xf>
    <xf numFmtId="0" fontId="0" fillId="0" borderId="21" xfId="0" applyBorder="1"/>
    <xf numFmtId="0" fontId="2" fillId="5" borderId="2" xfId="3" applyFill="1" applyBorder="1" applyAlignment="1">
      <alignment horizontal="left"/>
    </xf>
    <xf numFmtId="0" fontId="2" fillId="0" borderId="0" xfId="3"/>
    <xf numFmtId="0" fontId="0" fillId="0" borderId="2" xfId="0" applyBorder="1"/>
    <xf numFmtId="0" fontId="2" fillId="5" borderId="12" xfId="3" applyFill="1" applyBorder="1" applyAlignment="1">
      <alignment horizontal="left"/>
    </xf>
    <xf numFmtId="0" fontId="2" fillId="5" borderId="15" xfId="3" applyFill="1" applyBorder="1" applyAlignment="1">
      <alignment horizontal="left"/>
    </xf>
    <xf numFmtId="0" fontId="0" fillId="0" borderId="9" xfId="0" applyBorder="1"/>
    <xf numFmtId="0" fontId="0" fillId="0" borderId="15" xfId="0" applyBorder="1"/>
    <xf numFmtId="0" fontId="2" fillId="5" borderId="2" xfId="3" quotePrefix="1" applyFill="1" applyBorder="1" applyAlignment="1">
      <alignment horizontal="left"/>
    </xf>
    <xf numFmtId="0" fontId="2" fillId="5" borderId="15" xfId="3" quotePrefix="1" applyFill="1" applyBorder="1" applyAlignment="1">
      <alignment horizontal="left"/>
    </xf>
    <xf numFmtId="0" fontId="21" fillId="5" borderId="2" xfId="3" applyFont="1" applyFill="1" applyBorder="1" applyAlignment="1">
      <alignment horizontal="left"/>
    </xf>
    <xf numFmtId="0" fontId="2" fillId="5" borderId="13" xfId="6" applyFill="1" applyBorder="1" applyAlignment="1">
      <alignment horizontal="left" vertical="center" wrapText="1"/>
    </xf>
    <xf numFmtId="167" fontId="2" fillId="0" borderId="0" xfId="3" applyNumberFormat="1" applyAlignment="1">
      <alignment vertical="center"/>
    </xf>
    <xf numFmtId="0" fontId="18" fillId="6" borderId="11" xfId="0" applyFont="1" applyFill="1" applyBorder="1" applyAlignment="1">
      <alignment horizontal="left" vertical="center"/>
    </xf>
    <xf numFmtId="1" fontId="2" fillId="8" borderId="15" xfId="3" applyNumberFormat="1" applyFill="1" applyBorder="1" applyAlignment="1">
      <alignment horizontal="center"/>
    </xf>
    <xf numFmtId="0" fontId="2" fillId="5" borderId="2" xfId="3" applyFont="1" applyFill="1" applyBorder="1" applyAlignment="1">
      <alignment horizontal="left"/>
    </xf>
    <xf numFmtId="0" fontId="2" fillId="0" borderId="0" xfId="3" applyFont="1"/>
    <xf numFmtId="0" fontId="0" fillId="0" borderId="2" xfId="0" applyFont="1" applyBorder="1"/>
    <xf numFmtId="167" fontId="18" fillId="7" borderId="0" xfId="3" applyNumberFormat="1" applyFont="1" applyFill="1" applyAlignment="1">
      <alignment horizontal="center"/>
    </xf>
  </cellXfs>
  <cellStyles count="9">
    <cellStyle name="Comma" xfId="1" builtinId="3"/>
    <cellStyle name="Comma 2 2" xfId="5" xr:uid="{00000000-0005-0000-0000-000005000000}"/>
    <cellStyle name="Comma 2 4" xfId="7" xr:uid="{00000000-0005-0000-0000-000007000000}"/>
    <cellStyle name="Input" xfId="8" builtinId="20"/>
    <cellStyle name="Normal" xfId="0" builtinId="0"/>
    <cellStyle name="Normal 2" xfId="3" xr:uid="{00000000-0005-0000-0000-000003000000}"/>
    <cellStyle name="Normal_factsheet01" xfId="6" xr:uid="{00000000-0005-0000-0000-000006000000}"/>
    <cellStyle name="Per cent" xfId="2" builtinId="5"/>
    <cellStyle name="Percent 2" xfId="4" xr:uid="{00000000-0005-0000-0000-000004000000}"/>
  </cellStyles>
  <dxfs count="21">
    <dxf>
      <font>
        <b/>
        <color rgb="FFFF0000"/>
      </font>
    </dxf>
    <dxf>
      <font>
        <b/>
        <color rgb="FFFF0000"/>
      </font>
    </dxf>
    <dxf>
      <font>
        <b/>
        <color rgb="FFFF0000"/>
      </font>
    </dxf>
    <dxf>
      <font>
        <b/>
        <color rgb="FFFF0000"/>
      </font>
    </dxf>
    <dxf>
      <font>
        <b/>
        <color rgb="FFFF0000"/>
      </font>
    </dxf>
    <dxf>
      <font>
        <b/>
        <color rgb="FFFF0000"/>
      </font>
    </dxf>
    <dxf>
      <font>
        <b/>
        <color rgb="FFFF0000"/>
      </font>
    </dxf>
    <dxf>
      <font>
        <b/>
        <color rgb="FFFF0000"/>
      </font>
    </dxf>
    <dxf>
      <font>
        <b/>
        <color rgb="FFFF0000"/>
      </font>
    </dxf>
    <dxf>
      <font>
        <b/>
        <color rgb="FFFF0000"/>
      </font>
    </dxf>
    <dxf>
      <font>
        <b/>
        <color rgb="FFFF0000"/>
      </font>
    </dxf>
    <dxf>
      <font>
        <b/>
        <color rgb="FFFF0000"/>
      </font>
    </dxf>
    <dxf>
      <font>
        <b/>
        <color rgb="FFFF0000"/>
      </font>
    </dxf>
    <dxf>
      <font>
        <b/>
        <color rgb="FFFF0000"/>
      </font>
    </dxf>
    <dxf>
      <font>
        <b/>
        <color rgb="FFFF0000"/>
      </font>
    </dxf>
    <dxf>
      <font>
        <b/>
        <color rgb="FFFF0000"/>
      </font>
    </dxf>
    <dxf>
      <font>
        <b/>
        <color rgb="FFFF0000"/>
      </font>
    </dxf>
    <dxf>
      <font>
        <b/>
        <color rgb="FFFF0000"/>
      </font>
    </dxf>
    <dxf>
      <font>
        <b/>
        <color rgb="FFFF0000"/>
      </font>
    </dxf>
    <dxf>
      <font>
        <b/>
        <color rgb="FFFF0000"/>
      </font>
    </dxf>
    <dxf>
      <font>
        <b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38100</xdr:rowOff>
    </xdr:from>
    <xdr:to>
      <xdr:col>3</xdr:col>
      <xdr:colOff>0</xdr:colOff>
      <xdr:row>10</xdr:row>
      <xdr:rowOff>323850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100" y="38100"/>
          <a:ext cx="5232400" cy="1758950"/>
        </a:xfrm>
        <a:prstGeom prst="rect">
          <a:avLst/>
        </a:prstGeom>
        <a:solidFill>
          <a:schemeClr val="bg1"/>
        </a:solidFill>
        <a:ln>
          <a:prstDash val="solid"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5">
    <tabColor theme="9"/>
  </sheetPr>
  <dimension ref="A1:L39"/>
  <sheetViews>
    <sheetView showGridLines="0" tabSelected="1" zoomScaleNormal="100" workbookViewId="0"/>
  </sheetViews>
  <sheetFormatPr defaultColWidth="9.42578125" defaultRowHeight="12.75" x14ac:dyDescent="0.2"/>
  <cols>
    <col min="1" max="1" width="0.5703125" style="165" customWidth="1"/>
    <col min="2" max="3" width="37.42578125" style="165" customWidth="1"/>
    <col min="4" max="33" width="9.42578125" style="165" customWidth="1"/>
    <col min="34" max="16384" width="9.42578125" style="165"/>
  </cols>
  <sheetData>
    <row r="1" spans="2:12" ht="3.75" customHeight="1" thickBot="1" x14ac:dyDescent="0.25"/>
    <row r="2" spans="2:12" x14ac:dyDescent="0.2">
      <c r="B2" s="7"/>
      <c r="C2" s="8"/>
    </row>
    <row r="3" spans="2:12" x14ac:dyDescent="0.2">
      <c r="B3" s="9"/>
      <c r="C3" s="10"/>
    </row>
    <row r="4" spans="2:12" x14ac:dyDescent="0.2">
      <c r="B4" s="9"/>
      <c r="C4" s="10"/>
    </row>
    <row r="5" spans="2:12" x14ac:dyDescent="0.2">
      <c r="B5" s="9"/>
      <c r="C5" s="10"/>
    </row>
    <row r="6" spans="2:12" x14ac:dyDescent="0.2">
      <c r="B6" s="9"/>
      <c r="C6" s="10"/>
    </row>
    <row r="7" spans="2:12" x14ac:dyDescent="0.2">
      <c r="B7" s="9"/>
      <c r="C7" s="10"/>
    </row>
    <row r="8" spans="2:12" x14ac:dyDescent="0.2">
      <c r="B8" s="9"/>
      <c r="C8" s="10"/>
    </row>
    <row r="9" spans="2:12" x14ac:dyDescent="0.2">
      <c r="B9" s="9"/>
      <c r="C9" s="10"/>
    </row>
    <row r="10" spans="2:12" x14ac:dyDescent="0.2">
      <c r="B10" s="9"/>
      <c r="C10" s="10"/>
    </row>
    <row r="11" spans="2:12" s="1" customFormat="1" ht="26.25" customHeight="1" x14ac:dyDescent="0.25">
      <c r="B11" s="11"/>
      <c r="C11" s="12"/>
    </row>
    <row r="12" spans="2:12" s="1" customFormat="1" ht="17.25" customHeight="1" x14ac:dyDescent="0.25">
      <c r="B12" s="256" t="s">
        <v>0</v>
      </c>
      <c r="C12" s="257"/>
    </row>
    <row r="13" spans="2:12" s="2" customFormat="1" ht="33.75" customHeight="1" x14ac:dyDescent="0.25">
      <c r="B13" s="250" t="s">
        <v>252</v>
      </c>
      <c r="C13" s="251"/>
      <c r="G13" s="4"/>
      <c r="H13" s="3"/>
      <c r="I13" s="3"/>
      <c r="J13" s="5"/>
      <c r="K13" s="3"/>
      <c r="L13" s="3"/>
    </row>
    <row r="14" spans="2:12" s="13" customFormat="1" ht="33.75" customHeight="1" x14ac:dyDescent="0.25">
      <c r="B14" s="98" t="s">
        <v>1</v>
      </c>
      <c r="C14" s="99" t="s">
        <v>2</v>
      </c>
    </row>
    <row r="15" spans="2:12" s="13" customFormat="1" ht="33.75" customHeight="1" x14ac:dyDescent="0.25">
      <c r="B15" s="98" t="s">
        <v>3</v>
      </c>
      <c r="C15" s="242">
        <v>46023</v>
      </c>
    </row>
    <row r="16" spans="2:12" s="13" customFormat="1" x14ac:dyDescent="0.25">
      <c r="B16" s="98" t="s">
        <v>4</v>
      </c>
      <c r="C16" s="100" t="s">
        <v>276</v>
      </c>
    </row>
    <row r="17" spans="1:4" s="13" customFormat="1" ht="25.5" customHeight="1" thickBot="1" x14ac:dyDescent="0.3">
      <c r="B17" s="101" t="s">
        <v>5</v>
      </c>
      <c r="C17" s="102" t="s">
        <v>6</v>
      </c>
    </row>
    <row r="18" spans="1:4" ht="14.1" customHeight="1" x14ac:dyDescent="0.2">
      <c r="A18" s="2"/>
      <c r="B18" s="2"/>
      <c r="C18" s="2"/>
      <c r="D18" s="2"/>
    </row>
    <row r="19" spans="1:4" ht="14.1" customHeight="1" x14ac:dyDescent="0.2">
      <c r="A19" s="2"/>
      <c r="B19" s="2"/>
      <c r="C19" s="2"/>
      <c r="D19" s="2"/>
    </row>
    <row r="20" spans="1:4" ht="14.1" customHeight="1" x14ac:dyDescent="0.25">
      <c r="A20" s="2"/>
      <c r="B20" s="252" t="s">
        <v>7</v>
      </c>
      <c r="C20" s="253"/>
      <c r="D20" s="2"/>
    </row>
    <row r="21" spans="1:4" ht="14.1" customHeight="1" x14ac:dyDescent="0.2">
      <c r="A21" s="2"/>
      <c r="B21" s="56"/>
      <c r="C21" s="214" t="s">
        <v>8</v>
      </c>
      <c r="D21" s="2"/>
    </row>
    <row r="22" spans="1:4" ht="14.1" customHeight="1" x14ac:dyDescent="0.2">
      <c r="A22" s="2"/>
      <c r="B22" s="50"/>
      <c r="C22" s="214" t="s">
        <v>9</v>
      </c>
      <c r="D22" s="2"/>
    </row>
    <row r="23" spans="1:4" ht="14.1" customHeight="1" x14ac:dyDescent="0.2">
      <c r="A23" s="2"/>
      <c r="B23" s="215"/>
      <c r="C23" s="214" t="s">
        <v>10</v>
      </c>
      <c r="D23" s="2"/>
    </row>
    <row r="24" spans="1:4" ht="14.1" customHeight="1" x14ac:dyDescent="0.2">
      <c r="A24" s="2"/>
      <c r="B24" s="216"/>
      <c r="C24" s="214" t="s">
        <v>11</v>
      </c>
      <c r="D24" s="2"/>
    </row>
    <row r="25" spans="1:4" ht="14.1" customHeight="1" x14ac:dyDescent="0.2">
      <c r="A25" s="2"/>
      <c r="B25" s="217"/>
      <c r="C25" s="214" t="s">
        <v>12</v>
      </c>
      <c r="D25" s="2"/>
    </row>
    <row r="26" spans="1:4" ht="14.1" customHeight="1" x14ac:dyDescent="0.2">
      <c r="A26" s="2"/>
      <c r="B26" s="218"/>
      <c r="C26" s="214" t="s">
        <v>13</v>
      </c>
      <c r="D26" s="2"/>
    </row>
    <row r="27" spans="1:4" ht="14.1" customHeight="1" x14ac:dyDescent="0.2">
      <c r="A27" s="2"/>
      <c r="B27" s="2"/>
      <c r="C27" s="2"/>
      <c r="D27" s="2"/>
    </row>
    <row r="28" spans="1:4" ht="15" customHeight="1" x14ac:dyDescent="0.25">
      <c r="A28" s="2"/>
      <c r="B28" s="254" t="s">
        <v>14</v>
      </c>
      <c r="C28" s="255"/>
      <c r="D28" s="2"/>
    </row>
    <row r="29" spans="1:4" ht="14.1" customHeight="1" x14ac:dyDescent="0.2">
      <c r="A29" s="2"/>
      <c r="B29" s="50" t="s">
        <v>15</v>
      </c>
      <c r="C29" s="96">
        <v>2026</v>
      </c>
      <c r="D29" s="2"/>
    </row>
    <row r="30" spans="1:4" ht="14.1" customHeight="1" x14ac:dyDescent="0.2">
      <c r="A30" s="2"/>
      <c r="B30" s="50" t="s">
        <v>16</v>
      </c>
      <c r="C30" s="96" t="s">
        <v>266</v>
      </c>
      <c r="D30" s="2"/>
    </row>
    <row r="31" spans="1:4" ht="14.1" customHeight="1" x14ac:dyDescent="0.2">
      <c r="A31" s="2"/>
      <c r="B31" s="51" t="s">
        <v>17</v>
      </c>
      <c r="C31" s="97">
        <f>IF(C30="SDE++",4,IF(C30="SCE",3,0))</f>
        <v>0</v>
      </c>
      <c r="D31" s="2"/>
    </row>
    <row r="32" spans="1:4" ht="14.1" customHeight="1" x14ac:dyDescent="0.2">
      <c r="A32" s="2"/>
      <c r="B32" s="2"/>
      <c r="C32" s="2"/>
      <c r="D32" s="2"/>
    </row>
    <row r="33" spans="2:3" x14ac:dyDescent="0.2">
      <c r="B33" s="64" t="s">
        <v>18</v>
      </c>
      <c r="C33" s="136" t="s">
        <v>19</v>
      </c>
    </row>
    <row r="34" spans="2:3" x14ac:dyDescent="0.2">
      <c r="B34" s="50" t="s">
        <v>20</v>
      </c>
      <c r="C34" s="14">
        <v>300</v>
      </c>
    </row>
    <row r="35" spans="2:3" x14ac:dyDescent="0.2">
      <c r="B35" s="50" t="s">
        <v>21</v>
      </c>
      <c r="C35" s="14">
        <v>300</v>
      </c>
    </row>
    <row r="36" spans="2:3" x14ac:dyDescent="0.2">
      <c r="B36" s="50" t="s">
        <v>22</v>
      </c>
      <c r="C36" s="14">
        <v>400</v>
      </c>
    </row>
    <row r="37" spans="2:3" x14ac:dyDescent="0.2">
      <c r="B37" s="50" t="s">
        <v>23</v>
      </c>
      <c r="C37" s="14">
        <v>400</v>
      </c>
    </row>
    <row r="38" spans="2:3" x14ac:dyDescent="0.2">
      <c r="B38" s="50" t="s">
        <v>24</v>
      </c>
      <c r="C38" s="14">
        <v>400</v>
      </c>
    </row>
    <row r="39" spans="2:3" ht="12.75" customHeight="1" x14ac:dyDescent="0.2">
      <c r="B39" s="51" t="s">
        <v>25</v>
      </c>
      <c r="C39" s="15">
        <v>300</v>
      </c>
    </row>
  </sheetData>
  <mergeCells count="4">
    <mergeCell ref="B13:C13"/>
    <mergeCell ref="B20:C20"/>
    <mergeCell ref="B28:C28"/>
    <mergeCell ref="B12:C12"/>
  </mergeCells>
  <dataValidations count="1">
    <dataValidation type="list" allowBlank="1" showInputMessage="1" showErrorMessage="1" sqref="C30" xr:uid="{00000000-0002-0000-0000-000000000000}">
      <formula1>"SDE++,SCE,TOWOZ"</formula1>
    </dataValidation>
  </dataValidations>
  <pageMargins left="0.75" right="0.75" top="1" bottom="1" header="0.5" footer="0.5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/>
  <dimension ref="A1:Q34"/>
  <sheetViews>
    <sheetView showGridLines="0" topLeftCell="D1" zoomScaleNormal="100" workbookViewId="0">
      <selection activeCell="E8" sqref="E8"/>
    </sheetView>
  </sheetViews>
  <sheetFormatPr defaultColWidth="9.42578125" defaultRowHeight="18.75" customHeight="1" x14ac:dyDescent="0.2"/>
  <cols>
    <col min="1" max="1" width="36.42578125" style="43" customWidth="1"/>
    <col min="2" max="2" width="79.42578125" style="44" customWidth="1"/>
    <col min="3" max="3" width="22.5703125" style="44" customWidth="1"/>
    <col min="4" max="4" width="19.5703125" style="43" bestFit="1" customWidth="1"/>
    <col min="5" max="5" width="91.5703125" style="44" bestFit="1" customWidth="1"/>
    <col min="6" max="6" width="33.42578125" style="43" customWidth="1"/>
    <col min="7" max="7" width="99.5703125" style="44" bestFit="1" customWidth="1"/>
    <col min="8" max="8" width="19.5703125" style="43" bestFit="1" customWidth="1"/>
    <col min="9" max="9" width="97.5703125" style="44" customWidth="1"/>
    <col min="10" max="39" width="9.42578125" style="44" customWidth="1"/>
    <col min="40" max="16384" width="9.42578125" style="44"/>
  </cols>
  <sheetData>
    <row r="1" spans="1:17" s="39" customFormat="1" ht="18.75" customHeight="1" x14ac:dyDescent="0.25">
      <c r="A1" s="103" t="s">
        <v>99</v>
      </c>
      <c r="B1" s="104"/>
      <c r="C1" s="105"/>
      <c r="D1" s="260" t="s">
        <v>264</v>
      </c>
      <c r="E1" s="261"/>
      <c r="F1" s="260" t="str">
        <f>+"Langetermijnprijs TOWOZ "&amp;Colofon!$C$29&amp;" (t.b.v. rangschikking)"</f>
        <v>Langetermijnprijs TOWOZ 2026 (t.b.v. rangschikking)</v>
      </c>
      <c r="G1" s="261"/>
      <c r="H1" s="258" t="str">
        <f>+"Basis- of bodemprijs TOWOZ "&amp;Colofon!$C$29</f>
        <v>Basis- of bodemprijs TOWOZ 2026</v>
      </c>
      <c r="I1" s="259"/>
    </row>
    <row r="2" spans="1:17" s="40" customFormat="1" ht="18.75" customHeight="1" x14ac:dyDescent="0.2">
      <c r="A2" s="106" t="s">
        <v>100</v>
      </c>
      <c r="B2" s="107" t="s">
        <v>101</v>
      </c>
      <c r="C2" s="108" t="s">
        <v>32</v>
      </c>
      <c r="D2" s="109" t="s">
        <v>37</v>
      </c>
      <c r="E2" s="110" t="s">
        <v>102</v>
      </c>
      <c r="F2" s="109" t="s">
        <v>37</v>
      </c>
      <c r="G2" s="110" t="s">
        <v>102</v>
      </c>
      <c r="H2" s="109" t="s">
        <v>37</v>
      </c>
      <c r="I2" s="111" t="s">
        <v>102</v>
      </c>
    </row>
    <row r="3" spans="1:17" s="41" customFormat="1" ht="18.75" customHeight="1" x14ac:dyDescent="0.2">
      <c r="A3" s="139" t="s">
        <v>253</v>
      </c>
      <c r="B3" s="124" t="s">
        <v>254</v>
      </c>
      <c r="C3" s="125" t="s">
        <v>21</v>
      </c>
      <c r="D3" s="166">
        <f>D18*D19</f>
        <v>7.425000000000001E-2</v>
      </c>
      <c r="E3" s="128" t="s">
        <v>255</v>
      </c>
      <c r="F3" s="167">
        <f>H18*H19</f>
        <v>5.6540737536000002E-2</v>
      </c>
      <c r="G3" s="128" t="s">
        <v>256</v>
      </c>
      <c r="H3" s="167">
        <f>2/3*H18*H19</f>
        <v>3.7693825023999997E-2</v>
      </c>
      <c r="I3" s="129" t="s">
        <v>257</v>
      </c>
    </row>
    <row r="4" spans="1:17" s="41" customFormat="1" ht="18.75" customHeight="1" thickBot="1" x14ac:dyDescent="0.25">
      <c r="A4" s="168"/>
      <c r="D4" s="169"/>
      <c r="E4" s="42"/>
      <c r="F4" s="169"/>
      <c r="G4" s="42"/>
      <c r="H4" s="170"/>
      <c r="I4" s="42"/>
    </row>
    <row r="5" spans="1:17" s="41" customFormat="1" ht="18.75" customHeight="1" x14ac:dyDescent="0.25">
      <c r="A5" s="103" t="s">
        <v>105</v>
      </c>
      <c r="B5" s="112"/>
      <c r="C5" s="231"/>
      <c r="D5" s="105" t="s">
        <v>265</v>
      </c>
      <c r="E5" s="234"/>
      <c r="F5" s="258" t="str">
        <f>+"Langetermijnprijs TOWOZ "&amp;Colofon!$C$29&amp;" (t.b.v. rangschikking)"</f>
        <v>Langetermijnprijs TOWOZ 2026 (t.b.v. rangschikking)</v>
      </c>
      <c r="G5" s="259"/>
    </row>
    <row r="6" spans="1:17" s="41" customFormat="1" ht="18.75" customHeight="1" x14ac:dyDescent="0.2">
      <c r="A6" s="106" t="s">
        <v>100</v>
      </c>
      <c r="B6" s="107" t="s">
        <v>101</v>
      </c>
      <c r="C6" s="232" t="s">
        <v>106</v>
      </c>
      <c r="D6" s="107" t="s">
        <v>37</v>
      </c>
      <c r="E6" s="235" t="s">
        <v>107</v>
      </c>
      <c r="F6" s="109" t="s">
        <v>37</v>
      </c>
      <c r="G6" s="111" t="s">
        <v>102</v>
      </c>
    </row>
    <row r="7" spans="1:17" s="41" customFormat="1" ht="18.75" customHeight="1" x14ac:dyDescent="0.2">
      <c r="A7" s="139" t="s">
        <v>253</v>
      </c>
      <c r="B7" s="124" t="s">
        <v>263</v>
      </c>
      <c r="C7" s="233" t="s">
        <v>108</v>
      </c>
      <c r="D7" s="166">
        <v>2E-3</v>
      </c>
      <c r="E7" s="236" t="s">
        <v>109</v>
      </c>
      <c r="F7" s="166">
        <v>2E-3</v>
      </c>
      <c r="G7" s="130" t="s">
        <v>110</v>
      </c>
    </row>
    <row r="8" spans="1:17" ht="18.75" customHeight="1" thickBot="1" x14ac:dyDescent="0.25"/>
    <row r="9" spans="1:17" s="41" customFormat="1" ht="18.75" customHeight="1" x14ac:dyDescent="0.25">
      <c r="A9" s="103" t="s">
        <v>111</v>
      </c>
      <c r="B9" s="112"/>
      <c r="C9" s="231"/>
      <c r="D9" s="105" t="s">
        <v>265</v>
      </c>
      <c r="E9" s="113"/>
      <c r="F9" s="258" t="str">
        <f>+"Langetermijnprijs TOWOZ "&amp;Colofon!$C$29&amp;" (t.b.v. rangschikking)"</f>
        <v>Langetermijnprijs TOWOZ 2026 (t.b.v. rangschikking)</v>
      </c>
      <c r="G9" s="259"/>
    </row>
    <row r="10" spans="1:17" s="41" customFormat="1" ht="18.75" customHeight="1" x14ac:dyDescent="0.2">
      <c r="A10" s="106" t="s">
        <v>100</v>
      </c>
      <c r="B10" s="107" t="s">
        <v>101</v>
      </c>
      <c r="C10" s="232" t="s">
        <v>106</v>
      </c>
      <c r="D10" s="107" t="s">
        <v>37</v>
      </c>
      <c r="E10" s="114" t="s">
        <v>107</v>
      </c>
      <c r="F10" s="109" t="s">
        <v>37</v>
      </c>
      <c r="G10" s="111" t="s">
        <v>102</v>
      </c>
    </row>
    <row r="11" spans="1:17" s="41" customFormat="1" ht="18.75" customHeight="1" thickBot="1" x14ac:dyDescent="0.25">
      <c r="A11" s="45"/>
      <c r="B11" s="46"/>
      <c r="C11" s="45"/>
      <c r="D11" s="171"/>
      <c r="E11" s="47"/>
      <c r="F11" s="171"/>
      <c r="I11" s="42"/>
    </row>
    <row r="12" spans="1:17" s="41" customFormat="1" ht="18.75" customHeight="1" x14ac:dyDescent="0.25">
      <c r="A12" s="103" t="s">
        <v>112</v>
      </c>
      <c r="B12" s="112"/>
      <c r="C12" s="231"/>
      <c r="D12" s="105" t="s">
        <v>265</v>
      </c>
      <c r="E12" s="234"/>
      <c r="F12" s="258" t="str">
        <f>+"Langetermijnprijs TOWOZ "&amp;Colofon!$C$29&amp;" (t.b.v. rangschikking)"</f>
        <v>Langetermijnprijs TOWOZ 2026 (t.b.v. rangschikking)</v>
      </c>
      <c r="G12" s="259"/>
    </row>
    <row r="13" spans="1:17" s="41" customFormat="1" ht="18.75" customHeight="1" x14ac:dyDescent="0.2">
      <c r="A13" s="106" t="s">
        <v>113</v>
      </c>
      <c r="B13" s="107" t="s">
        <v>101</v>
      </c>
      <c r="C13" s="232" t="s">
        <v>114</v>
      </c>
      <c r="D13" s="107" t="s">
        <v>37</v>
      </c>
      <c r="E13" s="235" t="s">
        <v>107</v>
      </c>
      <c r="F13" s="109" t="s">
        <v>37</v>
      </c>
      <c r="G13" s="111" t="s">
        <v>102</v>
      </c>
    </row>
    <row r="14" spans="1:17" s="41" customFormat="1" ht="18.75" customHeight="1" x14ac:dyDescent="0.2">
      <c r="A14" s="237">
        <v>0</v>
      </c>
      <c r="B14" s="124" t="s">
        <v>115</v>
      </c>
      <c r="C14" s="127"/>
      <c r="D14" s="166">
        <v>0</v>
      </c>
      <c r="E14" s="135">
        <v>0</v>
      </c>
      <c r="F14" s="166">
        <v>0</v>
      </c>
      <c r="G14" s="132">
        <v>0</v>
      </c>
      <c r="Q14" s="42"/>
    </row>
    <row r="15" spans="1:17" s="41" customFormat="1" ht="18.75" customHeight="1" thickBot="1" x14ac:dyDescent="0.25">
      <c r="A15" s="168"/>
      <c r="D15" s="169"/>
      <c r="E15" s="42"/>
      <c r="F15" s="170"/>
      <c r="G15" s="42"/>
      <c r="H15" s="169"/>
      <c r="I15" s="42"/>
    </row>
    <row r="16" spans="1:17" s="41" customFormat="1" ht="18.75" customHeight="1" x14ac:dyDescent="0.25">
      <c r="A16" s="172" t="s">
        <v>116</v>
      </c>
      <c r="B16" s="115"/>
      <c r="C16" s="104"/>
      <c r="D16" s="173"/>
      <c r="E16" s="113"/>
      <c r="F16" s="174"/>
      <c r="G16" s="116"/>
      <c r="H16" s="173"/>
      <c r="I16" s="117"/>
    </row>
    <row r="17" spans="1:9" s="41" customFormat="1" ht="18.75" customHeight="1" x14ac:dyDescent="0.2">
      <c r="A17" s="118" t="s">
        <v>26</v>
      </c>
      <c r="B17" s="119" t="s">
        <v>101</v>
      </c>
      <c r="C17" s="120" t="s">
        <v>114</v>
      </c>
      <c r="D17" s="120" t="s">
        <v>117</v>
      </c>
      <c r="E17" s="121" t="s">
        <v>118</v>
      </c>
      <c r="F17" s="122" t="s">
        <v>26</v>
      </c>
      <c r="G17" s="119" t="s">
        <v>101</v>
      </c>
      <c r="H17" s="119" t="s">
        <v>119</v>
      </c>
      <c r="I17" s="123" t="s">
        <v>118</v>
      </c>
    </row>
    <row r="18" spans="1:9" s="41" customFormat="1" ht="18.75" customHeight="1" x14ac:dyDescent="0.2">
      <c r="A18" s="133" t="s">
        <v>103</v>
      </c>
      <c r="B18" s="124" t="s">
        <v>121</v>
      </c>
      <c r="C18" s="131" t="s">
        <v>120</v>
      </c>
      <c r="D18" s="175">
        <v>8.2500000000000004E-2</v>
      </c>
      <c r="E18" s="135" t="s">
        <v>267</v>
      </c>
      <c r="F18" s="126" t="s">
        <v>104</v>
      </c>
      <c r="G18" s="124" t="s">
        <v>122</v>
      </c>
      <c r="H18" s="175">
        <v>7.3620751999999998E-2</v>
      </c>
      <c r="I18" s="132" t="str">
        <f>"Ongewogen gemiddelde reële prijzen elektriciteit basislast periode "&amp;Colofon!$C$29&amp;"-"&amp;Colofon!$C$29+14&amp;" (KEV"&amp;Colofon!$C$29-1&amp;")"</f>
        <v>Ongewogen gemiddelde reële prijzen elektriciteit basislast periode 2026-2040 (KEV2025)</v>
      </c>
    </row>
    <row r="19" spans="1:9" s="41" customFormat="1" ht="18.75" customHeight="1" x14ac:dyDescent="0.2">
      <c r="A19" s="133" t="s">
        <v>258</v>
      </c>
      <c r="B19" s="126" t="s">
        <v>259</v>
      </c>
      <c r="C19" s="134"/>
      <c r="D19" s="176">
        <v>0.9</v>
      </c>
      <c r="E19" s="135"/>
      <c r="F19" s="126" t="s">
        <v>260</v>
      </c>
      <c r="G19" s="126" t="s">
        <v>261</v>
      </c>
      <c r="H19" s="248">
        <v>0.76800000000000002</v>
      </c>
      <c r="I19" s="132" t="s">
        <v>262</v>
      </c>
    </row>
    <row r="20" spans="1:9" ht="18.75" customHeight="1" x14ac:dyDescent="0.2">
      <c r="A20" s="48"/>
      <c r="B20" s="49"/>
      <c r="C20" s="49"/>
      <c r="D20" s="49"/>
      <c r="E20" s="49"/>
      <c r="F20" s="49"/>
      <c r="G20" s="49"/>
      <c r="H20" s="49"/>
      <c r="I20" s="49"/>
    </row>
    <row r="21" spans="1:9" ht="18.75" customHeight="1" x14ac:dyDescent="0.2">
      <c r="A21" s="48"/>
    </row>
    <row r="22" spans="1:9" ht="18.75" customHeight="1" x14ac:dyDescent="0.2">
      <c r="A22" s="48"/>
      <c r="D22" s="177"/>
    </row>
    <row r="23" spans="1:9" ht="18.75" customHeight="1" x14ac:dyDescent="0.2">
      <c r="A23" s="48"/>
    </row>
    <row r="24" spans="1:9" ht="18.75" customHeight="1" x14ac:dyDescent="0.2">
      <c r="A24" s="48"/>
    </row>
    <row r="25" spans="1:9" ht="18.75" customHeight="1" x14ac:dyDescent="0.2">
      <c r="A25" s="48"/>
      <c r="C25" s="49"/>
      <c r="D25" s="49"/>
      <c r="E25" s="49"/>
    </row>
    <row r="26" spans="1:9" ht="18.75" customHeight="1" x14ac:dyDescent="0.2">
      <c r="A26" s="48"/>
      <c r="C26" s="49"/>
      <c r="D26" s="49"/>
      <c r="E26" s="49"/>
    </row>
    <row r="27" spans="1:9" ht="18.75" customHeight="1" x14ac:dyDescent="0.2">
      <c r="A27" s="48"/>
      <c r="C27" s="49"/>
      <c r="D27" s="49"/>
      <c r="E27" s="49"/>
    </row>
    <row r="28" spans="1:9" ht="18.75" customHeight="1" x14ac:dyDescent="0.2">
      <c r="A28" s="48"/>
      <c r="C28" s="49"/>
      <c r="D28" s="49"/>
      <c r="E28" s="49"/>
    </row>
    <row r="29" spans="1:9" ht="18.75" customHeight="1" x14ac:dyDescent="0.2">
      <c r="A29" s="48"/>
      <c r="C29" s="49"/>
      <c r="D29" s="49"/>
      <c r="E29" s="49"/>
    </row>
    <row r="30" spans="1:9" ht="18.75" customHeight="1" x14ac:dyDescent="0.2">
      <c r="C30" s="49"/>
      <c r="D30" s="49"/>
      <c r="E30" s="49"/>
    </row>
    <row r="31" spans="1:9" ht="18.75" customHeight="1" x14ac:dyDescent="0.2">
      <c r="C31" s="49"/>
      <c r="D31" s="49"/>
      <c r="E31" s="49"/>
    </row>
    <row r="32" spans="1:9" ht="18.75" customHeight="1" x14ac:dyDescent="0.2">
      <c r="C32" s="49"/>
      <c r="D32" s="49"/>
      <c r="E32" s="49"/>
    </row>
    <row r="33" spans="3:5" ht="18.75" customHeight="1" x14ac:dyDescent="0.2">
      <c r="C33" s="49"/>
      <c r="D33" s="49"/>
      <c r="E33" s="49"/>
    </row>
    <row r="34" spans="3:5" ht="18.75" customHeight="1" x14ac:dyDescent="0.2">
      <c r="C34" s="49"/>
      <c r="D34" s="49"/>
      <c r="E34" s="49"/>
    </row>
  </sheetData>
  <mergeCells count="6">
    <mergeCell ref="F9:G9"/>
    <mergeCell ref="F5:G5"/>
    <mergeCell ref="D1:E1"/>
    <mergeCell ref="H1:I1"/>
    <mergeCell ref="F12:G12"/>
    <mergeCell ref="F1:G1"/>
  </mergeCell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14A03C-8F9D-4FD7-864B-BCD5172CAA95}">
  <sheetPr codeName="Sheet137">
    <pageSetUpPr fitToPage="1"/>
  </sheetPr>
  <dimension ref="A1:AR190"/>
  <sheetViews>
    <sheetView showGridLines="0" zoomScaleNormal="100" workbookViewId="0"/>
  </sheetViews>
  <sheetFormatPr defaultColWidth="12.5703125" defaultRowHeight="12.75" x14ac:dyDescent="0.2"/>
  <cols>
    <col min="1" max="1" width="1.42578125" style="241" customWidth="1"/>
    <col min="2" max="2" width="53.42578125" style="241" customWidth="1"/>
    <col min="3" max="3" width="17.5703125" style="17" customWidth="1"/>
    <col min="4" max="4" width="29.42578125" style="17" bestFit="1" customWidth="1"/>
    <col min="5" max="5" width="20.42578125" style="241" customWidth="1"/>
    <col min="6" max="12" width="12.5703125" style="241" customWidth="1"/>
    <col min="13" max="13" width="15.42578125" style="241" customWidth="1"/>
    <col min="14" max="43" width="12.5703125" style="241" customWidth="1"/>
    <col min="44" max="16384" width="12.5703125" style="241"/>
  </cols>
  <sheetData>
    <row r="1" spans="1:44" ht="20.100000000000001" customHeight="1" x14ac:dyDescent="0.3">
      <c r="A1" s="16" t="str">
        <f>CONCATENATE("Berekening basisbedragen: ", Colofon!C16)</f>
        <v>Berekening basisbedragen: Advies TOWOZ 2026</v>
      </c>
    </row>
    <row r="2" spans="1:44" s="18" customFormat="1" ht="20.100000000000001" customHeight="1" x14ac:dyDescent="0.3">
      <c r="A2" s="142" t="s">
        <v>268</v>
      </c>
      <c r="C2" s="19"/>
      <c r="D2" s="19"/>
      <c r="G2" s="20"/>
    </row>
    <row r="4" spans="1:44" ht="15" customHeight="1" x14ac:dyDescent="0.25">
      <c r="B4" s="56" t="s">
        <v>124</v>
      </c>
      <c r="C4" s="57" t="s">
        <v>37</v>
      </c>
      <c r="D4" s="57" t="s">
        <v>114</v>
      </c>
      <c r="E4" s="262" t="s">
        <v>31</v>
      </c>
      <c r="F4" s="263"/>
      <c r="G4" s="263"/>
      <c r="H4" s="263"/>
      <c r="I4" s="263"/>
      <c r="J4" s="263"/>
      <c r="K4" s="263"/>
      <c r="L4" s="263"/>
      <c r="M4" s="255"/>
    </row>
    <row r="5" spans="1:44" ht="12.95" customHeight="1" x14ac:dyDescent="0.25">
      <c r="B5" s="50" t="s">
        <v>28</v>
      </c>
      <c r="C5" s="281">
        <f>ROUND((C157-C149)/C150,4)</f>
        <v>0.10050000000000001</v>
      </c>
      <c r="D5" s="52" t="str">
        <f>CONCATENATE("Euro/",$C$7)</f>
        <v>Euro/kWh</v>
      </c>
      <c r="E5" s="264" t="s">
        <v>125</v>
      </c>
      <c r="F5" s="265"/>
      <c r="G5" s="265"/>
      <c r="H5" s="265"/>
      <c r="I5" s="265"/>
      <c r="J5" s="265"/>
      <c r="K5" s="265"/>
      <c r="L5" s="265"/>
      <c r="M5" s="266"/>
    </row>
    <row r="6" spans="1:44" ht="12.95" customHeight="1" x14ac:dyDescent="0.25">
      <c r="B6" s="50" t="s">
        <v>27</v>
      </c>
      <c r="C6" s="71">
        <f>(ROUND(C5,4)-(ROUND(C164,4)+ROUND(C166,4)+ROUND(C167,4)+ROUND(C169,4)))/ROUND(C70,4)*1000</f>
        <v>199.61977186311788</v>
      </c>
      <c r="D6" s="53" t="s">
        <v>126</v>
      </c>
      <c r="E6" s="264" t="s">
        <v>127</v>
      </c>
      <c r="F6" s="265"/>
      <c r="G6" s="265"/>
      <c r="H6" s="265"/>
      <c r="I6" s="265"/>
      <c r="J6" s="265"/>
      <c r="K6" s="265"/>
      <c r="L6" s="265"/>
      <c r="M6" s="266"/>
    </row>
    <row r="7" spans="1:44" ht="12.95" customHeight="1" x14ac:dyDescent="0.2">
      <c r="B7" s="50" t="s">
        <v>34</v>
      </c>
      <c r="C7" s="79" t="s">
        <v>35</v>
      </c>
      <c r="D7" s="54"/>
      <c r="E7" s="137" t="s">
        <v>128</v>
      </c>
      <c r="F7" s="137"/>
      <c r="G7" s="137"/>
      <c r="H7" s="137"/>
      <c r="I7" s="137"/>
      <c r="J7" s="137"/>
      <c r="K7" s="137"/>
      <c r="L7" s="137"/>
      <c r="M7" s="240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</row>
    <row r="8" spans="1:44" ht="12.95" customHeight="1" x14ac:dyDescent="0.25">
      <c r="B8" s="50" t="s">
        <v>36</v>
      </c>
      <c r="C8" s="72" t="str">
        <f>IF(C7="kWh","kW",IF(C7="t CO2","t CO2/uur","foutmelding"))</f>
        <v>kW</v>
      </c>
      <c r="D8" s="54"/>
      <c r="E8" s="264"/>
      <c r="F8" s="265"/>
      <c r="G8" s="265"/>
      <c r="H8" s="265"/>
      <c r="I8" s="265"/>
      <c r="J8" s="265"/>
      <c r="K8" s="265"/>
      <c r="L8" s="265"/>
      <c r="M8" s="266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/>
      <c r="AO8" s="21"/>
      <c r="AP8" s="21"/>
      <c r="AQ8" s="21"/>
      <c r="AR8" s="21"/>
    </row>
    <row r="9" spans="1:44" ht="12.95" customHeight="1" x14ac:dyDescent="0.2">
      <c r="B9" s="51" t="s">
        <v>18</v>
      </c>
      <c r="C9" s="80" t="s">
        <v>21</v>
      </c>
      <c r="D9" s="55"/>
      <c r="E9" s="138" t="s">
        <v>129</v>
      </c>
      <c r="F9" s="138"/>
      <c r="G9" s="138"/>
      <c r="H9" s="138"/>
      <c r="I9" s="138"/>
      <c r="J9" s="138"/>
      <c r="K9" s="138"/>
      <c r="L9" s="138"/>
      <c r="M9" s="238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</row>
    <row r="10" spans="1:44" s="22" customFormat="1" ht="12.95" customHeight="1" x14ac:dyDescent="0.2">
      <c r="B10" s="21"/>
      <c r="C10" s="21"/>
      <c r="D10" s="21"/>
      <c r="E10" s="23"/>
      <c r="F10" s="23"/>
      <c r="G10" s="23"/>
      <c r="H10" s="23"/>
      <c r="I10" s="23"/>
      <c r="J10" s="23"/>
      <c r="K10" s="23"/>
      <c r="L10" s="23"/>
      <c r="M10" s="23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/>
      <c r="AP10" s="21"/>
      <c r="AQ10" s="21"/>
      <c r="AR10" s="21"/>
    </row>
    <row r="11" spans="1:44" ht="12.95" customHeight="1" x14ac:dyDescent="0.25">
      <c r="B11" s="56" t="s">
        <v>130</v>
      </c>
      <c r="C11" s="57" t="s">
        <v>37</v>
      </c>
      <c r="D11" s="57" t="s">
        <v>131</v>
      </c>
      <c r="E11" s="262" t="s">
        <v>31</v>
      </c>
      <c r="F11" s="263"/>
      <c r="G11" s="263"/>
      <c r="H11" s="263"/>
      <c r="I11" s="263"/>
      <c r="J11" s="263"/>
      <c r="K11" s="263"/>
      <c r="L11" s="263"/>
      <c r="M11" s="255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</row>
    <row r="12" spans="1:44" ht="12.95" customHeight="1" x14ac:dyDescent="0.25">
      <c r="B12" s="58" t="s">
        <v>38</v>
      </c>
      <c r="C12" s="140" t="s">
        <v>253</v>
      </c>
      <c r="D12" s="59" t="str">
        <f>_xlfn.XLOOKUP(C12,Correcties!A3:A3,Correcties!B3:B3,"")</f>
        <v>Elektriciteiit-WOZ (vanaf 2025)</v>
      </c>
      <c r="E12" s="267" t="str">
        <f>IFERROR(INDEX(Correcties!$A$1:$I$244,MATCH('IJv-a'!C12,Correcties!$A$1:$A$244,0),5),"")</f>
        <v>EPEX2 x PF_WOZ</v>
      </c>
      <c r="F12" s="263"/>
      <c r="G12" s="263"/>
      <c r="H12" s="263"/>
      <c r="I12" s="263"/>
      <c r="J12" s="263"/>
      <c r="K12" s="263"/>
      <c r="L12" s="263"/>
      <c r="M12" s="255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</row>
    <row r="13" spans="1:44" ht="12.95" customHeight="1" x14ac:dyDescent="0.25">
      <c r="B13" s="50" t="s">
        <v>39</v>
      </c>
      <c r="C13" s="140">
        <v>0</v>
      </c>
      <c r="D13" s="60" t="str">
        <f>_xlfn.XLOOKUP(C13,Correcties!A14:A14,Correcties!B14:B14)</f>
        <v>Geen ETS-correctie</v>
      </c>
      <c r="E13" s="264">
        <f>_xlfn.XLOOKUP(C13,Correcties!A14:A14,Correcties!E14:E14)</f>
        <v>0</v>
      </c>
      <c r="F13" s="265"/>
      <c r="G13" s="265"/>
      <c r="H13" s="265"/>
      <c r="I13" s="265"/>
      <c r="J13" s="265"/>
      <c r="K13" s="265"/>
      <c r="L13" s="265"/>
      <c r="M13" s="266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</row>
    <row r="14" spans="1:44" ht="12.95" customHeight="1" x14ac:dyDescent="0.2">
      <c r="B14" s="50" t="s">
        <v>132</v>
      </c>
      <c r="C14" s="79" t="s">
        <v>40</v>
      </c>
      <c r="D14" s="60" t="s">
        <v>133</v>
      </c>
      <c r="E14" s="137" t="s">
        <v>134</v>
      </c>
      <c r="F14" s="137"/>
      <c r="G14" s="137"/>
      <c r="H14" s="137"/>
      <c r="I14" s="137"/>
      <c r="J14" s="137"/>
      <c r="K14" s="137"/>
      <c r="L14" s="137"/>
      <c r="M14" s="240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</row>
    <row r="15" spans="1:44" ht="15" customHeight="1" x14ac:dyDescent="0.25">
      <c r="B15" s="50" t="s">
        <v>41</v>
      </c>
      <c r="C15" s="140"/>
      <c r="D15" s="53" t="str">
        <f>_xlfn.XLOOKUP(C15,Correcties!A3:A3,Correcties!B3:B3,"")</f>
        <v/>
      </c>
      <c r="E15" s="264" t="str">
        <f>"Enkel relevant voor zon-pv. "&amp;_xlfn.XLOOKUP(C15,Correcties!A3:A3,Correcties!E3:E3,"")</f>
        <v xml:space="preserve">Enkel relevant voor zon-pv. </v>
      </c>
      <c r="F15" s="265"/>
      <c r="G15" s="265"/>
      <c r="H15" s="265"/>
      <c r="I15" s="265"/>
      <c r="J15" s="265"/>
      <c r="K15" s="265"/>
      <c r="L15" s="265"/>
      <c r="M15" s="266"/>
    </row>
    <row r="16" spans="1:44" ht="15" customHeight="1" x14ac:dyDescent="0.25">
      <c r="B16" s="50" t="s">
        <v>42</v>
      </c>
      <c r="C16" s="140"/>
      <c r="D16" s="53" t="str">
        <f>_xlfn.XLOOKUP(C16,Correcties!A3:A3,Correcties!B3:B3,"")</f>
        <v/>
      </c>
      <c r="E16" s="264" t="str">
        <f>"Enkel relevant voor zon-pv. "&amp;_xlfn.XLOOKUP(C16,Correcties!A3:A3,Correcties!E3:E3,"")</f>
        <v xml:space="preserve">Enkel relevant voor zon-pv. </v>
      </c>
      <c r="F16" s="265"/>
      <c r="G16" s="265"/>
      <c r="H16" s="265"/>
      <c r="I16" s="265"/>
      <c r="J16" s="265"/>
      <c r="K16" s="265"/>
      <c r="L16" s="265"/>
      <c r="M16" s="266"/>
    </row>
    <row r="17" spans="2:13" ht="15" customHeight="1" x14ac:dyDescent="0.25">
      <c r="B17" s="50" t="s">
        <v>43</v>
      </c>
      <c r="C17" s="81"/>
      <c r="D17" s="53"/>
      <c r="E17" s="264" t="s">
        <v>135</v>
      </c>
      <c r="F17" s="265"/>
      <c r="G17" s="265"/>
      <c r="H17" s="265"/>
      <c r="I17" s="265"/>
      <c r="J17" s="265"/>
      <c r="K17" s="265"/>
      <c r="L17" s="265"/>
      <c r="M17" s="266"/>
    </row>
    <row r="18" spans="2:13" ht="15" customHeight="1" x14ac:dyDescent="0.25">
      <c r="B18" s="51" t="s">
        <v>44</v>
      </c>
      <c r="C18" s="82"/>
      <c r="D18" s="61"/>
      <c r="E18" s="268" t="s">
        <v>136</v>
      </c>
      <c r="F18" s="269"/>
      <c r="G18" s="269"/>
      <c r="H18" s="269"/>
      <c r="I18" s="269"/>
      <c r="J18" s="269"/>
      <c r="K18" s="269"/>
      <c r="L18" s="269"/>
      <c r="M18" s="270"/>
    </row>
    <row r="19" spans="2:13" x14ac:dyDescent="0.2">
      <c r="C19" s="24"/>
    </row>
    <row r="20" spans="2:13" ht="15" customHeight="1" x14ac:dyDescent="0.25">
      <c r="B20" s="56" t="s">
        <v>137</v>
      </c>
      <c r="C20" s="57" t="s">
        <v>37</v>
      </c>
      <c r="D20" s="57" t="s">
        <v>114</v>
      </c>
      <c r="E20" s="262" t="s">
        <v>31</v>
      </c>
      <c r="F20" s="263"/>
      <c r="G20" s="263"/>
      <c r="H20" s="263"/>
      <c r="I20" s="263"/>
      <c r="J20" s="263"/>
      <c r="K20" s="263"/>
      <c r="L20" s="263"/>
      <c r="M20" s="255"/>
    </row>
    <row r="21" spans="2:13" ht="15" customHeight="1" x14ac:dyDescent="0.25">
      <c r="B21" s="50" t="s">
        <v>45</v>
      </c>
      <c r="C21" s="79"/>
      <c r="D21" s="52" t="str">
        <f>C8</f>
        <v>kW</v>
      </c>
      <c r="E21" s="264"/>
      <c r="F21" s="265"/>
      <c r="G21" s="265"/>
      <c r="H21" s="265"/>
      <c r="I21" s="265"/>
      <c r="J21" s="265"/>
      <c r="K21" s="265"/>
      <c r="L21" s="265"/>
      <c r="M21" s="266"/>
    </row>
    <row r="22" spans="2:13" ht="12.95" customHeight="1" x14ac:dyDescent="0.25">
      <c r="B22" s="50" t="s">
        <v>46</v>
      </c>
      <c r="C22" s="178"/>
      <c r="D22" s="52"/>
      <c r="E22" s="264" t="s">
        <v>138</v>
      </c>
      <c r="F22" s="265"/>
      <c r="G22" s="265"/>
      <c r="H22" s="265"/>
      <c r="I22" s="265"/>
      <c r="J22" s="265"/>
      <c r="K22" s="265"/>
      <c r="L22" s="265"/>
      <c r="M22" s="266"/>
    </row>
    <row r="23" spans="2:13" x14ac:dyDescent="0.2">
      <c r="B23" s="50" t="s">
        <v>47</v>
      </c>
      <c r="C23" s="79"/>
      <c r="D23" s="53"/>
      <c r="E23" s="137" t="s">
        <v>139</v>
      </c>
      <c r="F23" s="137"/>
      <c r="G23" s="137"/>
      <c r="H23" s="137"/>
      <c r="I23" s="137"/>
      <c r="J23" s="137"/>
      <c r="K23" s="137"/>
      <c r="L23" s="137"/>
      <c r="M23" s="240"/>
    </row>
    <row r="24" spans="2:13" ht="15" customHeight="1" x14ac:dyDescent="0.25">
      <c r="B24" s="62" t="s">
        <v>140</v>
      </c>
      <c r="C24" s="83"/>
      <c r="D24" s="53"/>
      <c r="E24" s="264" t="s">
        <v>141</v>
      </c>
      <c r="F24" s="265"/>
      <c r="G24" s="265"/>
      <c r="H24" s="265"/>
      <c r="I24" s="265"/>
      <c r="J24" s="265"/>
      <c r="K24" s="265"/>
      <c r="L24" s="265"/>
      <c r="M24" s="266"/>
    </row>
    <row r="25" spans="2:13" ht="15" customHeight="1" x14ac:dyDescent="0.25">
      <c r="B25" s="62" t="s">
        <v>142</v>
      </c>
      <c r="C25" s="179">
        <f>IF(C23="JA",IF(C24&lt;&gt;"",C21*C175/C172/C24,0),0)</f>
        <v>0</v>
      </c>
      <c r="D25" s="53" t="s">
        <v>143</v>
      </c>
      <c r="E25" s="264"/>
      <c r="F25" s="265"/>
      <c r="G25" s="265"/>
      <c r="H25" s="265"/>
      <c r="I25" s="265"/>
      <c r="J25" s="265"/>
      <c r="K25" s="265"/>
      <c r="L25" s="265"/>
      <c r="M25" s="266"/>
    </row>
    <row r="26" spans="2:13" ht="15" customHeight="1" x14ac:dyDescent="0.25">
      <c r="B26" s="50" t="s">
        <v>48</v>
      </c>
      <c r="C26" s="79"/>
      <c r="D26" s="52" t="str">
        <f>C8</f>
        <v>kW</v>
      </c>
      <c r="E26" s="264" t="s">
        <v>144</v>
      </c>
      <c r="F26" s="265"/>
      <c r="G26" s="265"/>
      <c r="H26" s="265"/>
      <c r="I26" s="265"/>
      <c r="J26" s="265"/>
      <c r="K26" s="265"/>
      <c r="L26" s="265"/>
      <c r="M26" s="266"/>
    </row>
    <row r="27" spans="2:13" ht="15" customHeight="1" x14ac:dyDescent="0.25">
      <c r="B27" s="62" t="s">
        <v>145</v>
      </c>
      <c r="C27" s="179">
        <f>IF(C23="JA",IF(C26=0,,C26*C175/C173),0)</f>
        <v>0</v>
      </c>
      <c r="D27" s="53" t="s">
        <v>143</v>
      </c>
      <c r="E27" s="264"/>
      <c r="F27" s="265"/>
      <c r="G27" s="265"/>
      <c r="H27" s="265"/>
      <c r="I27" s="265"/>
      <c r="J27" s="265"/>
      <c r="K27" s="265"/>
      <c r="L27" s="265"/>
      <c r="M27" s="266"/>
    </row>
    <row r="28" spans="2:13" ht="15" customHeight="1" x14ac:dyDescent="0.25">
      <c r="B28" s="50" t="s">
        <v>49</v>
      </c>
      <c r="C28" s="84">
        <v>1000000</v>
      </c>
      <c r="D28" s="52" t="str">
        <f>C8</f>
        <v>kW</v>
      </c>
      <c r="E28" s="264" t="s">
        <v>146</v>
      </c>
      <c r="F28" s="265"/>
      <c r="G28" s="265"/>
      <c r="H28" s="265"/>
      <c r="I28" s="265"/>
      <c r="J28" s="265"/>
      <c r="K28" s="265"/>
      <c r="L28" s="265"/>
      <c r="M28" s="266"/>
    </row>
    <row r="29" spans="2:13" ht="15" customHeight="1" x14ac:dyDescent="0.25">
      <c r="B29" s="50" t="s">
        <v>50</v>
      </c>
      <c r="C29" s="84"/>
      <c r="D29" s="53" t="s">
        <v>147</v>
      </c>
      <c r="E29" s="264" t="s">
        <v>148</v>
      </c>
      <c r="F29" s="265"/>
      <c r="G29" s="265"/>
      <c r="H29" s="265"/>
      <c r="I29" s="265"/>
      <c r="J29" s="265"/>
      <c r="K29" s="265"/>
      <c r="L29" s="265"/>
      <c r="M29" s="266"/>
    </row>
    <row r="30" spans="2:13" ht="15" customHeight="1" x14ac:dyDescent="0.25">
      <c r="B30" s="51" t="s">
        <v>51</v>
      </c>
      <c r="C30" s="80">
        <v>3729.44</v>
      </c>
      <c r="D30" s="61" t="s">
        <v>147</v>
      </c>
      <c r="E30" s="268" t="s">
        <v>148</v>
      </c>
      <c r="F30" s="269"/>
      <c r="G30" s="269"/>
      <c r="H30" s="269"/>
      <c r="I30" s="269"/>
      <c r="J30" s="269"/>
      <c r="K30" s="269"/>
      <c r="L30" s="269"/>
      <c r="M30" s="270"/>
    </row>
    <row r="31" spans="2:13" x14ac:dyDescent="0.2">
      <c r="C31" s="25"/>
      <c r="E31" s="141"/>
      <c r="F31" s="141"/>
      <c r="G31" s="141"/>
      <c r="H31" s="141"/>
      <c r="I31" s="141"/>
      <c r="J31" s="141"/>
      <c r="K31" s="141"/>
      <c r="L31" s="141"/>
      <c r="M31" s="141"/>
    </row>
    <row r="32" spans="2:13" ht="15" customHeight="1" x14ac:dyDescent="0.25">
      <c r="B32" s="56" t="s">
        <v>149</v>
      </c>
      <c r="C32" s="57" t="s">
        <v>37</v>
      </c>
      <c r="D32" s="57" t="s">
        <v>114</v>
      </c>
      <c r="E32" s="262" t="s">
        <v>31</v>
      </c>
      <c r="F32" s="263"/>
      <c r="G32" s="263"/>
      <c r="H32" s="263"/>
      <c r="I32" s="263"/>
      <c r="J32" s="263"/>
      <c r="K32" s="263"/>
      <c r="L32" s="263"/>
      <c r="M32" s="255"/>
    </row>
    <row r="33" spans="2:13" ht="15" customHeight="1" x14ac:dyDescent="0.25">
      <c r="B33" s="50" t="s">
        <v>52</v>
      </c>
      <c r="C33" s="180">
        <f>IF(C21&gt;0,C28/C21,IF(C28&gt;0,1,0))</f>
        <v>1</v>
      </c>
      <c r="D33" s="53"/>
      <c r="E33" s="264"/>
      <c r="F33" s="265"/>
      <c r="G33" s="265"/>
      <c r="H33" s="265"/>
      <c r="I33" s="265"/>
      <c r="J33" s="265"/>
      <c r="K33" s="265"/>
      <c r="L33" s="265"/>
      <c r="M33" s="266"/>
    </row>
    <row r="34" spans="2:13" ht="15" customHeight="1" x14ac:dyDescent="0.25">
      <c r="B34" s="50" t="s">
        <v>53</v>
      </c>
      <c r="C34" s="180">
        <f>IF(C28&gt;0,C33-C36*C33*(C26*C29)/(C28*C30),)</f>
        <v>1</v>
      </c>
      <c r="D34" s="53"/>
      <c r="E34" s="264"/>
      <c r="F34" s="265"/>
      <c r="G34" s="265"/>
      <c r="H34" s="265"/>
      <c r="I34" s="265"/>
      <c r="J34" s="265"/>
      <c r="K34" s="265"/>
      <c r="L34" s="265"/>
      <c r="M34" s="266"/>
    </row>
    <row r="35" spans="2:13" ht="15" customHeight="1" x14ac:dyDescent="0.25">
      <c r="B35" s="50" t="s">
        <v>54</v>
      </c>
      <c r="C35" s="73">
        <f>IF(C21&gt;0,C26/C21,0)</f>
        <v>0</v>
      </c>
      <c r="D35" s="53"/>
      <c r="E35" s="264"/>
      <c r="F35" s="265"/>
      <c r="G35" s="265"/>
      <c r="H35" s="265"/>
      <c r="I35" s="265"/>
      <c r="J35" s="265"/>
      <c r="K35" s="265"/>
      <c r="L35" s="265"/>
      <c r="M35" s="266"/>
    </row>
    <row r="36" spans="2:13" ht="15" customHeight="1" x14ac:dyDescent="0.25">
      <c r="B36" s="51" t="s">
        <v>55</v>
      </c>
      <c r="C36" s="86"/>
      <c r="D36" s="61" t="s">
        <v>150</v>
      </c>
      <c r="E36" s="268" t="s">
        <v>151</v>
      </c>
      <c r="F36" s="269"/>
      <c r="G36" s="269"/>
      <c r="H36" s="269"/>
      <c r="I36" s="269"/>
      <c r="J36" s="269"/>
      <c r="K36" s="269"/>
      <c r="L36" s="269"/>
      <c r="M36" s="270"/>
    </row>
    <row r="37" spans="2:13" x14ac:dyDescent="0.2">
      <c r="C37" s="26"/>
      <c r="E37" s="141"/>
      <c r="F37" s="141"/>
      <c r="G37" s="141"/>
      <c r="H37" s="141"/>
      <c r="I37" s="141"/>
      <c r="J37" s="141"/>
      <c r="K37" s="141"/>
      <c r="L37" s="141"/>
      <c r="M37" s="141"/>
    </row>
    <row r="38" spans="2:13" ht="15" customHeight="1" x14ac:dyDescent="0.25">
      <c r="B38" s="56" t="s">
        <v>56</v>
      </c>
      <c r="C38" s="57" t="s">
        <v>37</v>
      </c>
      <c r="D38" s="57" t="s">
        <v>114</v>
      </c>
      <c r="E38" s="262" t="s">
        <v>31</v>
      </c>
      <c r="F38" s="263"/>
      <c r="G38" s="263"/>
      <c r="H38" s="263"/>
      <c r="I38" s="263"/>
      <c r="J38" s="263"/>
      <c r="K38" s="263"/>
      <c r="L38" s="263"/>
      <c r="M38" s="255"/>
    </row>
    <row r="39" spans="2:13" ht="15" customHeight="1" x14ac:dyDescent="0.25">
      <c r="B39" s="63" t="s">
        <v>152</v>
      </c>
      <c r="C39" s="84"/>
      <c r="D39" s="53" t="str">
        <f>CONCATENATE("Euro/",$C$8)</f>
        <v>Euro/kW</v>
      </c>
      <c r="E39" s="264" t="s">
        <v>153</v>
      </c>
      <c r="F39" s="265"/>
      <c r="G39" s="265"/>
      <c r="H39" s="265"/>
      <c r="I39" s="265"/>
      <c r="J39" s="265"/>
      <c r="K39" s="265"/>
      <c r="L39" s="265"/>
      <c r="M39" s="266"/>
    </row>
    <row r="40" spans="2:13" ht="15" customHeight="1" x14ac:dyDescent="0.25">
      <c r="B40" s="63" t="s">
        <v>154</v>
      </c>
      <c r="C40" s="79">
        <v>2960.2286582179063</v>
      </c>
      <c r="D40" s="53" t="str">
        <f>CONCATENATE("Euro/",$C$8)</f>
        <v>Euro/kW</v>
      </c>
      <c r="E40" s="264" t="s">
        <v>277</v>
      </c>
      <c r="F40" s="265"/>
      <c r="G40" s="265"/>
      <c r="H40" s="265"/>
      <c r="I40" s="265"/>
      <c r="J40" s="265"/>
      <c r="K40" s="265"/>
      <c r="L40" s="265"/>
      <c r="M40" s="266"/>
    </row>
    <row r="41" spans="2:13" ht="15" customHeight="1" x14ac:dyDescent="0.25">
      <c r="B41" s="50" t="s">
        <v>57</v>
      </c>
      <c r="C41" s="181">
        <f>((C21*C39+SUM(C26,C28)*C40)*(1+D103*C92))/1000000</f>
        <v>2982.430373154541</v>
      </c>
      <c r="D41" s="53" t="s">
        <v>155</v>
      </c>
      <c r="E41" s="271"/>
      <c r="F41" s="265"/>
      <c r="G41" s="265"/>
      <c r="H41" s="265"/>
      <c r="I41" s="265"/>
      <c r="J41" s="265"/>
      <c r="K41" s="265"/>
      <c r="L41" s="265"/>
      <c r="M41" s="266"/>
    </row>
    <row r="42" spans="2:13" ht="15" customHeight="1" x14ac:dyDescent="0.25">
      <c r="B42" s="63" t="s">
        <v>156</v>
      </c>
      <c r="C42" s="178"/>
      <c r="D42" s="53" t="str">
        <f>CONCATENATE("Euro/",$C$8,"/jaar")</f>
        <v>Euro/kW/jaar</v>
      </c>
      <c r="E42" s="264" t="s">
        <v>157</v>
      </c>
      <c r="F42" s="265"/>
      <c r="G42" s="265"/>
      <c r="H42" s="265"/>
      <c r="I42" s="265"/>
      <c r="J42" s="265"/>
      <c r="K42" s="265"/>
      <c r="L42" s="265"/>
      <c r="M42" s="266"/>
    </row>
    <row r="43" spans="2:13" ht="15" customHeight="1" x14ac:dyDescent="0.25">
      <c r="B43" s="63" t="s">
        <v>158</v>
      </c>
      <c r="C43" s="178">
        <v>47.176695509382</v>
      </c>
      <c r="D43" s="53" t="str">
        <f>CONCATENATE("Euro/",$C$8,"/jaar")</f>
        <v>Euro/kW/jaar</v>
      </c>
      <c r="E43" s="264" t="s">
        <v>157</v>
      </c>
      <c r="F43" s="265"/>
      <c r="G43" s="265"/>
      <c r="H43" s="265"/>
      <c r="I43" s="265"/>
      <c r="J43" s="265"/>
      <c r="K43" s="265"/>
      <c r="L43" s="265"/>
      <c r="M43" s="266"/>
    </row>
    <row r="44" spans="2:13" ht="15" customHeight="1" x14ac:dyDescent="0.25">
      <c r="B44" s="50" t="s">
        <v>58</v>
      </c>
      <c r="C44" s="74">
        <f>(C42*C21+C43*SUM(C26,C28))/1000</f>
        <v>47176.695509382</v>
      </c>
      <c r="D44" s="53" t="s">
        <v>159</v>
      </c>
      <c r="E44" s="271" t="s">
        <v>160</v>
      </c>
      <c r="F44" s="265"/>
      <c r="G44" s="265"/>
      <c r="H44" s="265"/>
      <c r="I44" s="265"/>
      <c r="J44" s="265"/>
      <c r="K44" s="265"/>
      <c r="L44" s="265"/>
      <c r="M44" s="266"/>
    </row>
    <row r="45" spans="2:13" ht="15" customHeight="1" x14ac:dyDescent="0.25">
      <c r="B45" s="50" t="s">
        <v>161</v>
      </c>
      <c r="C45" s="182"/>
      <c r="D45" s="53" t="str">
        <f>CONCATENATE("Euro/",$C$7)</f>
        <v>Euro/kWh</v>
      </c>
      <c r="E45" s="264" t="str">
        <f>CONCATENATE("Het betreft de inkoopkosten voor elektriciteit, per ", $C$7," output")</f>
        <v>Het betreft de inkoopkosten voor elektriciteit, per kWh output</v>
      </c>
      <c r="F45" s="265"/>
      <c r="G45" s="265"/>
      <c r="H45" s="265"/>
      <c r="I45" s="265"/>
      <c r="J45" s="265"/>
      <c r="K45" s="265"/>
      <c r="L45" s="265"/>
      <c r="M45" s="266"/>
    </row>
    <row r="46" spans="2:13" ht="15" customHeight="1" x14ac:dyDescent="0.25">
      <c r="B46" s="50" t="s">
        <v>162</v>
      </c>
      <c r="C46" s="182"/>
      <c r="D46" s="53" t="str">
        <f>CONCATENATE("Euro/",$C$7)</f>
        <v>Euro/kWh</v>
      </c>
      <c r="E46" s="264" t="str">
        <f>CONCATENATE("Het betreft de inkoopkosten voor gas, per ", $C$7," output")</f>
        <v>Het betreft de inkoopkosten voor gas, per kWh output</v>
      </c>
      <c r="F46" s="265"/>
      <c r="G46" s="265"/>
      <c r="H46" s="265"/>
      <c r="I46" s="265"/>
      <c r="J46" s="265"/>
      <c r="K46" s="265"/>
      <c r="L46" s="265"/>
      <c r="M46" s="266"/>
    </row>
    <row r="47" spans="2:13" ht="15" customHeight="1" x14ac:dyDescent="0.25">
      <c r="B47" s="50" t="s">
        <v>163</v>
      </c>
      <c r="C47" s="182"/>
      <c r="D47" s="53" t="str">
        <f>CONCATENATE("Euro/",$C$7)</f>
        <v>Euro/kWh</v>
      </c>
      <c r="E47" s="264" t="str">
        <f>CONCATENATE("Het betreft de inkoopkosten voor warmte, per ", $C$7," output")</f>
        <v>Het betreft de inkoopkosten voor warmte, per kWh output</v>
      </c>
      <c r="F47" s="265"/>
      <c r="G47" s="265"/>
      <c r="H47" s="265"/>
      <c r="I47" s="265"/>
      <c r="J47" s="265"/>
      <c r="K47" s="265"/>
      <c r="L47" s="265"/>
      <c r="M47" s="266"/>
    </row>
    <row r="48" spans="2:13" ht="15" customHeight="1" x14ac:dyDescent="0.25">
      <c r="B48" s="50" t="s">
        <v>59</v>
      </c>
      <c r="C48" s="182">
        <v>0.01</v>
      </c>
      <c r="D48" s="53" t="str">
        <f>CONCATENATE("Euro/",$C$7)</f>
        <v>Euro/kWh</v>
      </c>
      <c r="E48" s="243" t="s">
        <v>275</v>
      </c>
      <c r="F48" s="244"/>
      <c r="G48" s="244"/>
      <c r="H48" s="244"/>
      <c r="I48" s="244"/>
      <c r="J48" s="244"/>
      <c r="K48" s="244"/>
      <c r="L48" s="244"/>
      <c r="M48" s="245"/>
    </row>
    <row r="49" spans="2:13" ht="15" customHeight="1" x14ac:dyDescent="0.25">
      <c r="B49" s="51" t="s">
        <v>164</v>
      </c>
      <c r="C49" s="183">
        <f>SUM(C45:C48)</f>
        <v>0.01</v>
      </c>
      <c r="D49" s="61" t="str">
        <f>CONCATENATE("Euro/",$C$7)</f>
        <v>Euro/kWh</v>
      </c>
      <c r="E49" s="272"/>
      <c r="F49" s="269"/>
      <c r="G49" s="269"/>
      <c r="H49" s="269"/>
      <c r="I49" s="269"/>
      <c r="J49" s="269"/>
      <c r="K49" s="269"/>
      <c r="L49" s="269"/>
      <c r="M49" s="270"/>
    </row>
    <row r="50" spans="2:13" x14ac:dyDescent="0.2">
      <c r="C50" s="26"/>
      <c r="E50" s="141"/>
      <c r="F50" s="141"/>
      <c r="G50" s="141"/>
      <c r="H50" s="141"/>
      <c r="I50" s="141"/>
      <c r="J50" s="141"/>
      <c r="K50" s="141"/>
      <c r="L50" s="141"/>
      <c r="M50" s="141"/>
    </row>
    <row r="51" spans="2:13" ht="15" customHeight="1" x14ac:dyDescent="0.25">
      <c r="B51" s="64" t="s">
        <v>60</v>
      </c>
      <c r="C51" s="57" t="s">
        <v>37</v>
      </c>
      <c r="D51" s="57" t="s">
        <v>114</v>
      </c>
      <c r="E51" s="262" t="s">
        <v>31</v>
      </c>
      <c r="F51" s="263"/>
      <c r="G51" s="263"/>
      <c r="H51" s="263"/>
      <c r="I51" s="263"/>
      <c r="J51" s="263"/>
      <c r="K51" s="263"/>
      <c r="L51" s="263"/>
      <c r="M51" s="255"/>
    </row>
    <row r="52" spans="2:13" ht="15" customHeight="1" x14ac:dyDescent="0.25">
      <c r="B52" s="50" t="s">
        <v>61</v>
      </c>
      <c r="C52" s="81"/>
      <c r="D52" s="53" t="s">
        <v>165</v>
      </c>
      <c r="E52" s="264"/>
      <c r="F52" s="265"/>
      <c r="G52" s="265"/>
      <c r="H52" s="265"/>
      <c r="I52" s="265"/>
      <c r="J52" s="265"/>
      <c r="K52" s="265"/>
      <c r="L52" s="265"/>
      <c r="M52" s="266"/>
    </row>
    <row r="53" spans="2:13" ht="15" customHeight="1" x14ac:dyDescent="0.25">
      <c r="B53" s="50" t="s">
        <v>62</v>
      </c>
      <c r="C53" s="179">
        <f>IF(C52=0,,C21*MAX(C29,C30)*C175/C52/1000)</f>
        <v>0</v>
      </c>
      <c r="D53" s="53" t="s">
        <v>166</v>
      </c>
      <c r="E53" s="273"/>
      <c r="F53" s="265"/>
      <c r="G53" s="265"/>
      <c r="H53" s="265"/>
      <c r="I53" s="265"/>
      <c r="J53" s="265"/>
      <c r="K53" s="265"/>
      <c r="L53" s="265"/>
      <c r="M53" s="266"/>
    </row>
    <row r="54" spans="2:13" ht="15" customHeight="1" x14ac:dyDescent="0.25">
      <c r="B54" s="50" t="s">
        <v>63</v>
      </c>
      <c r="C54" s="87"/>
      <c r="D54" s="53" t="s">
        <v>167</v>
      </c>
      <c r="E54" s="264" t="s">
        <v>168</v>
      </c>
      <c r="F54" s="265"/>
      <c r="G54" s="265"/>
      <c r="H54" s="265"/>
      <c r="I54" s="265"/>
      <c r="J54" s="265"/>
      <c r="K54" s="265"/>
      <c r="L54" s="265"/>
      <c r="M54" s="266"/>
    </row>
    <row r="55" spans="2:13" ht="15" customHeight="1" x14ac:dyDescent="0.25">
      <c r="B55" s="50" t="s">
        <v>64</v>
      </c>
      <c r="C55" s="87"/>
      <c r="D55" s="53" t="str">
        <f>CONCATENATE("kWh/",$C$7)</f>
        <v>kWh/kWh</v>
      </c>
      <c r="E55" s="264"/>
      <c r="F55" s="265"/>
      <c r="G55" s="265"/>
      <c r="H55" s="265"/>
      <c r="I55" s="265"/>
      <c r="J55" s="265"/>
      <c r="K55" s="265"/>
      <c r="L55" s="265"/>
      <c r="M55" s="266"/>
    </row>
    <row r="56" spans="2:13" ht="15" customHeight="1" x14ac:dyDescent="0.25">
      <c r="B56" s="50" t="s">
        <v>65</v>
      </c>
      <c r="C56" s="179">
        <f>IF(C55=0,,MAX(C26,C28)*MAX(C29,C30)*C55*10^(-3))</f>
        <v>0</v>
      </c>
      <c r="D56" s="53" t="s">
        <v>169</v>
      </c>
      <c r="E56" s="264"/>
      <c r="F56" s="265"/>
      <c r="G56" s="265"/>
      <c r="H56" s="265"/>
      <c r="I56" s="265"/>
      <c r="J56" s="265"/>
      <c r="K56" s="265"/>
      <c r="L56" s="265"/>
      <c r="M56" s="266"/>
    </row>
    <row r="57" spans="2:13" ht="15" customHeight="1" x14ac:dyDescent="0.25">
      <c r="B57" s="50" t="s">
        <v>66</v>
      </c>
      <c r="C57" s="87"/>
      <c r="D57" s="53" t="str">
        <f>CONCATENATE("kWh/",$C$7)</f>
        <v>kWh/kWh</v>
      </c>
      <c r="E57" s="264"/>
      <c r="F57" s="265"/>
      <c r="G57" s="265"/>
      <c r="H57" s="265"/>
      <c r="I57" s="265"/>
      <c r="J57" s="265"/>
      <c r="K57" s="265"/>
      <c r="L57" s="265"/>
      <c r="M57" s="266"/>
    </row>
    <row r="58" spans="2:13" ht="15" customHeight="1" x14ac:dyDescent="0.25">
      <c r="B58" s="50" t="s">
        <v>67</v>
      </c>
      <c r="C58" s="179">
        <f>IF(C57=0,,MAX($C$26,$C$28)*MAX($C$29,$C$30)*C57/1000)</f>
        <v>0</v>
      </c>
      <c r="D58" s="53" t="s">
        <v>169</v>
      </c>
      <c r="E58" s="264"/>
      <c r="F58" s="265"/>
      <c r="G58" s="265"/>
      <c r="H58" s="265"/>
      <c r="I58" s="265"/>
      <c r="J58" s="265"/>
      <c r="K58" s="265"/>
      <c r="L58" s="265"/>
      <c r="M58" s="266"/>
    </row>
    <row r="59" spans="2:13" ht="15" customHeight="1" x14ac:dyDescent="0.25">
      <c r="B59" s="50" t="s">
        <v>68</v>
      </c>
      <c r="C59" s="87"/>
      <c r="D59" s="53" t="str">
        <f>CONCATENATE("kWh/",$C$7)</f>
        <v>kWh/kWh</v>
      </c>
      <c r="E59" s="264"/>
      <c r="F59" s="265"/>
      <c r="G59" s="265"/>
      <c r="H59" s="265"/>
      <c r="I59" s="265"/>
      <c r="J59" s="265"/>
      <c r="K59" s="265"/>
      <c r="L59" s="265"/>
      <c r="M59" s="266"/>
    </row>
    <row r="60" spans="2:13" ht="15" customHeight="1" x14ac:dyDescent="0.25">
      <c r="B60" s="51" t="s">
        <v>69</v>
      </c>
      <c r="C60" s="184">
        <f>IF(C59=0,,MAX($C$26,$C$28)*MAX($C$29,$C$30)*C59/1000)</f>
        <v>0</v>
      </c>
      <c r="D60" s="61" t="s">
        <v>169</v>
      </c>
      <c r="E60" s="268"/>
      <c r="F60" s="269"/>
      <c r="G60" s="269"/>
      <c r="H60" s="269"/>
      <c r="I60" s="269"/>
      <c r="J60" s="269"/>
      <c r="K60" s="269"/>
      <c r="L60" s="269"/>
      <c r="M60" s="270"/>
    </row>
    <row r="61" spans="2:13" x14ac:dyDescent="0.2">
      <c r="C61" s="26"/>
      <c r="E61" s="141"/>
      <c r="F61" s="141"/>
      <c r="G61" s="141"/>
      <c r="H61" s="141"/>
      <c r="I61" s="141"/>
      <c r="J61" s="141"/>
      <c r="K61" s="141"/>
      <c r="L61" s="141"/>
      <c r="M61" s="141"/>
    </row>
    <row r="62" spans="2:13" ht="15" customHeight="1" x14ac:dyDescent="0.25">
      <c r="B62" s="64" t="s">
        <v>70</v>
      </c>
      <c r="C62" s="57" t="s">
        <v>37</v>
      </c>
      <c r="D62" s="57" t="s">
        <v>114</v>
      </c>
      <c r="E62" s="262" t="s">
        <v>31</v>
      </c>
      <c r="F62" s="263"/>
      <c r="G62" s="263"/>
      <c r="H62" s="263"/>
      <c r="I62" s="263"/>
      <c r="J62" s="263"/>
      <c r="K62" s="263"/>
      <c r="L62" s="263"/>
      <c r="M62" s="255"/>
    </row>
    <row r="63" spans="2:13" ht="15" customHeight="1" x14ac:dyDescent="0.25">
      <c r="B63" s="50" t="s">
        <v>71</v>
      </c>
      <c r="C63" s="94"/>
      <c r="D63" s="53" t="str">
        <f>IF(AND(C26&gt;0,C23=""),CONCATENATE("kg CO2/",$C$7),"kg CO2/kWh")</f>
        <v>kg CO2/kWh</v>
      </c>
      <c r="E63" s="264"/>
      <c r="F63" s="265"/>
      <c r="G63" s="265"/>
      <c r="H63" s="265"/>
      <c r="I63" s="265"/>
      <c r="J63" s="265"/>
      <c r="K63" s="265"/>
      <c r="L63" s="265"/>
      <c r="M63" s="266"/>
    </row>
    <row r="64" spans="2:13" ht="15" customHeight="1" x14ac:dyDescent="0.25">
      <c r="B64" s="50" t="s">
        <v>72</v>
      </c>
      <c r="C64" s="94">
        <v>8.7999999999999995E-2</v>
      </c>
      <c r="D64" s="53" t="str">
        <f>IF(C28&gt;0,CONCATENATE("kg CO2/",$C$7),"kg CO2/kWh")</f>
        <v>kg CO2/kWh</v>
      </c>
      <c r="E64" s="264"/>
      <c r="F64" s="265"/>
      <c r="G64" s="265"/>
      <c r="H64" s="265"/>
      <c r="I64" s="265"/>
      <c r="J64" s="265"/>
      <c r="K64" s="265"/>
      <c r="L64" s="265"/>
      <c r="M64" s="266"/>
    </row>
    <row r="65" spans="2:13" ht="15" customHeight="1" x14ac:dyDescent="0.25">
      <c r="B65" s="50" t="s">
        <v>73</v>
      </c>
      <c r="C65" s="94"/>
      <c r="D65" s="53" t="str">
        <f>IF(C23="Ja",CONCATENATE("kg CO2/",$C$7),"kg CO2/kWh")</f>
        <v>kg CO2/kWh</v>
      </c>
      <c r="E65" s="264"/>
      <c r="F65" s="265"/>
      <c r="G65" s="265"/>
      <c r="H65" s="265"/>
      <c r="I65" s="265"/>
      <c r="J65" s="265"/>
      <c r="K65" s="265"/>
      <c r="L65" s="265"/>
      <c r="M65" s="266"/>
    </row>
    <row r="66" spans="2:13" ht="15" customHeight="1" x14ac:dyDescent="0.25">
      <c r="B66" s="50" t="s">
        <v>74</v>
      </c>
      <c r="C66" s="87"/>
      <c r="D66" s="53" t="s">
        <v>170</v>
      </c>
      <c r="E66" s="264" t="s">
        <v>171</v>
      </c>
      <c r="F66" s="265"/>
      <c r="G66" s="265"/>
      <c r="H66" s="265"/>
      <c r="I66" s="265"/>
      <c r="J66" s="265"/>
      <c r="K66" s="265"/>
      <c r="L66" s="265"/>
      <c r="M66" s="266"/>
    </row>
    <row r="67" spans="2:13" ht="15" customHeight="1" x14ac:dyDescent="0.25">
      <c r="B67" s="50" t="s">
        <v>75</v>
      </c>
      <c r="C67" s="185"/>
      <c r="D67" s="53" t="s">
        <v>172</v>
      </c>
      <c r="E67" s="264"/>
      <c r="F67" s="265"/>
      <c r="G67" s="265"/>
      <c r="H67" s="265"/>
      <c r="I67" s="265"/>
      <c r="J67" s="265"/>
      <c r="K67" s="265"/>
      <c r="L67" s="265"/>
      <c r="M67" s="266"/>
    </row>
    <row r="68" spans="2:13" ht="15" customHeight="1" x14ac:dyDescent="0.25">
      <c r="B68" s="50" t="s">
        <v>76</v>
      </c>
      <c r="C68" s="185"/>
      <c r="D68" s="53" t="s">
        <v>172</v>
      </c>
      <c r="E68" s="264"/>
      <c r="F68" s="265"/>
      <c r="G68" s="265"/>
      <c r="H68" s="265"/>
      <c r="I68" s="265"/>
      <c r="J68" s="265"/>
      <c r="K68" s="265"/>
      <c r="L68" s="265"/>
      <c r="M68" s="266"/>
    </row>
    <row r="69" spans="2:13" ht="15" customHeight="1" x14ac:dyDescent="0.25">
      <c r="B69" s="50" t="s">
        <v>77</v>
      </c>
      <c r="C69" s="185"/>
      <c r="D69" s="53" t="s">
        <v>172</v>
      </c>
      <c r="E69" s="264"/>
      <c r="F69" s="265"/>
      <c r="G69" s="265"/>
      <c r="H69" s="265"/>
      <c r="I69" s="265"/>
      <c r="J69" s="265"/>
      <c r="K69" s="265"/>
      <c r="L69" s="265"/>
      <c r="M69" s="266"/>
    </row>
    <row r="70" spans="2:13" ht="15" customHeight="1" x14ac:dyDescent="0.25">
      <c r="B70" s="65" t="s">
        <v>173</v>
      </c>
      <c r="C70" s="75">
        <f>ROUND((IF($C$23="Ja",$C$65,($C$64*IF($C$17&gt;0,1/$C$17,1)*$C$28*$C$30+$C$63*$C$26*$C$29)/($C$28*$C$30+$C$26*$C$29))-$C$55*$C$68-$C$57*$C$67-$C$69*$C$59+(-$C$53*$C$66)/(($C$28*$C$30)+($C$26*$C$29)))*C86,4)</f>
        <v>0.2104</v>
      </c>
      <c r="D70" s="61" t="str">
        <f>CONCATENATE("kg CO2/",$C$7)</f>
        <v>kg CO2/kWh</v>
      </c>
      <c r="E70" s="268"/>
      <c r="F70" s="269"/>
      <c r="G70" s="269"/>
      <c r="H70" s="269"/>
      <c r="I70" s="269"/>
      <c r="J70" s="269"/>
      <c r="K70" s="269"/>
      <c r="L70" s="269"/>
      <c r="M70" s="270"/>
    </row>
    <row r="71" spans="2:13" x14ac:dyDescent="0.2">
      <c r="C71" s="26"/>
      <c r="E71" s="141"/>
      <c r="F71" s="141"/>
      <c r="G71" s="141"/>
      <c r="H71" s="141"/>
      <c r="I71" s="141"/>
      <c r="J71" s="141"/>
      <c r="K71" s="141"/>
      <c r="L71" s="141"/>
      <c r="M71" s="141"/>
    </row>
    <row r="72" spans="2:13" ht="15" customHeight="1" x14ac:dyDescent="0.25">
      <c r="B72" s="64" t="s">
        <v>78</v>
      </c>
      <c r="C72" s="57" t="s">
        <v>37</v>
      </c>
      <c r="D72" s="57" t="s">
        <v>114</v>
      </c>
      <c r="E72" s="262" t="s">
        <v>31</v>
      </c>
      <c r="F72" s="263"/>
      <c r="G72" s="263"/>
      <c r="H72" s="263"/>
      <c r="I72" s="263"/>
      <c r="J72" s="263"/>
      <c r="K72" s="263"/>
      <c r="L72" s="263"/>
      <c r="M72" s="255"/>
    </row>
    <row r="73" spans="2:13" ht="15" customHeight="1" x14ac:dyDescent="0.25">
      <c r="B73" s="50" t="s">
        <v>79</v>
      </c>
      <c r="C73" s="88">
        <v>35</v>
      </c>
      <c r="D73" s="53" t="s">
        <v>174</v>
      </c>
      <c r="E73" s="264" t="s">
        <v>175</v>
      </c>
      <c r="F73" s="265"/>
      <c r="G73" s="265"/>
      <c r="H73" s="265"/>
      <c r="I73" s="265"/>
      <c r="J73" s="265"/>
      <c r="K73" s="265"/>
      <c r="L73" s="265"/>
      <c r="M73" s="266"/>
    </row>
    <row r="74" spans="2:13" ht="15" customHeight="1" x14ac:dyDescent="0.25">
      <c r="B74" s="66" t="s">
        <v>80</v>
      </c>
      <c r="C74" s="95">
        <v>15</v>
      </c>
      <c r="D74" s="53" t="s">
        <v>174</v>
      </c>
      <c r="E74" s="264"/>
      <c r="F74" s="265"/>
      <c r="G74" s="265"/>
      <c r="H74" s="265"/>
      <c r="I74" s="265"/>
      <c r="J74" s="265"/>
      <c r="K74" s="265"/>
      <c r="L74" s="265"/>
      <c r="M74" s="266"/>
    </row>
    <row r="75" spans="2:13" ht="15" customHeight="1" x14ac:dyDescent="0.25">
      <c r="B75" s="66" t="s">
        <v>81</v>
      </c>
      <c r="C75" s="95">
        <v>20</v>
      </c>
      <c r="D75" s="53" t="s">
        <v>174</v>
      </c>
      <c r="E75" s="264"/>
      <c r="F75" s="265"/>
      <c r="G75" s="265"/>
      <c r="H75" s="265"/>
      <c r="I75" s="265"/>
      <c r="J75" s="265"/>
      <c r="K75" s="265"/>
      <c r="L75" s="265"/>
      <c r="M75" s="266"/>
    </row>
    <row r="76" spans="2:13" ht="15" customHeight="1" x14ac:dyDescent="0.25">
      <c r="B76" s="66" t="s">
        <v>82</v>
      </c>
      <c r="C76" s="95">
        <v>15</v>
      </c>
      <c r="D76" s="53" t="s">
        <v>174</v>
      </c>
      <c r="E76" s="264"/>
      <c r="F76" s="265"/>
      <c r="G76" s="265"/>
      <c r="H76" s="265"/>
      <c r="I76" s="265"/>
      <c r="J76" s="265"/>
      <c r="K76" s="265"/>
      <c r="L76" s="265"/>
      <c r="M76" s="266"/>
    </row>
    <row r="77" spans="2:13" ht="15" customHeight="1" x14ac:dyDescent="0.25">
      <c r="B77" s="51" t="s">
        <v>176</v>
      </c>
      <c r="C77" s="85"/>
      <c r="D77" s="61" t="s">
        <v>174</v>
      </c>
      <c r="E77" s="268" t="s">
        <v>177</v>
      </c>
      <c r="F77" s="269"/>
      <c r="G77" s="269"/>
      <c r="H77" s="269"/>
      <c r="I77" s="269"/>
      <c r="J77" s="269"/>
      <c r="K77" s="269"/>
      <c r="L77" s="269"/>
      <c r="M77" s="270"/>
    </row>
    <row r="78" spans="2:13" x14ac:dyDescent="0.2">
      <c r="C78" s="26"/>
      <c r="E78" s="141"/>
      <c r="F78" s="141"/>
      <c r="G78" s="141"/>
      <c r="H78" s="141"/>
      <c r="I78" s="141"/>
      <c r="J78" s="141"/>
      <c r="K78" s="141"/>
      <c r="L78" s="141"/>
      <c r="M78" s="141"/>
    </row>
    <row r="79" spans="2:13" ht="15" customHeight="1" x14ac:dyDescent="0.25">
      <c r="B79" s="64" t="s">
        <v>83</v>
      </c>
      <c r="C79" s="57" t="s">
        <v>37</v>
      </c>
      <c r="D79" s="57" t="s">
        <v>114</v>
      </c>
      <c r="E79" s="262" t="s">
        <v>31</v>
      </c>
      <c r="F79" s="263"/>
      <c r="G79" s="263"/>
      <c r="H79" s="263"/>
      <c r="I79" s="263"/>
      <c r="J79" s="263"/>
      <c r="K79" s="263"/>
      <c r="L79" s="263"/>
      <c r="M79" s="255"/>
    </row>
    <row r="80" spans="2:13" ht="15" customHeight="1" x14ac:dyDescent="0.25">
      <c r="B80" s="50" t="s">
        <v>84</v>
      </c>
      <c r="C80" s="249">
        <f>C164</f>
        <v>5.6540737536000002E-2</v>
      </c>
      <c r="D80" s="53" t="s">
        <v>178</v>
      </c>
      <c r="E80" s="264" t="s">
        <v>251</v>
      </c>
      <c r="F80" s="265"/>
      <c r="G80" s="265"/>
      <c r="H80" s="265"/>
      <c r="I80" s="265"/>
      <c r="J80" s="265"/>
      <c r="K80" s="265"/>
      <c r="L80" s="265"/>
      <c r="M80" s="266"/>
    </row>
    <row r="81" spans="2:13" ht="15" customHeight="1" x14ac:dyDescent="0.25">
      <c r="B81" s="50" t="s">
        <v>85</v>
      </c>
      <c r="C81" s="88">
        <v>3889.44</v>
      </c>
      <c r="D81" s="53" t="s">
        <v>147</v>
      </c>
      <c r="E81" s="264"/>
      <c r="F81" s="265"/>
      <c r="G81" s="265"/>
      <c r="H81" s="265"/>
      <c r="I81" s="265"/>
      <c r="J81" s="265"/>
      <c r="K81" s="265"/>
      <c r="L81" s="265"/>
      <c r="M81" s="266"/>
    </row>
    <row r="82" spans="2:13" ht="15" customHeight="1" x14ac:dyDescent="0.25">
      <c r="B82" s="50" t="s">
        <v>86</v>
      </c>
      <c r="C82" s="27"/>
      <c r="D82" s="53" t="s">
        <v>178</v>
      </c>
      <c r="E82" s="264"/>
      <c r="F82" s="265"/>
      <c r="G82" s="265"/>
      <c r="H82" s="265"/>
      <c r="I82" s="265"/>
      <c r="J82" s="265"/>
      <c r="K82" s="265"/>
      <c r="L82" s="265"/>
      <c r="M82" s="266"/>
    </row>
    <row r="83" spans="2:13" ht="15" customHeight="1" x14ac:dyDescent="0.25">
      <c r="B83" s="50" t="s">
        <v>87</v>
      </c>
      <c r="C83" s="87"/>
      <c r="D83" s="53" t="s">
        <v>147</v>
      </c>
      <c r="E83" s="264"/>
      <c r="F83" s="265"/>
      <c r="G83" s="265"/>
      <c r="H83" s="265"/>
      <c r="I83" s="265"/>
      <c r="J83" s="265"/>
      <c r="K83" s="265"/>
      <c r="L83" s="265"/>
      <c r="M83" s="266"/>
    </row>
    <row r="84" spans="2:13" ht="15" customHeight="1" x14ac:dyDescent="0.25">
      <c r="B84" s="50" t="s">
        <v>179</v>
      </c>
      <c r="C84" s="76">
        <f>SUM(E117:INDEX(E117:AR117,1,C76))</f>
        <v>55941600000</v>
      </c>
      <c r="D84" s="52" t="str">
        <f>C7</f>
        <v>kWh</v>
      </c>
      <c r="E84" s="264"/>
      <c r="F84" s="265"/>
      <c r="G84" s="265"/>
      <c r="H84" s="265"/>
      <c r="I84" s="265"/>
      <c r="J84" s="265"/>
      <c r="K84" s="265"/>
      <c r="L84" s="265"/>
      <c r="M84" s="266"/>
    </row>
    <row r="85" spans="2:13" ht="15" customHeight="1" x14ac:dyDescent="0.25">
      <c r="B85" s="67" t="s">
        <v>180</v>
      </c>
      <c r="C85" s="76">
        <f>IF(C77=0,SUM(E117:INDEX(E117:AR117,1,C73)),SUM(E117:INDEX(E117:AR117,1,C77)))</f>
        <v>133730400000</v>
      </c>
      <c r="D85" s="52" t="str">
        <f>C7</f>
        <v>kWh</v>
      </c>
      <c r="E85" s="264"/>
      <c r="F85" s="265"/>
      <c r="G85" s="265"/>
      <c r="H85" s="265"/>
      <c r="I85" s="265"/>
      <c r="J85" s="265"/>
      <c r="K85" s="265"/>
      <c r="L85" s="265"/>
      <c r="M85" s="266"/>
    </row>
    <row r="86" spans="2:13" ht="15" customHeight="1" x14ac:dyDescent="0.25">
      <c r="B86" s="68" t="s">
        <v>181</v>
      </c>
      <c r="C86" s="186">
        <f>C85/C84</f>
        <v>2.3905358445235745</v>
      </c>
      <c r="D86" s="61"/>
      <c r="E86" s="268"/>
      <c r="F86" s="269"/>
      <c r="G86" s="269"/>
      <c r="H86" s="269"/>
      <c r="I86" s="269"/>
      <c r="J86" s="269"/>
      <c r="K86" s="269"/>
      <c r="L86" s="269"/>
      <c r="M86" s="270"/>
    </row>
    <row r="87" spans="2:13" x14ac:dyDescent="0.2">
      <c r="C87" s="26"/>
      <c r="E87" s="141"/>
      <c r="F87" s="141"/>
      <c r="G87" s="141"/>
      <c r="H87" s="141"/>
      <c r="I87" s="141"/>
      <c r="J87" s="141"/>
      <c r="K87" s="141"/>
      <c r="L87" s="141"/>
      <c r="M87" s="141"/>
    </row>
    <row r="88" spans="2:13" ht="15" customHeight="1" x14ac:dyDescent="0.25">
      <c r="B88" s="64" t="s">
        <v>182</v>
      </c>
      <c r="C88" s="57" t="s">
        <v>37</v>
      </c>
      <c r="D88" s="57" t="s">
        <v>114</v>
      </c>
      <c r="E88" s="262" t="s">
        <v>31</v>
      </c>
      <c r="F88" s="263"/>
      <c r="G88" s="263"/>
      <c r="H88" s="263"/>
      <c r="I88" s="263"/>
      <c r="J88" s="263"/>
      <c r="K88" s="263"/>
      <c r="L88" s="263"/>
      <c r="M88" s="255"/>
    </row>
    <row r="89" spans="2:13" ht="15" customHeight="1" x14ac:dyDescent="0.25">
      <c r="B89" s="50" t="s">
        <v>88</v>
      </c>
      <c r="C89" s="187">
        <v>0.02</v>
      </c>
      <c r="D89" s="53"/>
      <c r="E89" s="264"/>
      <c r="F89" s="265"/>
      <c r="G89" s="265"/>
      <c r="H89" s="265"/>
      <c r="I89" s="265"/>
      <c r="J89" s="265"/>
      <c r="K89" s="265"/>
      <c r="L89" s="265"/>
      <c r="M89" s="266"/>
    </row>
    <row r="90" spans="2:13" ht="15" customHeight="1" x14ac:dyDescent="0.25">
      <c r="B90" s="50" t="s">
        <v>89</v>
      </c>
      <c r="C90" s="188">
        <v>4.4999999999999998E-2</v>
      </c>
      <c r="D90" s="53"/>
      <c r="E90" s="264"/>
      <c r="F90" s="265"/>
      <c r="G90" s="265"/>
      <c r="H90" s="265"/>
      <c r="I90" s="265"/>
      <c r="J90" s="265"/>
      <c r="K90" s="265"/>
      <c r="L90" s="265"/>
      <c r="M90" s="266"/>
    </row>
    <row r="91" spans="2:13" ht="15" customHeight="1" x14ac:dyDescent="0.25">
      <c r="B91" s="50" t="s">
        <v>90</v>
      </c>
      <c r="C91" s="188">
        <v>0.1</v>
      </c>
      <c r="D91" s="53"/>
      <c r="E91" s="264"/>
      <c r="F91" s="265"/>
      <c r="G91" s="265"/>
      <c r="H91" s="265"/>
      <c r="I91" s="265"/>
      <c r="J91" s="265"/>
      <c r="K91" s="265"/>
      <c r="L91" s="265"/>
      <c r="M91" s="266"/>
    </row>
    <row r="92" spans="2:13" ht="15" customHeight="1" x14ac:dyDescent="0.25">
      <c r="B92" s="66" t="s">
        <v>91</v>
      </c>
      <c r="C92" s="73">
        <f>100%-C93</f>
        <v>0.75</v>
      </c>
      <c r="D92" s="53"/>
      <c r="E92" s="264"/>
      <c r="F92" s="265"/>
      <c r="G92" s="265"/>
      <c r="H92" s="265"/>
      <c r="I92" s="265"/>
      <c r="J92" s="265"/>
      <c r="K92" s="265"/>
      <c r="L92" s="265"/>
      <c r="M92" s="266"/>
    </row>
    <row r="93" spans="2:13" ht="15" customHeight="1" x14ac:dyDescent="0.25">
      <c r="B93" s="50" t="s">
        <v>92</v>
      </c>
      <c r="C93" s="28">
        <v>0.25</v>
      </c>
      <c r="D93" s="53"/>
      <c r="E93" s="264"/>
      <c r="F93" s="265"/>
      <c r="G93" s="265"/>
      <c r="H93" s="265"/>
      <c r="I93" s="265"/>
      <c r="J93" s="265"/>
      <c r="K93" s="265"/>
      <c r="L93" s="265"/>
      <c r="M93" s="266"/>
    </row>
    <row r="94" spans="2:13" ht="15" customHeight="1" x14ac:dyDescent="0.25">
      <c r="B94" s="68" t="s">
        <v>93</v>
      </c>
      <c r="C94" s="189">
        <v>0.25800000000000001</v>
      </c>
      <c r="D94" s="61"/>
      <c r="E94" s="268"/>
      <c r="F94" s="269"/>
      <c r="G94" s="269"/>
      <c r="H94" s="269"/>
      <c r="I94" s="269"/>
      <c r="J94" s="269"/>
      <c r="K94" s="269"/>
      <c r="L94" s="269"/>
      <c r="M94" s="270"/>
    </row>
    <row r="95" spans="2:13" x14ac:dyDescent="0.2">
      <c r="C95" s="26"/>
      <c r="E95" s="141"/>
      <c r="F95" s="141"/>
      <c r="G95" s="141"/>
      <c r="H95" s="141"/>
      <c r="I95" s="141"/>
      <c r="J95" s="141"/>
      <c r="K95" s="141"/>
      <c r="L95" s="141"/>
      <c r="M95" s="141"/>
    </row>
    <row r="96" spans="2:13" ht="15" customHeight="1" x14ac:dyDescent="0.25">
      <c r="B96" s="64" t="s">
        <v>94</v>
      </c>
      <c r="C96" s="57" t="s">
        <v>37</v>
      </c>
      <c r="D96" s="57" t="s">
        <v>114</v>
      </c>
      <c r="E96" s="262" t="s">
        <v>31</v>
      </c>
      <c r="F96" s="263"/>
      <c r="G96" s="263"/>
      <c r="H96" s="263"/>
      <c r="I96" s="263"/>
      <c r="J96" s="263"/>
      <c r="K96" s="263"/>
      <c r="L96" s="263"/>
      <c r="M96" s="255"/>
    </row>
    <row r="97" spans="1:44" ht="15" customHeight="1" x14ac:dyDescent="0.25">
      <c r="B97" s="50" t="s">
        <v>95</v>
      </c>
      <c r="C97" s="29"/>
      <c r="D97" s="53" t="s">
        <v>183</v>
      </c>
      <c r="E97" s="264"/>
      <c r="F97" s="265"/>
      <c r="G97" s="265"/>
      <c r="H97" s="265"/>
      <c r="I97" s="265"/>
      <c r="J97" s="265"/>
      <c r="K97" s="265"/>
      <c r="L97" s="265"/>
      <c r="M97" s="266"/>
    </row>
    <row r="98" spans="1:44" ht="15" customHeight="1" x14ac:dyDescent="0.25">
      <c r="B98" s="51" t="s">
        <v>96</v>
      </c>
      <c r="C98" s="30"/>
      <c r="D98" s="61" t="s">
        <v>183</v>
      </c>
      <c r="E98" s="268"/>
      <c r="F98" s="269"/>
      <c r="G98" s="269"/>
      <c r="H98" s="269"/>
      <c r="I98" s="269"/>
      <c r="J98" s="269"/>
      <c r="K98" s="269"/>
      <c r="L98" s="269"/>
      <c r="M98" s="270"/>
    </row>
    <row r="99" spans="1:44" x14ac:dyDescent="0.2">
      <c r="C99" s="26"/>
      <c r="E99" s="141"/>
      <c r="F99" s="141"/>
      <c r="G99" s="141"/>
      <c r="H99" s="141"/>
      <c r="I99" s="141"/>
      <c r="J99" s="141"/>
      <c r="K99" s="141"/>
      <c r="L99" s="141"/>
      <c r="M99" s="141"/>
    </row>
    <row r="100" spans="1:44" ht="15" customHeight="1" x14ac:dyDescent="0.25">
      <c r="B100" s="56" t="s">
        <v>97</v>
      </c>
      <c r="C100" s="57" t="s">
        <v>15</v>
      </c>
      <c r="D100" s="57" t="s">
        <v>37</v>
      </c>
      <c r="E100" s="262" t="s">
        <v>31</v>
      </c>
      <c r="F100" s="263"/>
      <c r="G100" s="263"/>
      <c r="H100" s="263"/>
      <c r="I100" s="263"/>
      <c r="J100" s="263"/>
      <c r="K100" s="263"/>
      <c r="L100" s="263"/>
      <c r="M100" s="255"/>
    </row>
    <row r="101" spans="1:44" ht="15" customHeight="1" x14ac:dyDescent="0.25">
      <c r="B101" s="66"/>
      <c r="C101" s="89">
        <v>16</v>
      </c>
      <c r="D101" s="90">
        <f>-283000000/2</f>
        <v>-141500000</v>
      </c>
      <c r="E101" s="264" t="s">
        <v>184</v>
      </c>
      <c r="F101" s="265"/>
      <c r="G101" s="265"/>
      <c r="H101" s="265"/>
      <c r="I101" s="265"/>
      <c r="J101" s="265"/>
      <c r="K101" s="265"/>
      <c r="L101" s="265"/>
      <c r="M101" s="266"/>
    </row>
    <row r="102" spans="1:44" ht="15" customHeight="1" x14ac:dyDescent="0.25">
      <c r="B102" s="69"/>
      <c r="C102" s="91"/>
      <c r="D102" s="92"/>
      <c r="E102" s="268" t="str">
        <f>"De waarde als reële kosten is gedefinieerd in euro van het jaar "&amp;E105&amp;"."</f>
        <v>De waarde als reële kosten is gedefinieerd in euro van het jaar 2027.</v>
      </c>
      <c r="F102" s="269"/>
      <c r="G102" s="269"/>
      <c r="H102" s="269"/>
      <c r="I102" s="269"/>
      <c r="J102" s="269"/>
      <c r="K102" s="269"/>
      <c r="L102" s="269"/>
      <c r="M102" s="270"/>
    </row>
    <row r="103" spans="1:44" ht="15" customHeight="1" x14ac:dyDescent="0.25">
      <c r="B103" s="51" t="s">
        <v>98</v>
      </c>
      <c r="C103" s="31">
        <v>0</v>
      </c>
      <c r="D103" s="164">
        <v>0.01</v>
      </c>
      <c r="E103" s="268" t="s">
        <v>185</v>
      </c>
      <c r="F103" s="269"/>
      <c r="G103" s="269"/>
      <c r="H103" s="269"/>
      <c r="I103" s="269"/>
      <c r="J103" s="269"/>
      <c r="K103" s="269"/>
      <c r="L103" s="269"/>
      <c r="M103" s="270"/>
    </row>
    <row r="104" spans="1:44" x14ac:dyDescent="0.2">
      <c r="E104" s="190"/>
    </row>
    <row r="105" spans="1:44" s="32" customFormat="1" x14ac:dyDescent="0.2">
      <c r="A105" s="241"/>
      <c r="B105" s="56" t="s">
        <v>186</v>
      </c>
      <c r="C105" s="57"/>
      <c r="D105" s="57" t="s">
        <v>114</v>
      </c>
      <c r="E105" s="57">
        <f>Colofon!C29+1</f>
        <v>2027</v>
      </c>
      <c r="F105" s="57">
        <f t="shared" ref="F105:AR105" si="0">E105+1</f>
        <v>2028</v>
      </c>
      <c r="G105" s="57">
        <f t="shared" si="0"/>
        <v>2029</v>
      </c>
      <c r="H105" s="57">
        <f t="shared" si="0"/>
        <v>2030</v>
      </c>
      <c r="I105" s="57">
        <f t="shared" si="0"/>
        <v>2031</v>
      </c>
      <c r="J105" s="57">
        <f t="shared" si="0"/>
        <v>2032</v>
      </c>
      <c r="K105" s="57">
        <f t="shared" si="0"/>
        <v>2033</v>
      </c>
      <c r="L105" s="57">
        <f t="shared" si="0"/>
        <v>2034</v>
      </c>
      <c r="M105" s="57">
        <f t="shared" si="0"/>
        <v>2035</v>
      </c>
      <c r="N105" s="57">
        <f t="shared" si="0"/>
        <v>2036</v>
      </c>
      <c r="O105" s="57">
        <f t="shared" si="0"/>
        <v>2037</v>
      </c>
      <c r="P105" s="57">
        <f t="shared" si="0"/>
        <v>2038</v>
      </c>
      <c r="Q105" s="57">
        <f t="shared" si="0"/>
        <v>2039</v>
      </c>
      <c r="R105" s="57">
        <f t="shared" si="0"/>
        <v>2040</v>
      </c>
      <c r="S105" s="57">
        <f t="shared" si="0"/>
        <v>2041</v>
      </c>
      <c r="T105" s="57">
        <f t="shared" si="0"/>
        <v>2042</v>
      </c>
      <c r="U105" s="57">
        <f t="shared" si="0"/>
        <v>2043</v>
      </c>
      <c r="V105" s="57">
        <f t="shared" si="0"/>
        <v>2044</v>
      </c>
      <c r="W105" s="57">
        <f t="shared" si="0"/>
        <v>2045</v>
      </c>
      <c r="X105" s="57">
        <f t="shared" si="0"/>
        <v>2046</v>
      </c>
      <c r="Y105" s="57">
        <f t="shared" si="0"/>
        <v>2047</v>
      </c>
      <c r="Z105" s="57">
        <f t="shared" si="0"/>
        <v>2048</v>
      </c>
      <c r="AA105" s="57">
        <f t="shared" si="0"/>
        <v>2049</v>
      </c>
      <c r="AB105" s="57">
        <f t="shared" si="0"/>
        <v>2050</v>
      </c>
      <c r="AC105" s="57">
        <f t="shared" si="0"/>
        <v>2051</v>
      </c>
      <c r="AD105" s="57">
        <f t="shared" si="0"/>
        <v>2052</v>
      </c>
      <c r="AE105" s="57">
        <f t="shared" si="0"/>
        <v>2053</v>
      </c>
      <c r="AF105" s="57">
        <f t="shared" si="0"/>
        <v>2054</v>
      </c>
      <c r="AG105" s="57">
        <f t="shared" si="0"/>
        <v>2055</v>
      </c>
      <c r="AH105" s="57">
        <f t="shared" si="0"/>
        <v>2056</v>
      </c>
      <c r="AI105" s="57">
        <f t="shared" si="0"/>
        <v>2057</v>
      </c>
      <c r="AJ105" s="57">
        <f t="shared" si="0"/>
        <v>2058</v>
      </c>
      <c r="AK105" s="57">
        <f t="shared" si="0"/>
        <v>2059</v>
      </c>
      <c r="AL105" s="57">
        <f t="shared" si="0"/>
        <v>2060</v>
      </c>
      <c r="AM105" s="57">
        <f t="shared" si="0"/>
        <v>2061</v>
      </c>
      <c r="AN105" s="57">
        <f t="shared" si="0"/>
        <v>2062</v>
      </c>
      <c r="AO105" s="57">
        <f t="shared" si="0"/>
        <v>2063</v>
      </c>
      <c r="AP105" s="57">
        <f t="shared" si="0"/>
        <v>2064</v>
      </c>
      <c r="AQ105" s="57">
        <f t="shared" si="0"/>
        <v>2065</v>
      </c>
      <c r="AR105" s="136">
        <f t="shared" si="0"/>
        <v>2066</v>
      </c>
    </row>
    <row r="106" spans="1:44" s="239" customFormat="1" ht="13.5" customHeight="1" x14ac:dyDescent="0.25">
      <c r="B106" s="274" t="s">
        <v>187</v>
      </c>
      <c r="C106" s="275"/>
      <c r="D106" s="191" t="str">
        <f>CONCATENATE("Euro/",$C$7)</f>
        <v>Euro/kWh</v>
      </c>
      <c r="E106" s="93"/>
      <c r="F106" s="192">
        <f t="shared" ref="F106:AR106" si="1">IF(F$111&lt;=$C76,$E$106,)</f>
        <v>0</v>
      </c>
      <c r="G106" s="192">
        <f t="shared" si="1"/>
        <v>0</v>
      </c>
      <c r="H106" s="192">
        <f t="shared" si="1"/>
        <v>0</v>
      </c>
      <c r="I106" s="192">
        <f t="shared" si="1"/>
        <v>0</v>
      </c>
      <c r="J106" s="192">
        <f t="shared" si="1"/>
        <v>0</v>
      </c>
      <c r="K106" s="192">
        <f t="shared" si="1"/>
        <v>0</v>
      </c>
      <c r="L106" s="192">
        <f t="shared" si="1"/>
        <v>0</v>
      </c>
      <c r="M106" s="192">
        <f t="shared" si="1"/>
        <v>0</v>
      </c>
      <c r="N106" s="192">
        <f t="shared" si="1"/>
        <v>0</v>
      </c>
      <c r="O106" s="192">
        <f t="shared" si="1"/>
        <v>0</v>
      </c>
      <c r="P106" s="192">
        <f t="shared" si="1"/>
        <v>0</v>
      </c>
      <c r="Q106" s="192">
        <f t="shared" si="1"/>
        <v>0</v>
      </c>
      <c r="R106" s="192">
        <f t="shared" si="1"/>
        <v>0</v>
      </c>
      <c r="S106" s="192">
        <f t="shared" si="1"/>
        <v>0</v>
      </c>
      <c r="T106" s="192">
        <f t="shared" si="1"/>
        <v>0</v>
      </c>
      <c r="U106" s="192">
        <f t="shared" si="1"/>
        <v>0</v>
      </c>
      <c r="V106" s="192">
        <f t="shared" si="1"/>
        <v>0</v>
      </c>
      <c r="W106" s="192">
        <f t="shared" si="1"/>
        <v>0</v>
      </c>
      <c r="X106" s="192">
        <f t="shared" si="1"/>
        <v>0</v>
      </c>
      <c r="Y106" s="192">
        <f t="shared" si="1"/>
        <v>0</v>
      </c>
      <c r="Z106" s="192">
        <f t="shared" si="1"/>
        <v>0</v>
      </c>
      <c r="AA106" s="192">
        <f t="shared" si="1"/>
        <v>0</v>
      </c>
      <c r="AB106" s="192">
        <f t="shared" si="1"/>
        <v>0</v>
      </c>
      <c r="AC106" s="192">
        <f t="shared" si="1"/>
        <v>0</v>
      </c>
      <c r="AD106" s="192">
        <f t="shared" si="1"/>
        <v>0</v>
      </c>
      <c r="AE106" s="192">
        <f t="shared" si="1"/>
        <v>0</v>
      </c>
      <c r="AF106" s="192">
        <f t="shared" si="1"/>
        <v>0</v>
      </c>
      <c r="AG106" s="192">
        <f t="shared" si="1"/>
        <v>0</v>
      </c>
      <c r="AH106" s="192">
        <f t="shared" si="1"/>
        <v>0</v>
      </c>
      <c r="AI106" s="192">
        <f t="shared" si="1"/>
        <v>0</v>
      </c>
      <c r="AJ106" s="192">
        <f t="shared" si="1"/>
        <v>0</v>
      </c>
      <c r="AK106" s="192">
        <f t="shared" si="1"/>
        <v>0</v>
      </c>
      <c r="AL106" s="192">
        <f t="shared" si="1"/>
        <v>0</v>
      </c>
      <c r="AM106" s="192">
        <f t="shared" si="1"/>
        <v>0</v>
      </c>
      <c r="AN106" s="192">
        <f t="shared" si="1"/>
        <v>0</v>
      </c>
      <c r="AO106" s="192">
        <f t="shared" si="1"/>
        <v>0</v>
      </c>
      <c r="AP106" s="192">
        <f t="shared" si="1"/>
        <v>0</v>
      </c>
      <c r="AQ106" s="192">
        <f t="shared" si="1"/>
        <v>0</v>
      </c>
      <c r="AR106" s="192">
        <f t="shared" si="1"/>
        <v>0</v>
      </c>
    </row>
    <row r="107" spans="1:44" s="239" customFormat="1" ht="13.5" customHeight="1" x14ac:dyDescent="0.25">
      <c r="B107" s="274" t="s">
        <v>188</v>
      </c>
      <c r="C107" s="275"/>
      <c r="D107" s="191" t="str">
        <f>CONCATENATE("Euro/",$C$7)</f>
        <v>Euro/kWh</v>
      </c>
      <c r="E107" s="93"/>
      <c r="F107" s="192">
        <f t="shared" ref="F107:AR107" si="2">IF(F$111&lt;=$C73,$E$107*F108,)</f>
        <v>0</v>
      </c>
      <c r="G107" s="192">
        <f t="shared" si="2"/>
        <v>0</v>
      </c>
      <c r="H107" s="192">
        <f t="shared" si="2"/>
        <v>0</v>
      </c>
      <c r="I107" s="192">
        <f t="shared" si="2"/>
        <v>0</v>
      </c>
      <c r="J107" s="192">
        <f t="shared" si="2"/>
        <v>0</v>
      </c>
      <c r="K107" s="192">
        <f t="shared" si="2"/>
        <v>0</v>
      </c>
      <c r="L107" s="192">
        <f t="shared" si="2"/>
        <v>0</v>
      </c>
      <c r="M107" s="192">
        <f t="shared" si="2"/>
        <v>0</v>
      </c>
      <c r="N107" s="192">
        <f t="shared" si="2"/>
        <v>0</v>
      </c>
      <c r="O107" s="192">
        <f t="shared" si="2"/>
        <v>0</v>
      </c>
      <c r="P107" s="192">
        <f t="shared" si="2"/>
        <v>0</v>
      </c>
      <c r="Q107" s="192">
        <f t="shared" si="2"/>
        <v>0</v>
      </c>
      <c r="R107" s="192">
        <f t="shared" si="2"/>
        <v>0</v>
      </c>
      <c r="S107" s="192">
        <f t="shared" si="2"/>
        <v>0</v>
      </c>
      <c r="T107" s="192">
        <f t="shared" si="2"/>
        <v>0</v>
      </c>
      <c r="U107" s="192">
        <f t="shared" si="2"/>
        <v>0</v>
      </c>
      <c r="V107" s="192">
        <f t="shared" si="2"/>
        <v>0</v>
      </c>
      <c r="W107" s="192">
        <f t="shared" si="2"/>
        <v>0</v>
      </c>
      <c r="X107" s="192">
        <f t="shared" si="2"/>
        <v>0</v>
      </c>
      <c r="Y107" s="192">
        <f t="shared" si="2"/>
        <v>0</v>
      </c>
      <c r="Z107" s="192">
        <f t="shared" si="2"/>
        <v>0</v>
      </c>
      <c r="AA107" s="192">
        <f t="shared" si="2"/>
        <v>0</v>
      </c>
      <c r="AB107" s="192">
        <f t="shared" si="2"/>
        <v>0</v>
      </c>
      <c r="AC107" s="192">
        <f t="shared" si="2"/>
        <v>0</v>
      </c>
      <c r="AD107" s="192">
        <f t="shared" si="2"/>
        <v>0</v>
      </c>
      <c r="AE107" s="192">
        <f t="shared" si="2"/>
        <v>0</v>
      </c>
      <c r="AF107" s="192">
        <f t="shared" si="2"/>
        <v>0</v>
      </c>
      <c r="AG107" s="192">
        <f t="shared" si="2"/>
        <v>0</v>
      </c>
      <c r="AH107" s="192">
        <f t="shared" si="2"/>
        <v>0</v>
      </c>
      <c r="AI107" s="192">
        <f t="shared" si="2"/>
        <v>0</v>
      </c>
      <c r="AJ107" s="192">
        <f t="shared" si="2"/>
        <v>0</v>
      </c>
      <c r="AK107" s="192">
        <f t="shared" si="2"/>
        <v>0</v>
      </c>
      <c r="AL107" s="192">
        <f t="shared" si="2"/>
        <v>0</v>
      </c>
      <c r="AM107" s="192">
        <f t="shared" si="2"/>
        <v>0</v>
      </c>
      <c r="AN107" s="192">
        <f t="shared" si="2"/>
        <v>0</v>
      </c>
      <c r="AO107" s="192">
        <f t="shared" si="2"/>
        <v>0</v>
      </c>
      <c r="AP107" s="192">
        <f t="shared" si="2"/>
        <v>0</v>
      </c>
      <c r="AQ107" s="192">
        <f t="shared" si="2"/>
        <v>0</v>
      </c>
      <c r="AR107" s="192">
        <f t="shared" si="2"/>
        <v>0</v>
      </c>
    </row>
    <row r="108" spans="1:44" x14ac:dyDescent="0.2">
      <c r="B108" s="69" t="s">
        <v>189</v>
      </c>
      <c r="C108" s="193"/>
      <c r="D108" s="193" t="s">
        <v>190</v>
      </c>
      <c r="E108" s="77">
        <f t="shared" ref="E108:AR108" si="3">POWER(1+$C$89,E111-$E$111)</f>
        <v>1</v>
      </c>
      <c r="F108" s="77">
        <f t="shared" si="3"/>
        <v>1.02</v>
      </c>
      <c r="G108" s="77">
        <f t="shared" si="3"/>
        <v>1.0404</v>
      </c>
      <c r="H108" s="77">
        <f t="shared" si="3"/>
        <v>1.0612079999999999</v>
      </c>
      <c r="I108" s="77">
        <f t="shared" si="3"/>
        <v>1.08243216</v>
      </c>
      <c r="J108" s="77">
        <f t="shared" si="3"/>
        <v>1.1040808032</v>
      </c>
      <c r="K108" s="77">
        <f t="shared" si="3"/>
        <v>1.1261624192640001</v>
      </c>
      <c r="L108" s="77">
        <f t="shared" si="3"/>
        <v>1.1486856676492798</v>
      </c>
      <c r="M108" s="77">
        <f t="shared" si="3"/>
        <v>1.1716593810022655</v>
      </c>
      <c r="N108" s="77">
        <f t="shared" si="3"/>
        <v>1.1950925686223108</v>
      </c>
      <c r="O108" s="77">
        <f t="shared" si="3"/>
        <v>1.2189944199947571</v>
      </c>
      <c r="P108" s="77">
        <f t="shared" si="3"/>
        <v>1.243374308394652</v>
      </c>
      <c r="Q108" s="77">
        <f t="shared" si="3"/>
        <v>1.2682417945625453</v>
      </c>
      <c r="R108" s="77">
        <f t="shared" si="3"/>
        <v>1.2936066304537961</v>
      </c>
      <c r="S108" s="77">
        <f t="shared" si="3"/>
        <v>1.3194787630628722</v>
      </c>
      <c r="T108" s="77">
        <f t="shared" si="3"/>
        <v>1.3458683383241292</v>
      </c>
      <c r="U108" s="77">
        <f t="shared" si="3"/>
        <v>1.372785705090612</v>
      </c>
      <c r="V108" s="77">
        <f t="shared" si="3"/>
        <v>1.4002414191924244</v>
      </c>
      <c r="W108" s="77">
        <f t="shared" si="3"/>
        <v>1.4282462475762727</v>
      </c>
      <c r="X108" s="77">
        <f t="shared" si="3"/>
        <v>1.4568111725277981</v>
      </c>
      <c r="Y108" s="77">
        <f t="shared" si="3"/>
        <v>1.4859473959783542</v>
      </c>
      <c r="Z108" s="77">
        <f t="shared" si="3"/>
        <v>1.5156663438979212</v>
      </c>
      <c r="AA108" s="77">
        <f t="shared" si="3"/>
        <v>1.5459796707758797</v>
      </c>
      <c r="AB108" s="77">
        <f t="shared" si="3"/>
        <v>1.576899264191397</v>
      </c>
      <c r="AC108" s="77">
        <f t="shared" si="3"/>
        <v>1.608437249475225</v>
      </c>
      <c r="AD108" s="77">
        <f t="shared" si="3"/>
        <v>1.6406059944647295</v>
      </c>
      <c r="AE108" s="77">
        <f t="shared" si="3"/>
        <v>1.6734181143540243</v>
      </c>
      <c r="AF108" s="77">
        <f t="shared" si="3"/>
        <v>1.7068864766411045</v>
      </c>
      <c r="AG108" s="77">
        <f t="shared" si="3"/>
        <v>1.7410242061739269</v>
      </c>
      <c r="AH108" s="77">
        <f t="shared" si="3"/>
        <v>1.7758446902974052</v>
      </c>
      <c r="AI108" s="77">
        <f t="shared" si="3"/>
        <v>1.8113615841033535</v>
      </c>
      <c r="AJ108" s="77">
        <f t="shared" si="3"/>
        <v>1.8475888157854201</v>
      </c>
      <c r="AK108" s="77">
        <f t="shared" si="3"/>
        <v>1.8845405921011289</v>
      </c>
      <c r="AL108" s="77">
        <f t="shared" si="3"/>
        <v>1.9222314039431516</v>
      </c>
      <c r="AM108" s="77">
        <f t="shared" si="3"/>
        <v>1.9606760320220145</v>
      </c>
      <c r="AN108" s="77">
        <f t="shared" si="3"/>
        <v>1.9998895526624547</v>
      </c>
      <c r="AO108" s="77">
        <f t="shared" si="3"/>
        <v>2.0398873437157037</v>
      </c>
      <c r="AP108" s="77">
        <f t="shared" si="3"/>
        <v>2.080685090590018</v>
      </c>
      <c r="AQ108" s="77">
        <f t="shared" si="3"/>
        <v>2.1222987924018186</v>
      </c>
      <c r="AR108" s="78">
        <f t="shared" si="3"/>
        <v>2.1647447682498542</v>
      </c>
    </row>
    <row r="109" spans="1:44" ht="12.95" customHeight="1" x14ac:dyDescent="0.2"/>
    <row r="110" spans="1:44" ht="12.95" customHeight="1" x14ac:dyDescent="0.25">
      <c r="B110" s="276" t="s">
        <v>191</v>
      </c>
      <c r="C110" s="263"/>
      <c r="D110" s="263"/>
      <c r="E110" s="263"/>
      <c r="F110" s="263"/>
      <c r="G110" s="263"/>
      <c r="H110" s="263"/>
      <c r="I110" s="263"/>
      <c r="J110" s="263"/>
      <c r="K110" s="263"/>
      <c r="L110" s="263"/>
      <c r="M110" s="263"/>
      <c r="N110" s="155"/>
      <c r="O110" s="155"/>
      <c r="P110" s="155"/>
      <c r="Q110" s="155"/>
      <c r="R110" s="155"/>
      <c r="S110" s="155"/>
      <c r="T110" s="155"/>
      <c r="U110" s="155"/>
      <c r="V110" s="155"/>
      <c r="W110" s="155"/>
      <c r="X110" s="155"/>
      <c r="Y110" s="155"/>
      <c r="Z110" s="155"/>
      <c r="AA110" s="155"/>
      <c r="AB110" s="155"/>
      <c r="AC110" s="155"/>
      <c r="AD110" s="155"/>
      <c r="AE110" s="155"/>
      <c r="AF110" s="155"/>
      <c r="AG110" s="155"/>
      <c r="AH110" s="155"/>
      <c r="AI110" s="155"/>
      <c r="AJ110" s="155"/>
      <c r="AK110" s="155"/>
      <c r="AL110" s="155"/>
      <c r="AM110" s="155"/>
      <c r="AN110" s="155"/>
      <c r="AO110" s="155"/>
      <c r="AP110" s="155"/>
      <c r="AQ110" s="155"/>
      <c r="AR110" s="156"/>
    </row>
    <row r="111" spans="1:44" ht="12.95" customHeight="1" x14ac:dyDescent="0.2">
      <c r="B111" s="157" t="s">
        <v>192</v>
      </c>
      <c r="C111" s="143"/>
      <c r="D111" s="144">
        <v>0</v>
      </c>
      <c r="E111" s="144">
        <v>1</v>
      </c>
      <c r="F111" s="144">
        <v>2</v>
      </c>
      <c r="G111" s="144">
        <v>3</v>
      </c>
      <c r="H111" s="144">
        <v>4</v>
      </c>
      <c r="I111" s="144">
        <v>5</v>
      </c>
      <c r="J111" s="144">
        <v>6</v>
      </c>
      <c r="K111" s="144">
        <v>7</v>
      </c>
      <c r="L111" s="144">
        <v>8</v>
      </c>
      <c r="M111" s="144">
        <v>9</v>
      </c>
      <c r="N111" s="144">
        <v>10</v>
      </c>
      <c r="O111" s="144">
        <v>11</v>
      </c>
      <c r="P111" s="144">
        <v>12</v>
      </c>
      <c r="Q111" s="144">
        <v>13</v>
      </c>
      <c r="R111" s="144">
        <v>14</v>
      </c>
      <c r="S111" s="144">
        <v>15</v>
      </c>
      <c r="T111" s="144">
        <v>16</v>
      </c>
      <c r="U111" s="144">
        <v>17</v>
      </c>
      <c r="V111" s="144">
        <v>18</v>
      </c>
      <c r="W111" s="144">
        <v>19</v>
      </c>
      <c r="X111" s="144">
        <v>20</v>
      </c>
      <c r="Y111" s="144">
        <v>21</v>
      </c>
      <c r="Z111" s="144">
        <v>22</v>
      </c>
      <c r="AA111" s="144">
        <v>23</v>
      </c>
      <c r="AB111" s="144">
        <v>24</v>
      </c>
      <c r="AC111" s="144">
        <v>25</v>
      </c>
      <c r="AD111" s="144">
        <v>26</v>
      </c>
      <c r="AE111" s="144">
        <v>27</v>
      </c>
      <c r="AF111" s="144">
        <v>28</v>
      </c>
      <c r="AG111" s="144">
        <v>29</v>
      </c>
      <c r="AH111" s="144">
        <v>30</v>
      </c>
      <c r="AI111" s="144">
        <v>31</v>
      </c>
      <c r="AJ111" s="144">
        <v>32</v>
      </c>
      <c r="AK111" s="144">
        <v>33</v>
      </c>
      <c r="AL111" s="144">
        <v>34</v>
      </c>
      <c r="AM111" s="144">
        <v>35</v>
      </c>
      <c r="AN111" s="144">
        <v>36</v>
      </c>
      <c r="AO111" s="144">
        <v>37</v>
      </c>
      <c r="AP111" s="144">
        <v>38</v>
      </c>
      <c r="AQ111" s="144">
        <v>39</v>
      </c>
      <c r="AR111" s="158">
        <v>40</v>
      </c>
    </row>
    <row r="112" spans="1:44" ht="12.95" customHeight="1" x14ac:dyDescent="0.2">
      <c r="B112" s="50" t="s">
        <v>193</v>
      </c>
      <c r="C112" s="145" t="s">
        <v>183</v>
      </c>
      <c r="D112" s="146">
        <f>-C151</f>
        <v>-2982430373.154541</v>
      </c>
      <c r="E112" s="147"/>
      <c r="F112" s="147"/>
      <c r="G112" s="147"/>
      <c r="H112" s="147"/>
      <c r="I112" s="147"/>
      <c r="J112" s="147"/>
      <c r="K112" s="147"/>
      <c r="L112" s="147"/>
      <c r="M112" s="147"/>
      <c r="N112" s="147"/>
      <c r="O112" s="147"/>
      <c r="P112" s="147"/>
      <c r="Q112" s="147"/>
      <c r="R112" s="147"/>
      <c r="S112" s="147"/>
      <c r="T112" s="147"/>
      <c r="U112" s="147"/>
      <c r="V112" s="147"/>
      <c r="W112" s="147"/>
      <c r="X112" s="147"/>
      <c r="Y112" s="147"/>
      <c r="Z112" s="147"/>
      <c r="AA112" s="147"/>
      <c r="AB112" s="147"/>
      <c r="AC112" s="147"/>
      <c r="AD112" s="147"/>
      <c r="AE112" s="147"/>
      <c r="AF112" s="147"/>
      <c r="AG112" s="147"/>
      <c r="AH112" s="147"/>
      <c r="AI112" s="147"/>
      <c r="AJ112" s="147"/>
      <c r="AK112" s="147"/>
      <c r="AL112" s="147"/>
      <c r="AM112" s="147"/>
      <c r="AN112" s="147"/>
      <c r="AO112" s="147"/>
      <c r="AP112" s="147"/>
      <c r="AQ112" s="147"/>
      <c r="AR112" s="159"/>
    </row>
    <row r="113" spans="2:44" ht="12.95" customHeight="1" x14ac:dyDescent="0.2">
      <c r="B113" s="157" t="s">
        <v>194</v>
      </c>
      <c r="C113" s="148"/>
      <c r="D113" s="149"/>
      <c r="E113" s="149"/>
      <c r="F113" s="149"/>
      <c r="G113" s="149"/>
      <c r="H113" s="149"/>
      <c r="I113" s="149"/>
      <c r="J113" s="149"/>
      <c r="K113" s="149"/>
      <c r="L113" s="149"/>
      <c r="M113" s="149"/>
      <c r="N113" s="149"/>
      <c r="O113" s="149"/>
      <c r="P113" s="149"/>
      <c r="Q113" s="149"/>
      <c r="R113" s="149"/>
      <c r="S113" s="149"/>
      <c r="T113" s="149"/>
      <c r="U113" s="149"/>
      <c r="V113" s="149"/>
      <c r="W113" s="149"/>
      <c r="X113" s="149"/>
      <c r="Y113" s="149"/>
      <c r="Z113" s="149"/>
      <c r="AA113" s="149"/>
      <c r="AB113" s="149"/>
      <c r="AC113" s="149"/>
      <c r="AD113" s="149"/>
      <c r="AE113" s="149"/>
      <c r="AF113" s="149"/>
      <c r="AG113" s="149"/>
      <c r="AH113" s="149"/>
      <c r="AI113" s="149"/>
      <c r="AJ113" s="149"/>
      <c r="AK113" s="149"/>
      <c r="AL113" s="149"/>
      <c r="AM113" s="149"/>
      <c r="AN113" s="149"/>
      <c r="AO113" s="149"/>
      <c r="AP113" s="149"/>
      <c r="AQ113" s="149"/>
      <c r="AR113" s="160"/>
    </row>
    <row r="114" spans="2:44" x14ac:dyDescent="0.2">
      <c r="B114" s="50" t="s">
        <v>195</v>
      </c>
      <c r="C114" s="150" t="str">
        <f>$C$7</f>
        <v>kWh</v>
      </c>
      <c r="D114" s="145"/>
      <c r="E114" s="194">
        <f t="shared" ref="E114:AR114" si="4">IF(E111&lt;=$C$76,$C$28*$C$30,IF(AND(E111&gt;$C$76,E111&lt;=$C$73),$C$28*$C$81,0))*IF($C$33=0,1,$C$34/$C$33)</f>
        <v>3729440000</v>
      </c>
      <c r="F114" s="194">
        <f t="shared" si="4"/>
        <v>3729440000</v>
      </c>
      <c r="G114" s="194">
        <f t="shared" si="4"/>
        <v>3729440000</v>
      </c>
      <c r="H114" s="194">
        <f t="shared" si="4"/>
        <v>3729440000</v>
      </c>
      <c r="I114" s="194">
        <f t="shared" si="4"/>
        <v>3729440000</v>
      </c>
      <c r="J114" s="194">
        <f t="shared" si="4"/>
        <v>3729440000</v>
      </c>
      <c r="K114" s="194">
        <f t="shared" si="4"/>
        <v>3729440000</v>
      </c>
      <c r="L114" s="194">
        <f t="shared" si="4"/>
        <v>3729440000</v>
      </c>
      <c r="M114" s="194">
        <f t="shared" si="4"/>
        <v>3729440000</v>
      </c>
      <c r="N114" s="194">
        <f t="shared" si="4"/>
        <v>3729440000</v>
      </c>
      <c r="O114" s="194">
        <f t="shared" si="4"/>
        <v>3729440000</v>
      </c>
      <c r="P114" s="194">
        <f t="shared" si="4"/>
        <v>3729440000</v>
      </c>
      <c r="Q114" s="194">
        <f t="shared" si="4"/>
        <v>3729440000</v>
      </c>
      <c r="R114" s="194">
        <f t="shared" si="4"/>
        <v>3729440000</v>
      </c>
      <c r="S114" s="194">
        <f t="shared" si="4"/>
        <v>3729440000</v>
      </c>
      <c r="T114" s="194">
        <f t="shared" si="4"/>
        <v>3889440000</v>
      </c>
      <c r="U114" s="194">
        <f t="shared" si="4"/>
        <v>3889440000</v>
      </c>
      <c r="V114" s="194">
        <f t="shared" si="4"/>
        <v>3889440000</v>
      </c>
      <c r="W114" s="194">
        <f t="shared" si="4"/>
        <v>3889440000</v>
      </c>
      <c r="X114" s="194">
        <f t="shared" si="4"/>
        <v>3889440000</v>
      </c>
      <c r="Y114" s="194">
        <f t="shared" si="4"/>
        <v>3889440000</v>
      </c>
      <c r="Z114" s="194">
        <f t="shared" si="4"/>
        <v>3889440000</v>
      </c>
      <c r="AA114" s="194">
        <f t="shared" si="4"/>
        <v>3889440000</v>
      </c>
      <c r="AB114" s="194">
        <f t="shared" si="4"/>
        <v>3889440000</v>
      </c>
      <c r="AC114" s="194">
        <f t="shared" si="4"/>
        <v>3889440000</v>
      </c>
      <c r="AD114" s="194">
        <f t="shared" si="4"/>
        <v>3889440000</v>
      </c>
      <c r="AE114" s="194">
        <f t="shared" si="4"/>
        <v>3889440000</v>
      </c>
      <c r="AF114" s="194">
        <f t="shared" si="4"/>
        <v>3889440000</v>
      </c>
      <c r="AG114" s="194">
        <f t="shared" si="4"/>
        <v>3889440000</v>
      </c>
      <c r="AH114" s="194">
        <f t="shared" si="4"/>
        <v>3889440000</v>
      </c>
      <c r="AI114" s="194">
        <f t="shared" si="4"/>
        <v>3889440000</v>
      </c>
      <c r="AJ114" s="194">
        <f t="shared" si="4"/>
        <v>3889440000</v>
      </c>
      <c r="AK114" s="194">
        <f t="shared" si="4"/>
        <v>3889440000</v>
      </c>
      <c r="AL114" s="194">
        <f t="shared" si="4"/>
        <v>3889440000</v>
      </c>
      <c r="AM114" s="194">
        <f t="shared" si="4"/>
        <v>3889440000</v>
      </c>
      <c r="AN114" s="194">
        <f t="shared" si="4"/>
        <v>0</v>
      </c>
      <c r="AO114" s="194">
        <f t="shared" si="4"/>
        <v>0</v>
      </c>
      <c r="AP114" s="194">
        <f t="shared" si="4"/>
        <v>0</v>
      </c>
      <c r="AQ114" s="194">
        <f t="shared" si="4"/>
        <v>0</v>
      </c>
      <c r="AR114" s="195">
        <f t="shared" si="4"/>
        <v>0</v>
      </c>
    </row>
    <row r="115" spans="2:44" x14ac:dyDescent="0.2">
      <c r="B115" s="50" t="s">
        <v>196</v>
      </c>
      <c r="C115" s="150" t="str">
        <f>$C$7</f>
        <v>kWh</v>
      </c>
      <c r="D115" s="145"/>
      <c r="E115" s="194">
        <f t="shared" ref="E115:AR115" si="5">IF($C$23="Ja",0,IF(E111&lt;=$C$76,$C$26*$C$29,IF(AND(E111&gt;$C$76,E111&lt;=$C$73),$C$26*$C$83,0)))</f>
        <v>0</v>
      </c>
      <c r="F115" s="194">
        <f t="shared" si="5"/>
        <v>0</v>
      </c>
      <c r="G115" s="194">
        <f t="shared" si="5"/>
        <v>0</v>
      </c>
      <c r="H115" s="194">
        <f t="shared" si="5"/>
        <v>0</v>
      </c>
      <c r="I115" s="194">
        <f t="shared" si="5"/>
        <v>0</v>
      </c>
      <c r="J115" s="194">
        <f t="shared" si="5"/>
        <v>0</v>
      </c>
      <c r="K115" s="194">
        <f t="shared" si="5"/>
        <v>0</v>
      </c>
      <c r="L115" s="194">
        <f t="shared" si="5"/>
        <v>0</v>
      </c>
      <c r="M115" s="194">
        <f t="shared" si="5"/>
        <v>0</v>
      </c>
      <c r="N115" s="194">
        <f t="shared" si="5"/>
        <v>0</v>
      </c>
      <c r="O115" s="194">
        <f t="shared" si="5"/>
        <v>0</v>
      </c>
      <c r="P115" s="194">
        <f t="shared" si="5"/>
        <v>0</v>
      </c>
      <c r="Q115" s="194">
        <f t="shared" si="5"/>
        <v>0</v>
      </c>
      <c r="R115" s="194">
        <f t="shared" si="5"/>
        <v>0</v>
      </c>
      <c r="S115" s="194">
        <f t="shared" si="5"/>
        <v>0</v>
      </c>
      <c r="T115" s="194">
        <f t="shared" si="5"/>
        <v>0</v>
      </c>
      <c r="U115" s="194">
        <f t="shared" si="5"/>
        <v>0</v>
      </c>
      <c r="V115" s="194">
        <f t="shared" si="5"/>
        <v>0</v>
      </c>
      <c r="W115" s="194">
        <f t="shared" si="5"/>
        <v>0</v>
      </c>
      <c r="X115" s="194">
        <f t="shared" si="5"/>
        <v>0</v>
      </c>
      <c r="Y115" s="194">
        <f t="shared" si="5"/>
        <v>0</v>
      </c>
      <c r="Z115" s="194">
        <f t="shared" si="5"/>
        <v>0</v>
      </c>
      <c r="AA115" s="194">
        <f t="shared" si="5"/>
        <v>0</v>
      </c>
      <c r="AB115" s="194">
        <f t="shared" si="5"/>
        <v>0</v>
      </c>
      <c r="AC115" s="194">
        <f t="shared" si="5"/>
        <v>0</v>
      </c>
      <c r="AD115" s="194">
        <f t="shared" si="5"/>
        <v>0</v>
      </c>
      <c r="AE115" s="194">
        <f t="shared" si="5"/>
        <v>0</v>
      </c>
      <c r="AF115" s="194">
        <f t="shared" si="5"/>
        <v>0</v>
      </c>
      <c r="AG115" s="194">
        <f t="shared" si="5"/>
        <v>0</v>
      </c>
      <c r="AH115" s="194">
        <f t="shared" si="5"/>
        <v>0</v>
      </c>
      <c r="AI115" s="194">
        <f t="shared" si="5"/>
        <v>0</v>
      </c>
      <c r="AJ115" s="194">
        <f t="shared" si="5"/>
        <v>0</v>
      </c>
      <c r="AK115" s="194">
        <f t="shared" si="5"/>
        <v>0</v>
      </c>
      <c r="AL115" s="194">
        <f t="shared" si="5"/>
        <v>0</v>
      </c>
      <c r="AM115" s="194">
        <f t="shared" si="5"/>
        <v>0</v>
      </c>
      <c r="AN115" s="194">
        <f t="shared" si="5"/>
        <v>0</v>
      </c>
      <c r="AO115" s="194">
        <f t="shared" si="5"/>
        <v>0</v>
      </c>
      <c r="AP115" s="194">
        <f t="shared" si="5"/>
        <v>0</v>
      </c>
      <c r="AQ115" s="194">
        <f t="shared" si="5"/>
        <v>0</v>
      </c>
      <c r="AR115" s="195">
        <f t="shared" si="5"/>
        <v>0</v>
      </c>
    </row>
    <row r="116" spans="2:44" x14ac:dyDescent="0.2">
      <c r="B116" s="50" t="s">
        <v>197</v>
      </c>
      <c r="C116" s="145" t="s">
        <v>198</v>
      </c>
      <c r="D116" s="145"/>
      <c r="E116" s="194">
        <f t="shared" ref="E116:AR116" si="6">IF(OR(E111&gt;$C$73,$C$23&lt;&gt;"JA"),0,$C$26*$C$29*$C$174/$C$173)</f>
        <v>0</v>
      </c>
      <c r="F116" s="194">
        <f t="shared" si="6"/>
        <v>0</v>
      </c>
      <c r="G116" s="194">
        <f t="shared" si="6"/>
        <v>0</v>
      </c>
      <c r="H116" s="194">
        <f t="shared" si="6"/>
        <v>0</v>
      </c>
      <c r="I116" s="194">
        <f t="shared" si="6"/>
        <v>0</v>
      </c>
      <c r="J116" s="194">
        <f t="shared" si="6"/>
        <v>0</v>
      </c>
      <c r="K116" s="194">
        <f t="shared" si="6"/>
        <v>0</v>
      </c>
      <c r="L116" s="194">
        <f t="shared" si="6"/>
        <v>0</v>
      </c>
      <c r="M116" s="194">
        <f t="shared" si="6"/>
        <v>0</v>
      </c>
      <c r="N116" s="194">
        <f t="shared" si="6"/>
        <v>0</v>
      </c>
      <c r="O116" s="194">
        <f t="shared" si="6"/>
        <v>0</v>
      </c>
      <c r="P116" s="194">
        <f t="shared" si="6"/>
        <v>0</v>
      </c>
      <c r="Q116" s="194">
        <f t="shared" si="6"/>
        <v>0</v>
      </c>
      <c r="R116" s="194">
        <f t="shared" si="6"/>
        <v>0</v>
      </c>
      <c r="S116" s="194">
        <f t="shared" si="6"/>
        <v>0</v>
      </c>
      <c r="T116" s="194">
        <f t="shared" si="6"/>
        <v>0</v>
      </c>
      <c r="U116" s="194">
        <f t="shared" si="6"/>
        <v>0</v>
      </c>
      <c r="V116" s="194">
        <f t="shared" si="6"/>
        <v>0</v>
      </c>
      <c r="W116" s="194">
        <f t="shared" si="6"/>
        <v>0</v>
      </c>
      <c r="X116" s="194">
        <f t="shared" si="6"/>
        <v>0</v>
      </c>
      <c r="Y116" s="194">
        <f t="shared" si="6"/>
        <v>0</v>
      </c>
      <c r="Z116" s="194">
        <f t="shared" si="6"/>
        <v>0</v>
      </c>
      <c r="AA116" s="194">
        <f t="shared" si="6"/>
        <v>0</v>
      </c>
      <c r="AB116" s="194">
        <f t="shared" si="6"/>
        <v>0</v>
      </c>
      <c r="AC116" s="194">
        <f t="shared" si="6"/>
        <v>0</v>
      </c>
      <c r="AD116" s="194">
        <f t="shared" si="6"/>
        <v>0</v>
      </c>
      <c r="AE116" s="194">
        <f t="shared" si="6"/>
        <v>0</v>
      </c>
      <c r="AF116" s="194">
        <f t="shared" si="6"/>
        <v>0</v>
      </c>
      <c r="AG116" s="194">
        <f t="shared" si="6"/>
        <v>0</v>
      </c>
      <c r="AH116" s="194">
        <f t="shared" si="6"/>
        <v>0</v>
      </c>
      <c r="AI116" s="194">
        <f t="shared" si="6"/>
        <v>0</v>
      </c>
      <c r="AJ116" s="194">
        <f t="shared" si="6"/>
        <v>0</v>
      </c>
      <c r="AK116" s="194">
        <f t="shared" si="6"/>
        <v>0</v>
      </c>
      <c r="AL116" s="194">
        <f t="shared" si="6"/>
        <v>0</v>
      </c>
      <c r="AM116" s="194">
        <f t="shared" si="6"/>
        <v>0</v>
      </c>
      <c r="AN116" s="194">
        <f t="shared" si="6"/>
        <v>0</v>
      </c>
      <c r="AO116" s="194">
        <f t="shared" si="6"/>
        <v>0</v>
      </c>
      <c r="AP116" s="194">
        <f t="shared" si="6"/>
        <v>0</v>
      </c>
      <c r="AQ116" s="194">
        <f t="shared" si="6"/>
        <v>0</v>
      </c>
      <c r="AR116" s="195">
        <f t="shared" si="6"/>
        <v>0</v>
      </c>
    </row>
    <row r="117" spans="2:44" x14ac:dyDescent="0.2">
      <c r="B117" s="161" t="s">
        <v>199</v>
      </c>
      <c r="C117" s="151" t="str">
        <f>$C$7</f>
        <v>kWh</v>
      </c>
      <c r="D117" s="152"/>
      <c r="E117" s="196">
        <f t="shared" ref="E117:AR117" si="7">SUM(E114:E116)</f>
        <v>3729440000</v>
      </c>
      <c r="F117" s="196">
        <f t="shared" si="7"/>
        <v>3729440000</v>
      </c>
      <c r="G117" s="196">
        <f t="shared" si="7"/>
        <v>3729440000</v>
      </c>
      <c r="H117" s="196">
        <f t="shared" si="7"/>
        <v>3729440000</v>
      </c>
      <c r="I117" s="196">
        <f t="shared" si="7"/>
        <v>3729440000</v>
      </c>
      <c r="J117" s="196">
        <f t="shared" si="7"/>
        <v>3729440000</v>
      </c>
      <c r="K117" s="196">
        <f t="shared" si="7"/>
        <v>3729440000</v>
      </c>
      <c r="L117" s="196">
        <f t="shared" si="7"/>
        <v>3729440000</v>
      </c>
      <c r="M117" s="196">
        <f t="shared" si="7"/>
        <v>3729440000</v>
      </c>
      <c r="N117" s="196">
        <f t="shared" si="7"/>
        <v>3729440000</v>
      </c>
      <c r="O117" s="196">
        <f t="shared" si="7"/>
        <v>3729440000</v>
      </c>
      <c r="P117" s="196">
        <f t="shared" si="7"/>
        <v>3729440000</v>
      </c>
      <c r="Q117" s="196">
        <f t="shared" si="7"/>
        <v>3729440000</v>
      </c>
      <c r="R117" s="196">
        <f t="shared" si="7"/>
        <v>3729440000</v>
      </c>
      <c r="S117" s="196">
        <f t="shared" si="7"/>
        <v>3729440000</v>
      </c>
      <c r="T117" s="196">
        <f t="shared" si="7"/>
        <v>3889440000</v>
      </c>
      <c r="U117" s="196">
        <f t="shared" si="7"/>
        <v>3889440000</v>
      </c>
      <c r="V117" s="196">
        <f t="shared" si="7"/>
        <v>3889440000</v>
      </c>
      <c r="W117" s="196">
        <f t="shared" si="7"/>
        <v>3889440000</v>
      </c>
      <c r="X117" s="196">
        <f t="shared" si="7"/>
        <v>3889440000</v>
      </c>
      <c r="Y117" s="196">
        <f t="shared" si="7"/>
        <v>3889440000</v>
      </c>
      <c r="Z117" s="196">
        <f t="shared" si="7"/>
        <v>3889440000</v>
      </c>
      <c r="AA117" s="196">
        <f t="shared" si="7"/>
        <v>3889440000</v>
      </c>
      <c r="AB117" s="196">
        <f t="shared" si="7"/>
        <v>3889440000</v>
      </c>
      <c r="AC117" s="196">
        <f t="shared" si="7"/>
        <v>3889440000</v>
      </c>
      <c r="AD117" s="196">
        <f t="shared" si="7"/>
        <v>3889440000</v>
      </c>
      <c r="AE117" s="196">
        <f t="shared" si="7"/>
        <v>3889440000</v>
      </c>
      <c r="AF117" s="196">
        <f t="shared" si="7"/>
        <v>3889440000</v>
      </c>
      <c r="AG117" s="196">
        <f t="shared" si="7"/>
        <v>3889440000</v>
      </c>
      <c r="AH117" s="196">
        <f t="shared" si="7"/>
        <v>3889440000</v>
      </c>
      <c r="AI117" s="196">
        <f t="shared" si="7"/>
        <v>3889440000</v>
      </c>
      <c r="AJ117" s="196">
        <f t="shared" si="7"/>
        <v>3889440000</v>
      </c>
      <c r="AK117" s="196">
        <f t="shared" si="7"/>
        <v>3889440000</v>
      </c>
      <c r="AL117" s="196">
        <f t="shared" si="7"/>
        <v>3889440000</v>
      </c>
      <c r="AM117" s="196">
        <f t="shared" si="7"/>
        <v>3889440000</v>
      </c>
      <c r="AN117" s="196">
        <f t="shared" si="7"/>
        <v>0</v>
      </c>
      <c r="AO117" s="196">
        <f t="shared" si="7"/>
        <v>0</v>
      </c>
      <c r="AP117" s="196">
        <f t="shared" si="7"/>
        <v>0</v>
      </c>
      <c r="AQ117" s="196">
        <f t="shared" si="7"/>
        <v>0</v>
      </c>
      <c r="AR117" s="197">
        <f t="shared" si="7"/>
        <v>0</v>
      </c>
    </row>
    <row r="118" spans="2:44" ht="12.95" customHeight="1" x14ac:dyDescent="0.2">
      <c r="B118" s="157" t="s">
        <v>200</v>
      </c>
      <c r="C118" s="148"/>
      <c r="D118" s="149"/>
      <c r="E118" s="149"/>
      <c r="F118" s="149"/>
      <c r="G118" s="149"/>
      <c r="H118" s="149"/>
      <c r="I118" s="149"/>
      <c r="J118" s="149"/>
      <c r="K118" s="149"/>
      <c r="L118" s="149"/>
      <c r="M118" s="149"/>
      <c r="N118" s="149"/>
      <c r="O118" s="149"/>
      <c r="P118" s="149"/>
      <c r="Q118" s="149"/>
      <c r="R118" s="149"/>
      <c r="S118" s="149"/>
      <c r="T118" s="149"/>
      <c r="U118" s="149"/>
      <c r="V118" s="149"/>
      <c r="W118" s="149"/>
      <c r="X118" s="149"/>
      <c r="Y118" s="149"/>
      <c r="Z118" s="149"/>
      <c r="AA118" s="149"/>
      <c r="AB118" s="149"/>
      <c r="AC118" s="149"/>
      <c r="AD118" s="149"/>
      <c r="AE118" s="149"/>
      <c r="AF118" s="149"/>
      <c r="AG118" s="149"/>
      <c r="AH118" s="149"/>
      <c r="AI118" s="149"/>
      <c r="AJ118" s="149"/>
      <c r="AK118" s="149"/>
      <c r="AL118" s="149"/>
      <c r="AM118" s="149"/>
      <c r="AN118" s="149"/>
      <c r="AO118" s="149"/>
      <c r="AP118" s="149"/>
      <c r="AQ118" s="149"/>
      <c r="AR118" s="160"/>
    </row>
    <row r="119" spans="2:44" x14ac:dyDescent="0.2">
      <c r="B119" s="50" t="s">
        <v>201</v>
      </c>
      <c r="C119" s="145" t="s">
        <v>183</v>
      </c>
      <c r="D119" s="145"/>
      <c r="E119" s="194">
        <f t="shared" ref="E119:AR119" si="8">IF(E111&gt;$C$73,0,-E108*(($C$42*$C$21+$C$43*SUM($C$26,$C$28))+E117*$C$49))+IF($C$101=E111,$D$101*E108,0)+IF($C$102=E111,$D$102*E108,0)</f>
        <v>-84471095.50938201</v>
      </c>
      <c r="F119" s="194">
        <f t="shared" si="8"/>
        <v>-86160517.419569656</v>
      </c>
      <c r="G119" s="194">
        <f t="shared" si="8"/>
        <v>-87883727.76796104</v>
      </c>
      <c r="H119" s="194">
        <f t="shared" si="8"/>
        <v>-89641402.323320255</v>
      </c>
      <c r="I119" s="194">
        <f t="shared" si="8"/>
        <v>-91434230.369786665</v>
      </c>
      <c r="J119" s="194">
        <f t="shared" si="8"/>
        <v>-93262914.977182403</v>
      </c>
      <c r="K119" s="194">
        <f t="shared" si="8"/>
        <v>-95128173.276726052</v>
      </c>
      <c r="L119" s="194">
        <f t="shared" si="8"/>
        <v>-97030736.74226056</v>
      </c>
      <c r="M119" s="194">
        <f t="shared" si="8"/>
        <v>-98971351.477105781</v>
      </c>
      <c r="N119" s="194">
        <f t="shared" si="8"/>
        <v>-100950778.50664788</v>
      </c>
      <c r="O119" s="194">
        <f t="shared" si="8"/>
        <v>-102969794.07678086</v>
      </c>
      <c r="P119" s="194">
        <f t="shared" si="8"/>
        <v>-105029189.95831645</v>
      </c>
      <c r="Q119" s="194">
        <f t="shared" si="8"/>
        <v>-107129773.7574828</v>
      </c>
      <c r="R119" s="194">
        <f t="shared" si="8"/>
        <v>-109272369.23263244</v>
      </c>
      <c r="S119" s="194">
        <f t="shared" si="8"/>
        <v>-111457816.6172851</v>
      </c>
      <c r="T119" s="194">
        <f t="shared" si="8"/>
        <v>-306280732.16381365</v>
      </c>
      <c r="U119" s="194">
        <f t="shared" si="8"/>
        <v>-118157169.53676839</v>
      </c>
      <c r="V119" s="194">
        <f t="shared" si="8"/>
        <v>-120520312.92750376</v>
      </c>
      <c r="W119" s="194">
        <f t="shared" si="8"/>
        <v>-122930719.18605383</v>
      </c>
      <c r="X119" s="194">
        <f t="shared" si="8"/>
        <v>-125389333.56977491</v>
      </c>
      <c r="Y119" s="194">
        <f t="shared" si="8"/>
        <v>-127897120.24117042</v>
      </c>
      <c r="Z119" s="194">
        <f t="shared" si="8"/>
        <v>-130455062.64599381</v>
      </c>
      <c r="AA119" s="194">
        <f t="shared" si="8"/>
        <v>-133064163.8989137</v>
      </c>
      <c r="AB119" s="194">
        <f t="shared" si="8"/>
        <v>-135725447.17689195</v>
      </c>
      <c r="AC119" s="194">
        <f t="shared" si="8"/>
        <v>-138439956.12042978</v>
      </c>
      <c r="AD119" s="194">
        <f t="shared" si="8"/>
        <v>-141208755.24283838</v>
      </c>
      <c r="AE119" s="194">
        <f t="shared" si="8"/>
        <v>-144032930.34769517</v>
      </c>
      <c r="AF119" s="194">
        <f t="shared" si="8"/>
        <v>-146913588.95464906</v>
      </c>
      <c r="AG119" s="194">
        <f t="shared" si="8"/>
        <v>-149851860.73374206</v>
      </c>
      <c r="AH119" s="194">
        <f t="shared" si="8"/>
        <v>-152848897.94841689</v>
      </c>
      <c r="AI119" s="194">
        <f t="shared" si="8"/>
        <v>-155905875.90738523</v>
      </c>
      <c r="AJ119" s="194">
        <f t="shared" si="8"/>
        <v>-159023993.42553291</v>
      </c>
      <c r="AK119" s="194">
        <f t="shared" si="8"/>
        <v>-162204473.2940436</v>
      </c>
      <c r="AL119" s="194">
        <f t="shared" si="8"/>
        <v>-165448562.75992447</v>
      </c>
      <c r="AM119" s="194">
        <f t="shared" si="8"/>
        <v>-168757534.01512295</v>
      </c>
      <c r="AN119" s="194">
        <f t="shared" si="8"/>
        <v>0</v>
      </c>
      <c r="AO119" s="194">
        <f t="shared" si="8"/>
        <v>0</v>
      </c>
      <c r="AP119" s="194">
        <f t="shared" si="8"/>
        <v>0</v>
      </c>
      <c r="AQ119" s="194">
        <f t="shared" si="8"/>
        <v>0</v>
      </c>
      <c r="AR119" s="195">
        <f t="shared" si="8"/>
        <v>0</v>
      </c>
    </row>
    <row r="120" spans="2:44" x14ac:dyDescent="0.2">
      <c r="B120" s="50" t="s">
        <v>202</v>
      </c>
      <c r="C120" s="145" t="s">
        <v>183</v>
      </c>
      <c r="D120" s="145"/>
      <c r="E120" s="194">
        <f t="shared" ref="E120:AR120" si="9">IF(OR(E111&gt;$C$73, $C$52=0), 0, -E108*$C$54/$C$52*$C$21*MAX($C$29,$C$30)*$C$175/1000)</f>
        <v>0</v>
      </c>
      <c r="F120" s="194">
        <f t="shared" si="9"/>
        <v>0</v>
      </c>
      <c r="G120" s="194">
        <f t="shared" si="9"/>
        <v>0</v>
      </c>
      <c r="H120" s="194">
        <f t="shared" si="9"/>
        <v>0</v>
      </c>
      <c r="I120" s="194">
        <f t="shared" si="9"/>
        <v>0</v>
      </c>
      <c r="J120" s="194">
        <f t="shared" si="9"/>
        <v>0</v>
      </c>
      <c r="K120" s="194">
        <f t="shared" si="9"/>
        <v>0</v>
      </c>
      <c r="L120" s="194">
        <f t="shared" si="9"/>
        <v>0</v>
      </c>
      <c r="M120" s="194">
        <f t="shared" si="9"/>
        <v>0</v>
      </c>
      <c r="N120" s="194">
        <f t="shared" si="9"/>
        <v>0</v>
      </c>
      <c r="O120" s="194">
        <f t="shared" si="9"/>
        <v>0</v>
      </c>
      <c r="P120" s="194">
        <f t="shared" si="9"/>
        <v>0</v>
      </c>
      <c r="Q120" s="194">
        <f t="shared" si="9"/>
        <v>0</v>
      </c>
      <c r="R120" s="194">
        <f t="shared" si="9"/>
        <v>0</v>
      </c>
      <c r="S120" s="194">
        <f t="shared" si="9"/>
        <v>0</v>
      </c>
      <c r="T120" s="194">
        <f t="shared" si="9"/>
        <v>0</v>
      </c>
      <c r="U120" s="194">
        <f t="shared" si="9"/>
        <v>0</v>
      </c>
      <c r="V120" s="194">
        <f t="shared" si="9"/>
        <v>0</v>
      </c>
      <c r="W120" s="194">
        <f t="shared" si="9"/>
        <v>0</v>
      </c>
      <c r="X120" s="194">
        <f t="shared" si="9"/>
        <v>0</v>
      </c>
      <c r="Y120" s="194">
        <f t="shared" si="9"/>
        <v>0</v>
      </c>
      <c r="Z120" s="194">
        <f t="shared" si="9"/>
        <v>0</v>
      </c>
      <c r="AA120" s="194">
        <f t="shared" si="9"/>
        <v>0</v>
      </c>
      <c r="AB120" s="194">
        <f t="shared" si="9"/>
        <v>0</v>
      </c>
      <c r="AC120" s="194">
        <f t="shared" si="9"/>
        <v>0</v>
      </c>
      <c r="AD120" s="194">
        <f t="shared" si="9"/>
        <v>0</v>
      </c>
      <c r="AE120" s="194">
        <f t="shared" si="9"/>
        <v>0</v>
      </c>
      <c r="AF120" s="194">
        <f t="shared" si="9"/>
        <v>0</v>
      </c>
      <c r="AG120" s="194">
        <f t="shared" si="9"/>
        <v>0</v>
      </c>
      <c r="AH120" s="194">
        <f t="shared" si="9"/>
        <v>0</v>
      </c>
      <c r="AI120" s="194">
        <f t="shared" si="9"/>
        <v>0</v>
      </c>
      <c r="AJ120" s="194">
        <f t="shared" si="9"/>
        <v>0</v>
      </c>
      <c r="AK120" s="194">
        <f t="shared" si="9"/>
        <v>0</v>
      </c>
      <c r="AL120" s="194">
        <f t="shared" si="9"/>
        <v>0</v>
      </c>
      <c r="AM120" s="194">
        <f t="shared" si="9"/>
        <v>0</v>
      </c>
      <c r="AN120" s="194">
        <f t="shared" si="9"/>
        <v>0</v>
      </c>
      <c r="AO120" s="194">
        <f t="shared" si="9"/>
        <v>0</v>
      </c>
      <c r="AP120" s="194">
        <f t="shared" si="9"/>
        <v>0</v>
      </c>
      <c r="AQ120" s="194">
        <f t="shared" si="9"/>
        <v>0</v>
      </c>
      <c r="AR120" s="195">
        <f t="shared" si="9"/>
        <v>0</v>
      </c>
    </row>
    <row r="121" spans="2:44" x14ac:dyDescent="0.2">
      <c r="B121" s="50" t="s">
        <v>203</v>
      </c>
      <c r="C121" s="145" t="s">
        <v>178</v>
      </c>
      <c r="D121" s="145"/>
      <c r="E121" s="198">
        <f t="shared" ref="E121:AR121" si="10">IF(AND(E111&gt;$C$76,E111&lt;=$C$73),(IF($C$81&gt;0,$C$80*E108,0)), )</f>
        <v>0</v>
      </c>
      <c r="F121" s="198">
        <f t="shared" si="10"/>
        <v>0</v>
      </c>
      <c r="G121" s="198">
        <f t="shared" si="10"/>
        <v>0</v>
      </c>
      <c r="H121" s="198">
        <f t="shared" si="10"/>
        <v>0</v>
      </c>
      <c r="I121" s="198">
        <f t="shared" si="10"/>
        <v>0</v>
      </c>
      <c r="J121" s="198">
        <f t="shared" si="10"/>
        <v>0</v>
      </c>
      <c r="K121" s="198">
        <f t="shared" si="10"/>
        <v>0</v>
      </c>
      <c r="L121" s="198">
        <f t="shared" si="10"/>
        <v>0</v>
      </c>
      <c r="M121" s="198">
        <f t="shared" si="10"/>
        <v>0</v>
      </c>
      <c r="N121" s="198">
        <f t="shared" si="10"/>
        <v>0</v>
      </c>
      <c r="O121" s="198">
        <f t="shared" si="10"/>
        <v>0</v>
      </c>
      <c r="P121" s="198">
        <f t="shared" si="10"/>
        <v>0</v>
      </c>
      <c r="Q121" s="198">
        <f t="shared" si="10"/>
        <v>0</v>
      </c>
      <c r="R121" s="198">
        <f t="shared" si="10"/>
        <v>0</v>
      </c>
      <c r="S121" s="198">
        <f t="shared" si="10"/>
        <v>0</v>
      </c>
      <c r="T121" s="198">
        <f t="shared" si="10"/>
        <v>7.6096388475197049E-2</v>
      </c>
      <c r="U121" s="198">
        <f t="shared" si="10"/>
        <v>7.7618316244701002E-2</v>
      </c>
      <c r="V121" s="198">
        <f t="shared" si="10"/>
        <v>7.917068256959503E-2</v>
      </c>
      <c r="W121" s="198">
        <f t="shared" si="10"/>
        <v>8.0754096220986921E-2</v>
      </c>
      <c r="X121" s="198">
        <f t="shared" si="10"/>
        <v>8.2369178145406646E-2</v>
      </c>
      <c r="Y121" s="198">
        <f t="shared" si="10"/>
        <v>8.4016561708314785E-2</v>
      </c>
      <c r="Z121" s="198">
        <f t="shared" si="10"/>
        <v>8.5696892942481076E-2</v>
      </c>
      <c r="AA121" s="198">
        <f t="shared" si="10"/>
        <v>8.7410830801330705E-2</v>
      </c>
      <c r="AB121" s="198">
        <f t="shared" si="10"/>
        <v>8.9159047417357307E-2</v>
      </c>
      <c r="AC121" s="198">
        <f t="shared" si="10"/>
        <v>9.0942228365704453E-2</v>
      </c>
      <c r="AD121" s="198">
        <f t="shared" si="10"/>
        <v>9.2761072933018551E-2</v>
      </c>
      <c r="AE121" s="198">
        <f t="shared" si="10"/>
        <v>9.4616294391678929E-2</v>
      </c>
      <c r="AF121" s="198">
        <f t="shared" si="10"/>
        <v>9.6508620279512486E-2</v>
      </c>
      <c r="AG121" s="198">
        <f t="shared" si="10"/>
        <v>9.8438792685102763E-2</v>
      </c>
      <c r="AH121" s="198">
        <f t="shared" si="10"/>
        <v>0.1004075685388048</v>
      </c>
      <c r="AI121" s="198">
        <f t="shared" si="10"/>
        <v>0.1024157199095809</v>
      </c>
      <c r="AJ121" s="198">
        <f t="shared" si="10"/>
        <v>0.1044640343077725</v>
      </c>
      <c r="AK121" s="198">
        <f t="shared" si="10"/>
        <v>0.10655331499392796</v>
      </c>
      <c r="AL121" s="198">
        <f t="shared" si="10"/>
        <v>0.10868438129380653</v>
      </c>
      <c r="AM121" s="198">
        <f t="shared" si="10"/>
        <v>0.11085806891968265</v>
      </c>
      <c r="AN121" s="198">
        <f t="shared" si="10"/>
        <v>0</v>
      </c>
      <c r="AO121" s="198">
        <f t="shared" si="10"/>
        <v>0</v>
      </c>
      <c r="AP121" s="198">
        <f t="shared" si="10"/>
        <v>0</v>
      </c>
      <c r="AQ121" s="198">
        <f t="shared" si="10"/>
        <v>0</v>
      </c>
      <c r="AR121" s="199">
        <f t="shared" si="10"/>
        <v>0</v>
      </c>
    </row>
    <row r="122" spans="2:44" x14ac:dyDescent="0.2">
      <c r="B122" s="50" t="s">
        <v>204</v>
      </c>
      <c r="C122" s="145" t="s">
        <v>178</v>
      </c>
      <c r="D122" s="145"/>
      <c r="E122" s="198">
        <f t="shared" ref="E122:AR122" si="11">IF($C$23="Ja",0,IF(AND(E111&gt;$C$76,E111&lt;=$C$73),(IF($C$83&gt;0,$C$82*E108,0)), ))</f>
        <v>0</v>
      </c>
      <c r="F122" s="198">
        <f t="shared" si="11"/>
        <v>0</v>
      </c>
      <c r="G122" s="198">
        <f t="shared" si="11"/>
        <v>0</v>
      </c>
      <c r="H122" s="198">
        <f t="shared" si="11"/>
        <v>0</v>
      </c>
      <c r="I122" s="198">
        <f t="shared" si="11"/>
        <v>0</v>
      </c>
      <c r="J122" s="198">
        <f t="shared" si="11"/>
        <v>0</v>
      </c>
      <c r="K122" s="198">
        <f t="shared" si="11"/>
        <v>0</v>
      </c>
      <c r="L122" s="198">
        <f t="shared" si="11"/>
        <v>0</v>
      </c>
      <c r="M122" s="198">
        <f t="shared" si="11"/>
        <v>0</v>
      </c>
      <c r="N122" s="198">
        <f t="shared" si="11"/>
        <v>0</v>
      </c>
      <c r="O122" s="198">
        <f t="shared" si="11"/>
        <v>0</v>
      </c>
      <c r="P122" s="198">
        <f t="shared" si="11"/>
        <v>0</v>
      </c>
      <c r="Q122" s="198">
        <f t="shared" si="11"/>
        <v>0</v>
      </c>
      <c r="R122" s="198">
        <f t="shared" si="11"/>
        <v>0</v>
      </c>
      <c r="S122" s="198">
        <f t="shared" si="11"/>
        <v>0</v>
      </c>
      <c r="T122" s="198">
        <f t="shared" si="11"/>
        <v>0</v>
      </c>
      <c r="U122" s="198">
        <f t="shared" si="11"/>
        <v>0</v>
      </c>
      <c r="V122" s="198">
        <f t="shared" si="11"/>
        <v>0</v>
      </c>
      <c r="W122" s="198">
        <f t="shared" si="11"/>
        <v>0</v>
      </c>
      <c r="X122" s="198">
        <f t="shared" si="11"/>
        <v>0</v>
      </c>
      <c r="Y122" s="198">
        <f t="shared" si="11"/>
        <v>0</v>
      </c>
      <c r="Z122" s="198">
        <f t="shared" si="11"/>
        <v>0</v>
      </c>
      <c r="AA122" s="198">
        <f t="shared" si="11"/>
        <v>0</v>
      </c>
      <c r="AB122" s="198">
        <f t="shared" si="11"/>
        <v>0</v>
      </c>
      <c r="AC122" s="198">
        <f t="shared" si="11"/>
        <v>0</v>
      </c>
      <c r="AD122" s="198">
        <f t="shared" si="11"/>
        <v>0</v>
      </c>
      <c r="AE122" s="198">
        <f t="shared" si="11"/>
        <v>0</v>
      </c>
      <c r="AF122" s="198">
        <f t="shared" si="11"/>
        <v>0</v>
      </c>
      <c r="AG122" s="198">
        <f t="shared" si="11"/>
        <v>0</v>
      </c>
      <c r="AH122" s="198">
        <f t="shared" si="11"/>
        <v>0</v>
      </c>
      <c r="AI122" s="198">
        <f t="shared" si="11"/>
        <v>0</v>
      </c>
      <c r="AJ122" s="198">
        <f t="shared" si="11"/>
        <v>0</v>
      </c>
      <c r="AK122" s="198">
        <f t="shared" si="11"/>
        <v>0</v>
      </c>
      <c r="AL122" s="198">
        <f t="shared" si="11"/>
        <v>0</v>
      </c>
      <c r="AM122" s="198">
        <f t="shared" si="11"/>
        <v>0</v>
      </c>
      <c r="AN122" s="198">
        <f t="shared" si="11"/>
        <v>0</v>
      </c>
      <c r="AO122" s="198">
        <f t="shared" si="11"/>
        <v>0</v>
      </c>
      <c r="AP122" s="198">
        <f t="shared" si="11"/>
        <v>0</v>
      </c>
      <c r="AQ122" s="198">
        <f t="shared" si="11"/>
        <v>0</v>
      </c>
      <c r="AR122" s="199">
        <f t="shared" si="11"/>
        <v>0</v>
      </c>
    </row>
    <row r="123" spans="2:44" x14ac:dyDescent="0.2">
      <c r="B123" s="50" t="s">
        <v>205</v>
      </c>
      <c r="C123" s="145" t="str">
        <f>CONCATENATE("Euro/",$C$7)</f>
        <v>Euro/kWh</v>
      </c>
      <c r="D123" s="145"/>
      <c r="E123" s="198">
        <f t="shared" ref="E123:AR123" si="12">E107</f>
        <v>0</v>
      </c>
      <c r="F123" s="198">
        <f t="shared" si="12"/>
        <v>0</v>
      </c>
      <c r="G123" s="198">
        <f t="shared" si="12"/>
        <v>0</v>
      </c>
      <c r="H123" s="198">
        <f t="shared" si="12"/>
        <v>0</v>
      </c>
      <c r="I123" s="198">
        <f t="shared" si="12"/>
        <v>0</v>
      </c>
      <c r="J123" s="198">
        <f t="shared" si="12"/>
        <v>0</v>
      </c>
      <c r="K123" s="198">
        <f t="shared" si="12"/>
        <v>0</v>
      </c>
      <c r="L123" s="198">
        <f t="shared" si="12"/>
        <v>0</v>
      </c>
      <c r="M123" s="198">
        <f t="shared" si="12"/>
        <v>0</v>
      </c>
      <c r="N123" s="198">
        <f t="shared" si="12"/>
        <v>0</v>
      </c>
      <c r="O123" s="198">
        <f t="shared" si="12"/>
        <v>0</v>
      </c>
      <c r="P123" s="198">
        <f t="shared" si="12"/>
        <v>0</v>
      </c>
      <c r="Q123" s="198">
        <f t="shared" si="12"/>
        <v>0</v>
      </c>
      <c r="R123" s="198">
        <f t="shared" si="12"/>
        <v>0</v>
      </c>
      <c r="S123" s="198">
        <f t="shared" si="12"/>
        <v>0</v>
      </c>
      <c r="T123" s="198">
        <f t="shared" si="12"/>
        <v>0</v>
      </c>
      <c r="U123" s="198">
        <f t="shared" si="12"/>
        <v>0</v>
      </c>
      <c r="V123" s="198">
        <f t="shared" si="12"/>
        <v>0</v>
      </c>
      <c r="W123" s="198">
        <f t="shared" si="12"/>
        <v>0</v>
      </c>
      <c r="X123" s="198">
        <f t="shared" si="12"/>
        <v>0</v>
      </c>
      <c r="Y123" s="198">
        <f t="shared" si="12"/>
        <v>0</v>
      </c>
      <c r="Z123" s="198">
        <f t="shared" si="12"/>
        <v>0</v>
      </c>
      <c r="AA123" s="198">
        <f t="shared" si="12"/>
        <v>0</v>
      </c>
      <c r="AB123" s="198">
        <f t="shared" si="12"/>
        <v>0</v>
      </c>
      <c r="AC123" s="198">
        <f t="shared" si="12"/>
        <v>0</v>
      </c>
      <c r="AD123" s="198">
        <f t="shared" si="12"/>
        <v>0</v>
      </c>
      <c r="AE123" s="198">
        <f t="shared" si="12"/>
        <v>0</v>
      </c>
      <c r="AF123" s="198">
        <f t="shared" si="12"/>
        <v>0</v>
      </c>
      <c r="AG123" s="198">
        <f t="shared" si="12"/>
        <v>0</v>
      </c>
      <c r="AH123" s="198">
        <f t="shared" si="12"/>
        <v>0</v>
      </c>
      <c r="AI123" s="198">
        <f t="shared" si="12"/>
        <v>0</v>
      </c>
      <c r="AJ123" s="198">
        <f t="shared" si="12"/>
        <v>0</v>
      </c>
      <c r="AK123" s="198">
        <f t="shared" si="12"/>
        <v>0</v>
      </c>
      <c r="AL123" s="198">
        <f t="shared" si="12"/>
        <v>0</v>
      </c>
      <c r="AM123" s="198">
        <f t="shared" si="12"/>
        <v>0</v>
      </c>
      <c r="AN123" s="198">
        <f t="shared" si="12"/>
        <v>0</v>
      </c>
      <c r="AO123" s="198">
        <f t="shared" si="12"/>
        <v>0</v>
      </c>
      <c r="AP123" s="198">
        <f t="shared" si="12"/>
        <v>0</v>
      </c>
      <c r="AQ123" s="198">
        <f t="shared" si="12"/>
        <v>0</v>
      </c>
      <c r="AR123" s="199">
        <f t="shared" si="12"/>
        <v>0</v>
      </c>
    </row>
    <row r="124" spans="2:44" x14ac:dyDescent="0.2">
      <c r="B124" s="50" t="s">
        <v>28</v>
      </c>
      <c r="C124" s="145" t="str">
        <f>CONCATENATE("Euro/",$C$7)</f>
        <v>Euro/kWh</v>
      </c>
      <c r="D124" s="145"/>
      <c r="E124" s="198">
        <f t="shared" ref="E124:AR124" si="13">E106</f>
        <v>0</v>
      </c>
      <c r="F124" s="198">
        <f t="shared" si="13"/>
        <v>0</v>
      </c>
      <c r="G124" s="198">
        <f t="shared" si="13"/>
        <v>0</v>
      </c>
      <c r="H124" s="198">
        <f t="shared" si="13"/>
        <v>0</v>
      </c>
      <c r="I124" s="198">
        <f t="shared" si="13"/>
        <v>0</v>
      </c>
      <c r="J124" s="198">
        <f t="shared" si="13"/>
        <v>0</v>
      </c>
      <c r="K124" s="198">
        <f t="shared" si="13"/>
        <v>0</v>
      </c>
      <c r="L124" s="198">
        <f t="shared" si="13"/>
        <v>0</v>
      </c>
      <c r="M124" s="198">
        <f t="shared" si="13"/>
        <v>0</v>
      </c>
      <c r="N124" s="198">
        <f t="shared" si="13"/>
        <v>0</v>
      </c>
      <c r="O124" s="198">
        <f t="shared" si="13"/>
        <v>0</v>
      </c>
      <c r="P124" s="198">
        <f t="shared" si="13"/>
        <v>0</v>
      </c>
      <c r="Q124" s="198">
        <f t="shared" si="13"/>
        <v>0</v>
      </c>
      <c r="R124" s="198">
        <f t="shared" si="13"/>
        <v>0</v>
      </c>
      <c r="S124" s="198">
        <f t="shared" si="13"/>
        <v>0</v>
      </c>
      <c r="T124" s="198">
        <f t="shared" si="13"/>
        <v>0</v>
      </c>
      <c r="U124" s="198">
        <f t="shared" si="13"/>
        <v>0</v>
      </c>
      <c r="V124" s="198">
        <f t="shared" si="13"/>
        <v>0</v>
      </c>
      <c r="W124" s="198">
        <f t="shared" si="13"/>
        <v>0</v>
      </c>
      <c r="X124" s="198">
        <f t="shared" si="13"/>
        <v>0</v>
      </c>
      <c r="Y124" s="198">
        <f t="shared" si="13"/>
        <v>0</v>
      </c>
      <c r="Z124" s="198">
        <f t="shared" si="13"/>
        <v>0</v>
      </c>
      <c r="AA124" s="198">
        <f t="shared" si="13"/>
        <v>0</v>
      </c>
      <c r="AB124" s="198">
        <f t="shared" si="13"/>
        <v>0</v>
      </c>
      <c r="AC124" s="198">
        <f t="shared" si="13"/>
        <v>0</v>
      </c>
      <c r="AD124" s="198">
        <f t="shared" si="13"/>
        <v>0</v>
      </c>
      <c r="AE124" s="198">
        <f t="shared" si="13"/>
        <v>0</v>
      </c>
      <c r="AF124" s="198">
        <f t="shared" si="13"/>
        <v>0</v>
      </c>
      <c r="AG124" s="198">
        <f t="shared" si="13"/>
        <v>0</v>
      </c>
      <c r="AH124" s="198">
        <f t="shared" si="13"/>
        <v>0</v>
      </c>
      <c r="AI124" s="198">
        <f t="shared" si="13"/>
        <v>0</v>
      </c>
      <c r="AJ124" s="198">
        <f t="shared" si="13"/>
        <v>0</v>
      </c>
      <c r="AK124" s="198">
        <f t="shared" si="13"/>
        <v>0</v>
      </c>
      <c r="AL124" s="198">
        <f t="shared" si="13"/>
        <v>0</v>
      </c>
      <c r="AM124" s="198">
        <f t="shared" si="13"/>
        <v>0</v>
      </c>
      <c r="AN124" s="198">
        <f t="shared" si="13"/>
        <v>0</v>
      </c>
      <c r="AO124" s="198">
        <f t="shared" si="13"/>
        <v>0</v>
      </c>
      <c r="AP124" s="198">
        <f t="shared" si="13"/>
        <v>0</v>
      </c>
      <c r="AQ124" s="198">
        <f t="shared" si="13"/>
        <v>0</v>
      </c>
      <c r="AR124" s="199">
        <f t="shared" si="13"/>
        <v>0</v>
      </c>
    </row>
    <row r="125" spans="2:44" x14ac:dyDescent="0.2">
      <c r="B125" s="50" t="s">
        <v>206</v>
      </c>
      <c r="C125" s="145" t="s">
        <v>183</v>
      </c>
      <c r="D125" s="145"/>
      <c r="E125" s="194">
        <f t="shared" ref="E125:AR125" si="14">MAX(0,E124-E123)*E117</f>
        <v>0</v>
      </c>
      <c r="F125" s="194">
        <f t="shared" si="14"/>
        <v>0</v>
      </c>
      <c r="G125" s="194">
        <f t="shared" si="14"/>
        <v>0</v>
      </c>
      <c r="H125" s="194">
        <f t="shared" si="14"/>
        <v>0</v>
      </c>
      <c r="I125" s="194">
        <f t="shared" si="14"/>
        <v>0</v>
      </c>
      <c r="J125" s="194">
        <f t="shared" si="14"/>
        <v>0</v>
      </c>
      <c r="K125" s="194">
        <f t="shared" si="14"/>
        <v>0</v>
      </c>
      <c r="L125" s="194">
        <f t="shared" si="14"/>
        <v>0</v>
      </c>
      <c r="M125" s="194">
        <f t="shared" si="14"/>
        <v>0</v>
      </c>
      <c r="N125" s="194">
        <f t="shared" si="14"/>
        <v>0</v>
      </c>
      <c r="O125" s="194">
        <f t="shared" si="14"/>
        <v>0</v>
      </c>
      <c r="P125" s="194">
        <f t="shared" si="14"/>
        <v>0</v>
      </c>
      <c r="Q125" s="194">
        <f t="shared" si="14"/>
        <v>0</v>
      </c>
      <c r="R125" s="194">
        <f t="shared" si="14"/>
        <v>0</v>
      </c>
      <c r="S125" s="194">
        <f t="shared" si="14"/>
        <v>0</v>
      </c>
      <c r="T125" s="194">
        <f t="shared" si="14"/>
        <v>0</v>
      </c>
      <c r="U125" s="194">
        <f t="shared" si="14"/>
        <v>0</v>
      </c>
      <c r="V125" s="194">
        <f t="shared" si="14"/>
        <v>0</v>
      </c>
      <c r="W125" s="194">
        <f t="shared" si="14"/>
        <v>0</v>
      </c>
      <c r="X125" s="194">
        <f t="shared" si="14"/>
        <v>0</v>
      </c>
      <c r="Y125" s="194">
        <f t="shared" si="14"/>
        <v>0</v>
      </c>
      <c r="Z125" s="194">
        <f t="shared" si="14"/>
        <v>0</v>
      </c>
      <c r="AA125" s="194">
        <f t="shared" si="14"/>
        <v>0</v>
      </c>
      <c r="AB125" s="194">
        <f t="shared" si="14"/>
        <v>0</v>
      </c>
      <c r="AC125" s="194">
        <f t="shared" si="14"/>
        <v>0</v>
      </c>
      <c r="AD125" s="194">
        <f t="shared" si="14"/>
        <v>0</v>
      </c>
      <c r="AE125" s="194">
        <f t="shared" si="14"/>
        <v>0</v>
      </c>
      <c r="AF125" s="194">
        <f t="shared" si="14"/>
        <v>0</v>
      </c>
      <c r="AG125" s="194">
        <f t="shared" si="14"/>
        <v>0</v>
      </c>
      <c r="AH125" s="194">
        <f t="shared" si="14"/>
        <v>0</v>
      </c>
      <c r="AI125" s="194">
        <f t="shared" si="14"/>
        <v>0</v>
      </c>
      <c r="AJ125" s="194">
        <f t="shared" si="14"/>
        <v>0</v>
      </c>
      <c r="AK125" s="194">
        <f t="shared" si="14"/>
        <v>0</v>
      </c>
      <c r="AL125" s="194">
        <f t="shared" si="14"/>
        <v>0</v>
      </c>
      <c r="AM125" s="194">
        <f t="shared" si="14"/>
        <v>0</v>
      </c>
      <c r="AN125" s="194">
        <f t="shared" si="14"/>
        <v>0</v>
      </c>
      <c r="AO125" s="194">
        <f t="shared" si="14"/>
        <v>0</v>
      </c>
      <c r="AP125" s="194">
        <f t="shared" si="14"/>
        <v>0</v>
      </c>
      <c r="AQ125" s="194">
        <f t="shared" si="14"/>
        <v>0</v>
      </c>
      <c r="AR125" s="195">
        <f t="shared" si="14"/>
        <v>0</v>
      </c>
    </row>
    <row r="126" spans="2:44" x14ac:dyDescent="0.2">
      <c r="B126" s="50" t="s">
        <v>207</v>
      </c>
      <c r="C126" s="145" t="s">
        <v>183</v>
      </c>
      <c r="D126" s="145"/>
      <c r="E126" s="194">
        <f t="shared" ref="E126:AR126" si="15">IF(E107&gt;0,,E121*E114+E122*SUM(E115:E116))</f>
        <v>0</v>
      </c>
      <c r="F126" s="194">
        <f t="shared" si="15"/>
        <v>0</v>
      </c>
      <c r="G126" s="194">
        <f t="shared" si="15"/>
        <v>0</v>
      </c>
      <c r="H126" s="194">
        <f t="shared" si="15"/>
        <v>0</v>
      </c>
      <c r="I126" s="194">
        <f t="shared" si="15"/>
        <v>0</v>
      </c>
      <c r="J126" s="194">
        <f t="shared" si="15"/>
        <v>0</v>
      </c>
      <c r="K126" s="194">
        <f t="shared" si="15"/>
        <v>0</v>
      </c>
      <c r="L126" s="194">
        <f t="shared" si="15"/>
        <v>0</v>
      </c>
      <c r="M126" s="194">
        <f t="shared" si="15"/>
        <v>0</v>
      </c>
      <c r="N126" s="194">
        <f t="shared" si="15"/>
        <v>0</v>
      </c>
      <c r="O126" s="194">
        <f t="shared" si="15"/>
        <v>0</v>
      </c>
      <c r="P126" s="194">
        <f t="shared" si="15"/>
        <v>0</v>
      </c>
      <c r="Q126" s="194">
        <f t="shared" si="15"/>
        <v>0</v>
      </c>
      <c r="R126" s="194">
        <f t="shared" si="15"/>
        <v>0</v>
      </c>
      <c r="S126" s="194">
        <f t="shared" si="15"/>
        <v>0</v>
      </c>
      <c r="T126" s="194">
        <f t="shared" si="15"/>
        <v>295972337.19097042</v>
      </c>
      <c r="U126" s="194">
        <f t="shared" si="15"/>
        <v>301891783.93478984</v>
      </c>
      <c r="V126" s="194">
        <f t="shared" si="15"/>
        <v>307929619.61348569</v>
      </c>
      <c r="W126" s="194">
        <f t="shared" si="15"/>
        <v>314088212.00575536</v>
      </c>
      <c r="X126" s="194">
        <f t="shared" si="15"/>
        <v>320369976.24587041</v>
      </c>
      <c r="Y126" s="194">
        <f t="shared" si="15"/>
        <v>326777375.77078784</v>
      </c>
      <c r="Z126" s="194">
        <f t="shared" si="15"/>
        <v>333312923.28620362</v>
      </c>
      <c r="AA126" s="194">
        <f t="shared" si="15"/>
        <v>339979181.75192767</v>
      </c>
      <c r="AB126" s="194">
        <f t="shared" si="15"/>
        <v>346778765.38696623</v>
      </c>
      <c r="AC126" s="194">
        <f t="shared" si="15"/>
        <v>353714340.69470555</v>
      </c>
      <c r="AD126" s="194">
        <f t="shared" si="15"/>
        <v>360788627.5085997</v>
      </c>
      <c r="AE126" s="194">
        <f t="shared" si="15"/>
        <v>368004400.05877167</v>
      </c>
      <c r="AF126" s="194">
        <f t="shared" si="15"/>
        <v>375364488.05994701</v>
      </c>
      <c r="AG126" s="194">
        <f t="shared" si="15"/>
        <v>382871777.82114607</v>
      </c>
      <c r="AH126" s="194">
        <f t="shared" si="15"/>
        <v>390529213.3775689</v>
      </c>
      <c r="AI126" s="194">
        <f t="shared" si="15"/>
        <v>398339797.64512032</v>
      </c>
      <c r="AJ126" s="194">
        <f t="shared" si="15"/>
        <v>406306593.59802264</v>
      </c>
      <c r="AK126" s="194">
        <f t="shared" si="15"/>
        <v>414432725.46998316</v>
      </c>
      <c r="AL126" s="194">
        <f t="shared" si="15"/>
        <v>422721379.97938287</v>
      </c>
      <c r="AM126" s="194">
        <f t="shared" si="15"/>
        <v>431175807.57897049</v>
      </c>
      <c r="AN126" s="194">
        <f t="shared" si="15"/>
        <v>0</v>
      </c>
      <c r="AO126" s="194">
        <f t="shared" si="15"/>
        <v>0</v>
      </c>
      <c r="AP126" s="194">
        <f t="shared" si="15"/>
        <v>0</v>
      </c>
      <c r="AQ126" s="194">
        <f t="shared" si="15"/>
        <v>0</v>
      </c>
      <c r="AR126" s="195">
        <f t="shared" si="15"/>
        <v>0</v>
      </c>
    </row>
    <row r="127" spans="2:44" x14ac:dyDescent="0.2">
      <c r="B127" s="50" t="s">
        <v>208</v>
      </c>
      <c r="C127" s="145" t="s">
        <v>183</v>
      </c>
      <c r="D127" s="153"/>
      <c r="E127" s="194">
        <f t="shared" ref="E127:AR127" si="16">E123*E117</f>
        <v>0</v>
      </c>
      <c r="F127" s="194">
        <f t="shared" si="16"/>
        <v>0</v>
      </c>
      <c r="G127" s="194">
        <f t="shared" si="16"/>
        <v>0</v>
      </c>
      <c r="H127" s="194">
        <f t="shared" si="16"/>
        <v>0</v>
      </c>
      <c r="I127" s="194">
        <f t="shared" si="16"/>
        <v>0</v>
      </c>
      <c r="J127" s="194">
        <f t="shared" si="16"/>
        <v>0</v>
      </c>
      <c r="K127" s="194">
        <f t="shared" si="16"/>
        <v>0</v>
      </c>
      <c r="L127" s="194">
        <f t="shared" si="16"/>
        <v>0</v>
      </c>
      <c r="M127" s="194">
        <f t="shared" si="16"/>
        <v>0</v>
      </c>
      <c r="N127" s="194">
        <f t="shared" si="16"/>
        <v>0</v>
      </c>
      <c r="O127" s="194">
        <f t="shared" si="16"/>
        <v>0</v>
      </c>
      <c r="P127" s="194">
        <f t="shared" si="16"/>
        <v>0</v>
      </c>
      <c r="Q127" s="194">
        <f t="shared" si="16"/>
        <v>0</v>
      </c>
      <c r="R127" s="194">
        <f t="shared" si="16"/>
        <v>0</v>
      </c>
      <c r="S127" s="194">
        <f t="shared" si="16"/>
        <v>0</v>
      </c>
      <c r="T127" s="194">
        <f t="shared" si="16"/>
        <v>0</v>
      </c>
      <c r="U127" s="194">
        <f t="shared" si="16"/>
        <v>0</v>
      </c>
      <c r="V127" s="194">
        <f t="shared" si="16"/>
        <v>0</v>
      </c>
      <c r="W127" s="194">
        <f t="shared" si="16"/>
        <v>0</v>
      </c>
      <c r="X127" s="194">
        <f t="shared" si="16"/>
        <v>0</v>
      </c>
      <c r="Y127" s="194">
        <f t="shared" si="16"/>
        <v>0</v>
      </c>
      <c r="Z127" s="194">
        <f t="shared" si="16"/>
        <v>0</v>
      </c>
      <c r="AA127" s="194">
        <f t="shared" si="16"/>
        <v>0</v>
      </c>
      <c r="AB127" s="194">
        <f t="shared" si="16"/>
        <v>0</v>
      </c>
      <c r="AC127" s="194">
        <f t="shared" si="16"/>
        <v>0</v>
      </c>
      <c r="AD127" s="194">
        <f t="shared" si="16"/>
        <v>0</v>
      </c>
      <c r="AE127" s="194">
        <f t="shared" si="16"/>
        <v>0</v>
      </c>
      <c r="AF127" s="194">
        <f t="shared" si="16"/>
        <v>0</v>
      </c>
      <c r="AG127" s="194">
        <f t="shared" si="16"/>
        <v>0</v>
      </c>
      <c r="AH127" s="194">
        <f t="shared" si="16"/>
        <v>0</v>
      </c>
      <c r="AI127" s="194">
        <f t="shared" si="16"/>
        <v>0</v>
      </c>
      <c r="AJ127" s="194">
        <f t="shared" si="16"/>
        <v>0</v>
      </c>
      <c r="AK127" s="194">
        <f t="shared" si="16"/>
        <v>0</v>
      </c>
      <c r="AL127" s="194">
        <f t="shared" si="16"/>
        <v>0</v>
      </c>
      <c r="AM127" s="194">
        <f t="shared" si="16"/>
        <v>0</v>
      </c>
      <c r="AN127" s="194">
        <f t="shared" si="16"/>
        <v>0</v>
      </c>
      <c r="AO127" s="194">
        <f t="shared" si="16"/>
        <v>0</v>
      </c>
      <c r="AP127" s="194">
        <f t="shared" si="16"/>
        <v>0</v>
      </c>
      <c r="AQ127" s="194">
        <f t="shared" si="16"/>
        <v>0</v>
      </c>
      <c r="AR127" s="195">
        <f t="shared" si="16"/>
        <v>0</v>
      </c>
    </row>
    <row r="128" spans="2:44" ht="12.95" customHeight="1" x14ac:dyDescent="0.2">
      <c r="B128" s="157" t="s">
        <v>209</v>
      </c>
      <c r="C128" s="148"/>
      <c r="D128" s="149"/>
      <c r="E128" s="149"/>
      <c r="F128" s="149"/>
      <c r="G128" s="149"/>
      <c r="H128" s="149"/>
      <c r="I128" s="149"/>
      <c r="J128" s="149"/>
      <c r="K128" s="149"/>
      <c r="L128" s="149"/>
      <c r="M128" s="149"/>
      <c r="N128" s="149"/>
      <c r="O128" s="149"/>
      <c r="P128" s="149"/>
      <c r="Q128" s="149"/>
      <c r="R128" s="149"/>
      <c r="S128" s="149"/>
      <c r="T128" s="149"/>
      <c r="U128" s="149"/>
      <c r="V128" s="149"/>
      <c r="W128" s="149"/>
      <c r="X128" s="149"/>
      <c r="Y128" s="149"/>
      <c r="Z128" s="149"/>
      <c r="AA128" s="149"/>
      <c r="AB128" s="149"/>
      <c r="AC128" s="149"/>
      <c r="AD128" s="149"/>
      <c r="AE128" s="149"/>
      <c r="AF128" s="149"/>
      <c r="AG128" s="149"/>
      <c r="AH128" s="149"/>
      <c r="AI128" s="149"/>
      <c r="AJ128" s="149"/>
      <c r="AK128" s="149"/>
      <c r="AL128" s="149"/>
      <c r="AM128" s="149"/>
      <c r="AN128" s="149"/>
      <c r="AO128" s="149"/>
      <c r="AP128" s="149"/>
      <c r="AQ128" s="149"/>
      <c r="AR128" s="160"/>
    </row>
    <row r="129" spans="1:44" x14ac:dyDescent="0.2">
      <c r="B129" s="50" t="s">
        <v>210</v>
      </c>
      <c r="C129" s="145" t="s">
        <v>183</v>
      </c>
      <c r="D129" s="145"/>
      <c r="E129" s="194">
        <f t="shared" ref="E129:AR129" si="17">SUM(E125:E127)</f>
        <v>0</v>
      </c>
      <c r="F129" s="194">
        <f t="shared" si="17"/>
        <v>0</v>
      </c>
      <c r="G129" s="194">
        <f t="shared" si="17"/>
        <v>0</v>
      </c>
      <c r="H129" s="194">
        <f t="shared" si="17"/>
        <v>0</v>
      </c>
      <c r="I129" s="194">
        <f t="shared" si="17"/>
        <v>0</v>
      </c>
      <c r="J129" s="194">
        <f t="shared" si="17"/>
        <v>0</v>
      </c>
      <c r="K129" s="194">
        <f t="shared" si="17"/>
        <v>0</v>
      </c>
      <c r="L129" s="194">
        <f t="shared" si="17"/>
        <v>0</v>
      </c>
      <c r="M129" s="194">
        <f t="shared" si="17"/>
        <v>0</v>
      </c>
      <c r="N129" s="194">
        <f t="shared" si="17"/>
        <v>0</v>
      </c>
      <c r="O129" s="194">
        <f t="shared" si="17"/>
        <v>0</v>
      </c>
      <c r="P129" s="194">
        <f t="shared" si="17"/>
        <v>0</v>
      </c>
      <c r="Q129" s="194">
        <f t="shared" si="17"/>
        <v>0</v>
      </c>
      <c r="R129" s="194">
        <f t="shared" si="17"/>
        <v>0</v>
      </c>
      <c r="S129" s="194">
        <f t="shared" si="17"/>
        <v>0</v>
      </c>
      <c r="T129" s="194">
        <f t="shared" si="17"/>
        <v>295972337.19097042</v>
      </c>
      <c r="U129" s="194">
        <f t="shared" si="17"/>
        <v>301891783.93478984</v>
      </c>
      <c r="V129" s="194">
        <f t="shared" si="17"/>
        <v>307929619.61348569</v>
      </c>
      <c r="W129" s="194">
        <f t="shared" si="17"/>
        <v>314088212.00575536</v>
      </c>
      <c r="X129" s="194">
        <f t="shared" si="17"/>
        <v>320369976.24587041</v>
      </c>
      <c r="Y129" s="194">
        <f t="shared" si="17"/>
        <v>326777375.77078784</v>
      </c>
      <c r="Z129" s="194">
        <f t="shared" si="17"/>
        <v>333312923.28620362</v>
      </c>
      <c r="AA129" s="194">
        <f t="shared" si="17"/>
        <v>339979181.75192767</v>
      </c>
      <c r="AB129" s="194">
        <f t="shared" si="17"/>
        <v>346778765.38696623</v>
      </c>
      <c r="AC129" s="194">
        <f t="shared" si="17"/>
        <v>353714340.69470555</v>
      </c>
      <c r="AD129" s="194">
        <f t="shared" si="17"/>
        <v>360788627.5085997</v>
      </c>
      <c r="AE129" s="194">
        <f t="shared" si="17"/>
        <v>368004400.05877167</v>
      </c>
      <c r="AF129" s="194">
        <f t="shared" si="17"/>
        <v>375364488.05994701</v>
      </c>
      <c r="AG129" s="194">
        <f t="shared" si="17"/>
        <v>382871777.82114607</v>
      </c>
      <c r="AH129" s="194">
        <f t="shared" si="17"/>
        <v>390529213.3775689</v>
      </c>
      <c r="AI129" s="194">
        <f t="shared" si="17"/>
        <v>398339797.64512032</v>
      </c>
      <c r="AJ129" s="194">
        <f t="shared" si="17"/>
        <v>406306593.59802264</v>
      </c>
      <c r="AK129" s="194">
        <f t="shared" si="17"/>
        <v>414432725.46998316</v>
      </c>
      <c r="AL129" s="194">
        <f t="shared" si="17"/>
        <v>422721379.97938287</v>
      </c>
      <c r="AM129" s="194">
        <f t="shared" si="17"/>
        <v>431175807.57897049</v>
      </c>
      <c r="AN129" s="194">
        <f t="shared" si="17"/>
        <v>0</v>
      </c>
      <c r="AO129" s="194">
        <f t="shared" si="17"/>
        <v>0</v>
      </c>
      <c r="AP129" s="194">
        <f t="shared" si="17"/>
        <v>0</v>
      </c>
      <c r="AQ129" s="194">
        <f t="shared" si="17"/>
        <v>0</v>
      </c>
      <c r="AR129" s="195">
        <f t="shared" si="17"/>
        <v>0</v>
      </c>
    </row>
    <row r="130" spans="1:44" x14ac:dyDescent="0.2">
      <c r="B130" s="50" t="s">
        <v>211</v>
      </c>
      <c r="C130" s="145" t="s">
        <v>183</v>
      </c>
      <c r="D130" s="145"/>
      <c r="E130" s="194">
        <f t="shared" ref="E130:AR130" si="18">SUM(E119:E120)</f>
        <v>-84471095.50938201</v>
      </c>
      <c r="F130" s="194">
        <f t="shared" si="18"/>
        <v>-86160517.419569656</v>
      </c>
      <c r="G130" s="194">
        <f t="shared" si="18"/>
        <v>-87883727.76796104</v>
      </c>
      <c r="H130" s="194">
        <f t="shared" si="18"/>
        <v>-89641402.323320255</v>
      </c>
      <c r="I130" s="194">
        <f t="shared" si="18"/>
        <v>-91434230.369786665</v>
      </c>
      <c r="J130" s="194">
        <f t="shared" si="18"/>
        <v>-93262914.977182403</v>
      </c>
      <c r="K130" s="194">
        <f t="shared" si="18"/>
        <v>-95128173.276726052</v>
      </c>
      <c r="L130" s="194">
        <f t="shared" si="18"/>
        <v>-97030736.74226056</v>
      </c>
      <c r="M130" s="194">
        <f t="shared" si="18"/>
        <v>-98971351.477105781</v>
      </c>
      <c r="N130" s="194">
        <f t="shared" si="18"/>
        <v>-100950778.50664788</v>
      </c>
      <c r="O130" s="194">
        <f t="shared" si="18"/>
        <v>-102969794.07678086</v>
      </c>
      <c r="P130" s="194">
        <f t="shared" si="18"/>
        <v>-105029189.95831645</v>
      </c>
      <c r="Q130" s="194">
        <f t="shared" si="18"/>
        <v>-107129773.7574828</v>
      </c>
      <c r="R130" s="194">
        <f t="shared" si="18"/>
        <v>-109272369.23263244</v>
      </c>
      <c r="S130" s="194">
        <f t="shared" si="18"/>
        <v>-111457816.6172851</v>
      </c>
      <c r="T130" s="194">
        <f t="shared" si="18"/>
        <v>-306280732.16381365</v>
      </c>
      <c r="U130" s="194">
        <f t="shared" si="18"/>
        <v>-118157169.53676839</v>
      </c>
      <c r="V130" s="194">
        <f t="shared" si="18"/>
        <v>-120520312.92750376</v>
      </c>
      <c r="W130" s="194">
        <f t="shared" si="18"/>
        <v>-122930719.18605383</v>
      </c>
      <c r="X130" s="194">
        <f t="shared" si="18"/>
        <v>-125389333.56977491</v>
      </c>
      <c r="Y130" s="194">
        <f t="shared" si="18"/>
        <v>-127897120.24117042</v>
      </c>
      <c r="Z130" s="194">
        <f t="shared" si="18"/>
        <v>-130455062.64599381</v>
      </c>
      <c r="AA130" s="194">
        <f t="shared" si="18"/>
        <v>-133064163.8989137</v>
      </c>
      <c r="AB130" s="194">
        <f t="shared" si="18"/>
        <v>-135725447.17689195</v>
      </c>
      <c r="AC130" s="194">
        <f t="shared" si="18"/>
        <v>-138439956.12042978</v>
      </c>
      <c r="AD130" s="194">
        <f t="shared" si="18"/>
        <v>-141208755.24283838</v>
      </c>
      <c r="AE130" s="194">
        <f t="shared" si="18"/>
        <v>-144032930.34769517</v>
      </c>
      <c r="AF130" s="194">
        <f t="shared" si="18"/>
        <v>-146913588.95464906</v>
      </c>
      <c r="AG130" s="194">
        <f t="shared" si="18"/>
        <v>-149851860.73374206</v>
      </c>
      <c r="AH130" s="194">
        <f t="shared" si="18"/>
        <v>-152848897.94841689</v>
      </c>
      <c r="AI130" s="194">
        <f t="shared" si="18"/>
        <v>-155905875.90738523</v>
      </c>
      <c r="AJ130" s="194">
        <f t="shared" si="18"/>
        <v>-159023993.42553291</v>
      </c>
      <c r="AK130" s="194">
        <f t="shared" si="18"/>
        <v>-162204473.2940436</v>
      </c>
      <c r="AL130" s="194">
        <f t="shared" si="18"/>
        <v>-165448562.75992447</v>
      </c>
      <c r="AM130" s="194">
        <f t="shared" si="18"/>
        <v>-168757534.01512295</v>
      </c>
      <c r="AN130" s="194">
        <f t="shared" si="18"/>
        <v>0</v>
      </c>
      <c r="AO130" s="194">
        <f t="shared" si="18"/>
        <v>0</v>
      </c>
      <c r="AP130" s="194">
        <f t="shared" si="18"/>
        <v>0</v>
      </c>
      <c r="AQ130" s="194">
        <f t="shared" si="18"/>
        <v>0</v>
      </c>
      <c r="AR130" s="195">
        <f t="shared" si="18"/>
        <v>0</v>
      </c>
    </row>
    <row r="131" spans="1:44" x14ac:dyDescent="0.2">
      <c r="B131" s="161" t="s">
        <v>212</v>
      </c>
      <c r="C131" s="152" t="s">
        <v>183</v>
      </c>
      <c r="D131" s="154"/>
      <c r="E131" s="200">
        <f t="shared" ref="E131:AR131" si="19">SUM(E129:E130)</f>
        <v>-84471095.50938201</v>
      </c>
      <c r="F131" s="200">
        <f t="shared" si="19"/>
        <v>-86160517.419569656</v>
      </c>
      <c r="G131" s="200">
        <f t="shared" si="19"/>
        <v>-87883727.76796104</v>
      </c>
      <c r="H131" s="200">
        <f t="shared" si="19"/>
        <v>-89641402.323320255</v>
      </c>
      <c r="I131" s="200">
        <f t="shared" si="19"/>
        <v>-91434230.369786665</v>
      </c>
      <c r="J131" s="200">
        <f t="shared" si="19"/>
        <v>-93262914.977182403</v>
      </c>
      <c r="K131" s="200">
        <f t="shared" si="19"/>
        <v>-95128173.276726052</v>
      </c>
      <c r="L131" s="200">
        <f t="shared" si="19"/>
        <v>-97030736.74226056</v>
      </c>
      <c r="M131" s="200">
        <f t="shared" si="19"/>
        <v>-98971351.477105781</v>
      </c>
      <c r="N131" s="200">
        <f t="shared" si="19"/>
        <v>-100950778.50664788</v>
      </c>
      <c r="O131" s="200">
        <f t="shared" si="19"/>
        <v>-102969794.07678086</v>
      </c>
      <c r="P131" s="200">
        <f t="shared" si="19"/>
        <v>-105029189.95831645</v>
      </c>
      <c r="Q131" s="200">
        <f t="shared" si="19"/>
        <v>-107129773.7574828</v>
      </c>
      <c r="R131" s="200">
        <f t="shared" si="19"/>
        <v>-109272369.23263244</v>
      </c>
      <c r="S131" s="200">
        <f t="shared" si="19"/>
        <v>-111457816.6172851</v>
      </c>
      <c r="T131" s="200">
        <f t="shared" si="19"/>
        <v>-10308394.97284323</v>
      </c>
      <c r="U131" s="200">
        <f t="shared" si="19"/>
        <v>183734614.39802146</v>
      </c>
      <c r="V131" s="200">
        <f t="shared" si="19"/>
        <v>187409306.68598193</v>
      </c>
      <c r="W131" s="200">
        <f t="shared" si="19"/>
        <v>191157492.81970155</v>
      </c>
      <c r="X131" s="200">
        <f t="shared" si="19"/>
        <v>194980642.67609549</v>
      </c>
      <c r="Y131" s="200">
        <f t="shared" si="19"/>
        <v>198880255.52961743</v>
      </c>
      <c r="Z131" s="200">
        <f t="shared" si="19"/>
        <v>202857860.64020979</v>
      </c>
      <c r="AA131" s="200">
        <f t="shared" si="19"/>
        <v>206915017.85301399</v>
      </c>
      <c r="AB131" s="200">
        <f t="shared" si="19"/>
        <v>211053318.21007428</v>
      </c>
      <c r="AC131" s="200">
        <f t="shared" si="19"/>
        <v>215274384.57427576</v>
      </c>
      <c r="AD131" s="200">
        <f t="shared" si="19"/>
        <v>219579872.26576132</v>
      </c>
      <c r="AE131" s="200">
        <f t="shared" si="19"/>
        <v>223971469.7110765</v>
      </c>
      <c r="AF131" s="200">
        <f t="shared" si="19"/>
        <v>228450899.10529795</v>
      </c>
      <c r="AG131" s="200">
        <f t="shared" si="19"/>
        <v>233019917.08740401</v>
      </c>
      <c r="AH131" s="200">
        <f t="shared" si="19"/>
        <v>237680315.42915201</v>
      </c>
      <c r="AI131" s="200">
        <f t="shared" si="19"/>
        <v>242433921.73773509</v>
      </c>
      <c r="AJ131" s="200">
        <f t="shared" si="19"/>
        <v>247282600.17248973</v>
      </c>
      <c r="AK131" s="200">
        <f t="shared" si="19"/>
        <v>252228252.17593956</v>
      </c>
      <c r="AL131" s="200">
        <f t="shared" si="19"/>
        <v>257272817.2194584</v>
      </c>
      <c r="AM131" s="200">
        <f t="shared" si="19"/>
        <v>262418273.56384754</v>
      </c>
      <c r="AN131" s="200">
        <f t="shared" si="19"/>
        <v>0</v>
      </c>
      <c r="AO131" s="200">
        <f t="shared" si="19"/>
        <v>0</v>
      </c>
      <c r="AP131" s="200">
        <f t="shared" si="19"/>
        <v>0</v>
      </c>
      <c r="AQ131" s="200">
        <f t="shared" si="19"/>
        <v>0</v>
      </c>
      <c r="AR131" s="201">
        <f t="shared" si="19"/>
        <v>0</v>
      </c>
    </row>
    <row r="132" spans="1:44" ht="12.95" customHeight="1" x14ac:dyDescent="0.2">
      <c r="B132" s="157" t="s">
        <v>213</v>
      </c>
      <c r="C132" s="148"/>
      <c r="D132" s="149"/>
      <c r="E132" s="149"/>
      <c r="F132" s="149"/>
      <c r="G132" s="149"/>
      <c r="H132" s="149"/>
      <c r="I132" s="149"/>
      <c r="J132" s="149"/>
      <c r="K132" s="149"/>
      <c r="L132" s="149"/>
      <c r="M132" s="149"/>
      <c r="N132" s="149"/>
      <c r="O132" s="149"/>
      <c r="P132" s="149"/>
      <c r="Q132" s="149"/>
      <c r="R132" s="149"/>
      <c r="S132" s="149"/>
      <c r="T132" s="149"/>
      <c r="U132" s="149"/>
      <c r="V132" s="149"/>
      <c r="W132" s="149"/>
      <c r="X132" s="149"/>
      <c r="Y132" s="149"/>
      <c r="Z132" s="149"/>
      <c r="AA132" s="149"/>
      <c r="AB132" s="149"/>
      <c r="AC132" s="149"/>
      <c r="AD132" s="149"/>
      <c r="AE132" s="149"/>
      <c r="AF132" s="149"/>
      <c r="AG132" s="149"/>
      <c r="AH132" s="149"/>
      <c r="AI132" s="149"/>
      <c r="AJ132" s="149"/>
      <c r="AK132" s="149"/>
      <c r="AL132" s="149"/>
      <c r="AM132" s="149"/>
      <c r="AN132" s="149"/>
      <c r="AO132" s="149"/>
      <c r="AP132" s="149"/>
      <c r="AQ132" s="149"/>
      <c r="AR132" s="160"/>
    </row>
    <row r="133" spans="1:44" x14ac:dyDescent="0.2">
      <c r="B133" s="50" t="s">
        <v>214</v>
      </c>
      <c r="C133" s="145" t="s">
        <v>183</v>
      </c>
      <c r="D133" s="145"/>
      <c r="E133" s="194">
        <f t="shared" ref="E133:AR133" si="20">IF(E111&gt;$C$75,0,-$C$151/$C$75)</f>
        <v>-149121518.65772706</v>
      </c>
      <c r="F133" s="194">
        <f t="shared" si="20"/>
        <v>-149121518.65772706</v>
      </c>
      <c r="G133" s="194">
        <f t="shared" si="20"/>
        <v>-149121518.65772706</v>
      </c>
      <c r="H133" s="194">
        <f t="shared" si="20"/>
        <v>-149121518.65772706</v>
      </c>
      <c r="I133" s="194">
        <f t="shared" si="20"/>
        <v>-149121518.65772706</v>
      </c>
      <c r="J133" s="194">
        <f t="shared" si="20"/>
        <v>-149121518.65772706</v>
      </c>
      <c r="K133" s="194">
        <f t="shared" si="20"/>
        <v>-149121518.65772706</v>
      </c>
      <c r="L133" s="194">
        <f t="shared" si="20"/>
        <v>-149121518.65772706</v>
      </c>
      <c r="M133" s="194">
        <f t="shared" si="20"/>
        <v>-149121518.65772706</v>
      </c>
      <c r="N133" s="194">
        <f t="shared" si="20"/>
        <v>-149121518.65772706</v>
      </c>
      <c r="O133" s="194">
        <f t="shared" si="20"/>
        <v>-149121518.65772706</v>
      </c>
      <c r="P133" s="194">
        <f t="shared" si="20"/>
        <v>-149121518.65772706</v>
      </c>
      <c r="Q133" s="194">
        <f t="shared" si="20"/>
        <v>-149121518.65772706</v>
      </c>
      <c r="R133" s="194">
        <f t="shared" si="20"/>
        <v>-149121518.65772706</v>
      </c>
      <c r="S133" s="194">
        <f t="shared" si="20"/>
        <v>-149121518.65772706</v>
      </c>
      <c r="T133" s="194">
        <f t="shared" si="20"/>
        <v>-149121518.65772706</v>
      </c>
      <c r="U133" s="194">
        <f t="shared" si="20"/>
        <v>-149121518.65772706</v>
      </c>
      <c r="V133" s="194">
        <f t="shared" si="20"/>
        <v>-149121518.65772706</v>
      </c>
      <c r="W133" s="194">
        <f t="shared" si="20"/>
        <v>-149121518.65772706</v>
      </c>
      <c r="X133" s="194">
        <f t="shared" si="20"/>
        <v>-149121518.65772706</v>
      </c>
      <c r="Y133" s="194">
        <f t="shared" si="20"/>
        <v>0</v>
      </c>
      <c r="Z133" s="194">
        <f t="shared" si="20"/>
        <v>0</v>
      </c>
      <c r="AA133" s="194">
        <f t="shared" si="20"/>
        <v>0</v>
      </c>
      <c r="AB133" s="194">
        <f t="shared" si="20"/>
        <v>0</v>
      </c>
      <c r="AC133" s="194">
        <f t="shared" si="20"/>
        <v>0</v>
      </c>
      <c r="AD133" s="194">
        <f t="shared" si="20"/>
        <v>0</v>
      </c>
      <c r="AE133" s="194">
        <f t="shared" si="20"/>
        <v>0</v>
      </c>
      <c r="AF133" s="194">
        <f t="shared" si="20"/>
        <v>0</v>
      </c>
      <c r="AG133" s="194">
        <f t="shared" si="20"/>
        <v>0</v>
      </c>
      <c r="AH133" s="194">
        <f t="shared" si="20"/>
        <v>0</v>
      </c>
      <c r="AI133" s="194">
        <f t="shared" si="20"/>
        <v>0</v>
      </c>
      <c r="AJ133" s="194">
        <f t="shared" si="20"/>
        <v>0</v>
      </c>
      <c r="AK133" s="194">
        <f t="shared" si="20"/>
        <v>0</v>
      </c>
      <c r="AL133" s="194">
        <f t="shared" si="20"/>
        <v>0</v>
      </c>
      <c r="AM133" s="194">
        <f t="shared" si="20"/>
        <v>0</v>
      </c>
      <c r="AN133" s="194">
        <f t="shared" si="20"/>
        <v>0</v>
      </c>
      <c r="AO133" s="194">
        <f t="shared" si="20"/>
        <v>0</v>
      </c>
      <c r="AP133" s="194">
        <f t="shared" si="20"/>
        <v>0</v>
      </c>
      <c r="AQ133" s="194">
        <f t="shared" si="20"/>
        <v>0</v>
      </c>
      <c r="AR133" s="195">
        <f t="shared" si="20"/>
        <v>0</v>
      </c>
    </row>
    <row r="134" spans="1:44" x14ac:dyDescent="0.2">
      <c r="B134" s="50" t="s">
        <v>215</v>
      </c>
      <c r="C134" s="145" t="s">
        <v>183</v>
      </c>
      <c r="D134" s="145"/>
      <c r="E134" s="194">
        <f t="shared" ref="E134:AR134" si="21">IF(E111&gt;$C$74,0,IPMT($C$90,E111,$C$74,$C$156))</f>
        <v>-100657025.09396575</v>
      </c>
      <c r="F134" s="194">
        <f t="shared" si="21"/>
        <v>-95814032.3031912</v>
      </c>
      <c r="G134" s="194">
        <f t="shared" si="21"/>
        <v>-90753104.836831823</v>
      </c>
      <c r="H134" s="194">
        <f t="shared" si="21"/>
        <v>-85464435.634486258</v>
      </c>
      <c r="I134" s="194">
        <f t="shared" si="21"/>
        <v>-79937776.318035141</v>
      </c>
      <c r="J134" s="194">
        <f t="shared" si="21"/>
        <v>-74162417.332343727</v>
      </c>
      <c r="K134" s="194">
        <f t="shared" si="21"/>
        <v>-68127167.192296192</v>
      </c>
      <c r="L134" s="194">
        <f t="shared" si="21"/>
        <v>-61820330.795946546</v>
      </c>
      <c r="M134" s="194">
        <f t="shared" si="21"/>
        <v>-55229686.761761136</v>
      </c>
      <c r="N134" s="194">
        <f t="shared" si="21"/>
        <v>-48342463.746037379</v>
      </c>
      <c r="O134" s="194">
        <f t="shared" si="21"/>
        <v>-41145315.694606088</v>
      </c>
      <c r="P134" s="194">
        <f t="shared" si="21"/>
        <v>-33624295.98086036</v>
      </c>
      <c r="Q134" s="194">
        <f t="shared" si="21"/>
        <v>-25764830.379996073</v>
      </c>
      <c r="R134" s="194">
        <f t="shared" si="21"/>
        <v>-17551688.827092905</v>
      </c>
      <c r="S134" s="194">
        <f t="shared" si="21"/>
        <v>-8968955.9043090884</v>
      </c>
      <c r="T134" s="194">
        <f t="shared" si="21"/>
        <v>0</v>
      </c>
      <c r="U134" s="194">
        <f t="shared" si="21"/>
        <v>0</v>
      </c>
      <c r="V134" s="194">
        <f t="shared" si="21"/>
        <v>0</v>
      </c>
      <c r="W134" s="194">
        <f t="shared" si="21"/>
        <v>0</v>
      </c>
      <c r="X134" s="194">
        <f t="shared" si="21"/>
        <v>0</v>
      </c>
      <c r="Y134" s="194">
        <f t="shared" si="21"/>
        <v>0</v>
      </c>
      <c r="Z134" s="194">
        <f t="shared" si="21"/>
        <v>0</v>
      </c>
      <c r="AA134" s="194">
        <f t="shared" si="21"/>
        <v>0</v>
      </c>
      <c r="AB134" s="194">
        <f t="shared" si="21"/>
        <v>0</v>
      </c>
      <c r="AC134" s="194">
        <f t="shared" si="21"/>
        <v>0</v>
      </c>
      <c r="AD134" s="194">
        <f t="shared" si="21"/>
        <v>0</v>
      </c>
      <c r="AE134" s="194">
        <f t="shared" si="21"/>
        <v>0</v>
      </c>
      <c r="AF134" s="194">
        <f t="shared" si="21"/>
        <v>0</v>
      </c>
      <c r="AG134" s="194">
        <f t="shared" si="21"/>
        <v>0</v>
      </c>
      <c r="AH134" s="194">
        <f t="shared" si="21"/>
        <v>0</v>
      </c>
      <c r="AI134" s="194">
        <f t="shared" si="21"/>
        <v>0</v>
      </c>
      <c r="AJ134" s="194">
        <f t="shared" si="21"/>
        <v>0</v>
      </c>
      <c r="AK134" s="194">
        <f t="shared" si="21"/>
        <v>0</v>
      </c>
      <c r="AL134" s="194">
        <f t="shared" si="21"/>
        <v>0</v>
      </c>
      <c r="AM134" s="194">
        <f t="shared" si="21"/>
        <v>0</v>
      </c>
      <c r="AN134" s="194">
        <f t="shared" si="21"/>
        <v>0</v>
      </c>
      <c r="AO134" s="194">
        <f t="shared" si="21"/>
        <v>0</v>
      </c>
      <c r="AP134" s="194">
        <f t="shared" si="21"/>
        <v>0</v>
      </c>
      <c r="AQ134" s="194">
        <f t="shared" si="21"/>
        <v>0</v>
      </c>
      <c r="AR134" s="195">
        <f t="shared" si="21"/>
        <v>0</v>
      </c>
    </row>
    <row r="135" spans="1:44" x14ac:dyDescent="0.2">
      <c r="B135" s="50" t="s">
        <v>216</v>
      </c>
      <c r="C135" s="145" t="s">
        <v>183</v>
      </c>
      <c r="D135" s="145"/>
      <c r="E135" s="194">
        <f t="shared" ref="E135:AR135" si="22">IF(E111&gt;$C$74,0,PPMT($C$90,E111,$C$74,$C$156))</f>
        <v>-107622062.01721191</v>
      </c>
      <c r="F135" s="194">
        <f t="shared" si="22"/>
        <v>-112465054.80798645</v>
      </c>
      <c r="G135" s="194">
        <f t="shared" si="22"/>
        <v>-117525982.27434583</v>
      </c>
      <c r="H135" s="194">
        <f t="shared" si="22"/>
        <v>-122814651.47669142</v>
      </c>
      <c r="I135" s="194">
        <f t="shared" si="22"/>
        <v>-128341310.79314253</v>
      </c>
      <c r="J135" s="194">
        <f t="shared" si="22"/>
        <v>-134116669.77883393</v>
      </c>
      <c r="K135" s="194">
        <f t="shared" si="22"/>
        <v>-140151919.91888148</v>
      </c>
      <c r="L135" s="194">
        <f t="shared" si="22"/>
        <v>-146458756.31523114</v>
      </c>
      <c r="M135" s="194">
        <f t="shared" si="22"/>
        <v>-153049400.34941652</v>
      </c>
      <c r="N135" s="194">
        <f t="shared" si="22"/>
        <v>-159936623.36514029</v>
      </c>
      <c r="O135" s="194">
        <f t="shared" si="22"/>
        <v>-167133771.41657159</v>
      </c>
      <c r="P135" s="194">
        <f t="shared" si="22"/>
        <v>-174654791.13031733</v>
      </c>
      <c r="Q135" s="194">
        <f t="shared" si="22"/>
        <v>-182514256.73118159</v>
      </c>
      <c r="R135" s="194">
        <f t="shared" si="22"/>
        <v>-190727398.28408477</v>
      </c>
      <c r="S135" s="194">
        <f t="shared" si="22"/>
        <v>-199310131.20686862</v>
      </c>
      <c r="T135" s="194">
        <f t="shared" si="22"/>
        <v>0</v>
      </c>
      <c r="U135" s="194">
        <f t="shared" si="22"/>
        <v>0</v>
      </c>
      <c r="V135" s="194">
        <f t="shared" si="22"/>
        <v>0</v>
      </c>
      <c r="W135" s="194">
        <f t="shared" si="22"/>
        <v>0</v>
      </c>
      <c r="X135" s="194">
        <f t="shared" si="22"/>
        <v>0</v>
      </c>
      <c r="Y135" s="194">
        <f t="shared" si="22"/>
        <v>0</v>
      </c>
      <c r="Z135" s="194">
        <f t="shared" si="22"/>
        <v>0</v>
      </c>
      <c r="AA135" s="194">
        <f t="shared" si="22"/>
        <v>0</v>
      </c>
      <c r="AB135" s="194">
        <f t="shared" si="22"/>
        <v>0</v>
      </c>
      <c r="AC135" s="194">
        <f t="shared" si="22"/>
        <v>0</v>
      </c>
      <c r="AD135" s="194">
        <f t="shared" si="22"/>
        <v>0</v>
      </c>
      <c r="AE135" s="194">
        <f t="shared" si="22"/>
        <v>0</v>
      </c>
      <c r="AF135" s="194">
        <f t="shared" si="22"/>
        <v>0</v>
      </c>
      <c r="AG135" s="194">
        <f t="shared" si="22"/>
        <v>0</v>
      </c>
      <c r="AH135" s="194">
        <f t="shared" si="22"/>
        <v>0</v>
      </c>
      <c r="AI135" s="194">
        <f t="shared" si="22"/>
        <v>0</v>
      </c>
      <c r="AJ135" s="194">
        <f t="shared" si="22"/>
        <v>0</v>
      </c>
      <c r="AK135" s="194">
        <f t="shared" si="22"/>
        <v>0</v>
      </c>
      <c r="AL135" s="194">
        <f t="shared" si="22"/>
        <v>0</v>
      </c>
      <c r="AM135" s="194">
        <f t="shared" si="22"/>
        <v>0</v>
      </c>
      <c r="AN135" s="194">
        <f t="shared" si="22"/>
        <v>0</v>
      </c>
      <c r="AO135" s="194">
        <f t="shared" si="22"/>
        <v>0</v>
      </c>
      <c r="AP135" s="194">
        <f t="shared" si="22"/>
        <v>0</v>
      </c>
      <c r="AQ135" s="194">
        <f t="shared" si="22"/>
        <v>0</v>
      </c>
      <c r="AR135" s="195">
        <f t="shared" si="22"/>
        <v>0</v>
      </c>
    </row>
    <row r="136" spans="1:44" s="33" customFormat="1" ht="12.95" customHeight="1" x14ac:dyDescent="0.2">
      <c r="A136" s="241"/>
      <c r="B136" s="161" t="s">
        <v>217</v>
      </c>
      <c r="C136" s="152" t="s">
        <v>183</v>
      </c>
      <c r="D136" s="152"/>
      <c r="E136" s="200">
        <f t="shared" ref="E136:AR136" si="23">SUM(E134,E135)</f>
        <v>-208279087.11117768</v>
      </c>
      <c r="F136" s="200">
        <f t="shared" si="23"/>
        <v>-208279087.11117765</v>
      </c>
      <c r="G136" s="200">
        <f t="shared" si="23"/>
        <v>-208279087.11117765</v>
      </c>
      <c r="H136" s="200">
        <f t="shared" si="23"/>
        <v>-208279087.11117768</v>
      </c>
      <c r="I136" s="200">
        <f t="shared" si="23"/>
        <v>-208279087.11117768</v>
      </c>
      <c r="J136" s="200">
        <f t="shared" si="23"/>
        <v>-208279087.11117765</v>
      </c>
      <c r="K136" s="200">
        <f t="shared" si="23"/>
        <v>-208279087.11117768</v>
      </c>
      <c r="L136" s="200">
        <f t="shared" si="23"/>
        <v>-208279087.11117768</v>
      </c>
      <c r="M136" s="200">
        <f t="shared" si="23"/>
        <v>-208279087.11117765</v>
      </c>
      <c r="N136" s="200">
        <f t="shared" si="23"/>
        <v>-208279087.11117768</v>
      </c>
      <c r="O136" s="200">
        <f t="shared" si="23"/>
        <v>-208279087.11117768</v>
      </c>
      <c r="P136" s="200">
        <f t="shared" si="23"/>
        <v>-208279087.11117768</v>
      </c>
      <c r="Q136" s="200">
        <f t="shared" si="23"/>
        <v>-208279087.11117765</v>
      </c>
      <c r="R136" s="200">
        <f t="shared" si="23"/>
        <v>-208279087.11117768</v>
      </c>
      <c r="S136" s="200">
        <f t="shared" si="23"/>
        <v>-208279087.11117771</v>
      </c>
      <c r="T136" s="200">
        <f t="shared" si="23"/>
        <v>0</v>
      </c>
      <c r="U136" s="200">
        <f t="shared" si="23"/>
        <v>0</v>
      </c>
      <c r="V136" s="200">
        <f t="shared" si="23"/>
        <v>0</v>
      </c>
      <c r="W136" s="200">
        <f t="shared" si="23"/>
        <v>0</v>
      </c>
      <c r="X136" s="200">
        <f t="shared" si="23"/>
        <v>0</v>
      </c>
      <c r="Y136" s="200">
        <f t="shared" si="23"/>
        <v>0</v>
      </c>
      <c r="Z136" s="200">
        <f t="shared" si="23"/>
        <v>0</v>
      </c>
      <c r="AA136" s="200">
        <f t="shared" si="23"/>
        <v>0</v>
      </c>
      <c r="AB136" s="200">
        <f t="shared" si="23"/>
        <v>0</v>
      </c>
      <c r="AC136" s="200">
        <f t="shared" si="23"/>
        <v>0</v>
      </c>
      <c r="AD136" s="200">
        <f t="shared" si="23"/>
        <v>0</v>
      </c>
      <c r="AE136" s="200">
        <f t="shared" si="23"/>
        <v>0</v>
      </c>
      <c r="AF136" s="200">
        <f t="shared" si="23"/>
        <v>0</v>
      </c>
      <c r="AG136" s="200">
        <f t="shared" si="23"/>
        <v>0</v>
      </c>
      <c r="AH136" s="200">
        <f t="shared" si="23"/>
        <v>0</v>
      </c>
      <c r="AI136" s="200">
        <f t="shared" si="23"/>
        <v>0</v>
      </c>
      <c r="AJ136" s="200">
        <f t="shared" si="23"/>
        <v>0</v>
      </c>
      <c r="AK136" s="200">
        <f t="shared" si="23"/>
        <v>0</v>
      </c>
      <c r="AL136" s="200">
        <f t="shared" si="23"/>
        <v>0</v>
      </c>
      <c r="AM136" s="200">
        <f t="shared" si="23"/>
        <v>0</v>
      </c>
      <c r="AN136" s="200">
        <f t="shared" si="23"/>
        <v>0</v>
      </c>
      <c r="AO136" s="200">
        <f t="shared" si="23"/>
        <v>0</v>
      </c>
      <c r="AP136" s="200">
        <f t="shared" si="23"/>
        <v>0</v>
      </c>
      <c r="AQ136" s="200">
        <f t="shared" si="23"/>
        <v>0</v>
      </c>
      <c r="AR136" s="201">
        <f t="shared" si="23"/>
        <v>0</v>
      </c>
    </row>
    <row r="137" spans="1:44" ht="12.95" customHeight="1" x14ac:dyDescent="0.2">
      <c r="B137" s="157" t="s">
        <v>218</v>
      </c>
      <c r="C137" s="148"/>
      <c r="D137" s="149"/>
      <c r="E137" s="149"/>
      <c r="F137" s="149"/>
      <c r="G137" s="149"/>
      <c r="H137" s="149"/>
      <c r="I137" s="149"/>
      <c r="J137" s="149"/>
      <c r="K137" s="149"/>
      <c r="L137" s="149"/>
      <c r="M137" s="149"/>
      <c r="N137" s="149"/>
      <c r="O137" s="149"/>
      <c r="P137" s="149"/>
      <c r="Q137" s="149"/>
      <c r="R137" s="149"/>
      <c r="S137" s="149"/>
      <c r="T137" s="149"/>
      <c r="U137" s="149"/>
      <c r="V137" s="149"/>
      <c r="W137" s="149"/>
      <c r="X137" s="149"/>
      <c r="Y137" s="149"/>
      <c r="Z137" s="149"/>
      <c r="AA137" s="149"/>
      <c r="AB137" s="149"/>
      <c r="AC137" s="149"/>
      <c r="AD137" s="149"/>
      <c r="AE137" s="149"/>
      <c r="AF137" s="149"/>
      <c r="AG137" s="149"/>
      <c r="AH137" s="149"/>
      <c r="AI137" s="149"/>
      <c r="AJ137" s="149"/>
      <c r="AK137" s="149"/>
      <c r="AL137" s="149"/>
      <c r="AM137" s="149"/>
      <c r="AN137" s="149"/>
      <c r="AO137" s="149"/>
      <c r="AP137" s="149"/>
      <c r="AQ137" s="149"/>
      <c r="AR137" s="160"/>
    </row>
    <row r="138" spans="1:44" x14ac:dyDescent="0.2">
      <c r="B138" s="50" t="s">
        <v>219</v>
      </c>
      <c r="C138" s="145" t="s">
        <v>183</v>
      </c>
      <c r="D138" s="145"/>
      <c r="E138" s="194">
        <f t="shared" ref="E138:AR138" si="24">E131+E133+E134</f>
        <v>-334249639.26107484</v>
      </c>
      <c r="F138" s="194">
        <f t="shared" si="24"/>
        <v>-331096068.38048792</v>
      </c>
      <c r="G138" s="194">
        <f t="shared" si="24"/>
        <v>-327758351.2625199</v>
      </c>
      <c r="H138" s="194">
        <f t="shared" si="24"/>
        <v>-324227356.61553359</v>
      </c>
      <c r="I138" s="194">
        <f t="shared" si="24"/>
        <v>-320493525.34554887</v>
      </c>
      <c r="J138" s="194">
        <f t="shared" si="24"/>
        <v>-316546850.96725321</v>
      </c>
      <c r="K138" s="194">
        <f t="shared" si="24"/>
        <v>-312376859.12674934</v>
      </c>
      <c r="L138" s="194">
        <f t="shared" si="24"/>
        <v>-307972586.19593418</v>
      </c>
      <c r="M138" s="194">
        <f t="shared" si="24"/>
        <v>-303322556.89659399</v>
      </c>
      <c r="N138" s="194">
        <f t="shared" si="24"/>
        <v>-298414760.91041231</v>
      </c>
      <c r="O138" s="194">
        <f t="shared" si="24"/>
        <v>-293236628.42911398</v>
      </c>
      <c r="P138" s="194">
        <f t="shared" si="24"/>
        <v>-287775004.59690386</v>
      </c>
      <c r="Q138" s="194">
        <f t="shared" si="24"/>
        <v>-282016122.79520595</v>
      </c>
      <c r="R138" s="194">
        <f t="shared" si="24"/>
        <v>-275945576.71745241</v>
      </c>
      <c r="S138" s="194">
        <f t="shared" si="24"/>
        <v>-269548291.17932123</v>
      </c>
      <c r="T138" s="194">
        <f t="shared" si="24"/>
        <v>-159429913.63057029</v>
      </c>
      <c r="U138" s="194">
        <f t="shared" si="24"/>
        <v>34613095.740294397</v>
      </c>
      <c r="V138" s="194">
        <f t="shared" si="24"/>
        <v>38287788.028254867</v>
      </c>
      <c r="W138" s="194">
        <f t="shared" si="24"/>
        <v>42035974.16197449</v>
      </c>
      <c r="X138" s="194">
        <f t="shared" si="24"/>
        <v>45859124.018368423</v>
      </c>
      <c r="Y138" s="194">
        <f t="shared" si="24"/>
        <v>198880255.52961743</v>
      </c>
      <c r="Z138" s="194">
        <f t="shared" si="24"/>
        <v>202857860.64020979</v>
      </c>
      <c r="AA138" s="194">
        <f t="shared" si="24"/>
        <v>206915017.85301399</v>
      </c>
      <c r="AB138" s="194">
        <f t="shared" si="24"/>
        <v>211053318.21007428</v>
      </c>
      <c r="AC138" s="194">
        <f t="shared" si="24"/>
        <v>215274384.57427576</v>
      </c>
      <c r="AD138" s="194">
        <f t="shared" si="24"/>
        <v>219579872.26576132</v>
      </c>
      <c r="AE138" s="194">
        <f t="shared" si="24"/>
        <v>223971469.7110765</v>
      </c>
      <c r="AF138" s="194">
        <f t="shared" si="24"/>
        <v>228450899.10529795</v>
      </c>
      <c r="AG138" s="194">
        <f t="shared" si="24"/>
        <v>233019917.08740401</v>
      </c>
      <c r="AH138" s="194">
        <f t="shared" si="24"/>
        <v>237680315.42915201</v>
      </c>
      <c r="AI138" s="194">
        <f t="shared" si="24"/>
        <v>242433921.73773509</v>
      </c>
      <c r="AJ138" s="194">
        <f t="shared" si="24"/>
        <v>247282600.17248973</v>
      </c>
      <c r="AK138" s="194">
        <f t="shared" si="24"/>
        <v>252228252.17593956</v>
      </c>
      <c r="AL138" s="194">
        <f t="shared" si="24"/>
        <v>257272817.2194584</v>
      </c>
      <c r="AM138" s="194">
        <f t="shared" si="24"/>
        <v>262418273.56384754</v>
      </c>
      <c r="AN138" s="194">
        <f t="shared" si="24"/>
        <v>0</v>
      </c>
      <c r="AO138" s="194">
        <f t="shared" si="24"/>
        <v>0</v>
      </c>
      <c r="AP138" s="194">
        <f t="shared" si="24"/>
        <v>0</v>
      </c>
      <c r="AQ138" s="194">
        <f t="shared" si="24"/>
        <v>0</v>
      </c>
      <c r="AR138" s="195">
        <f t="shared" si="24"/>
        <v>0</v>
      </c>
    </row>
    <row r="139" spans="1:44" x14ac:dyDescent="0.2">
      <c r="B139" s="50" t="s">
        <v>220</v>
      </c>
      <c r="C139" s="145" t="s">
        <v>183</v>
      </c>
      <c r="D139" s="145"/>
      <c r="E139" s="194">
        <f t="shared" ref="E139:AR139" si="25">-$C$94*E138</f>
        <v>86236406.929357305</v>
      </c>
      <c r="F139" s="194">
        <f t="shared" si="25"/>
        <v>85422785.642165884</v>
      </c>
      <c r="G139" s="194">
        <f t="shared" si="25"/>
        <v>84561654.625730142</v>
      </c>
      <c r="H139" s="194">
        <f t="shared" si="25"/>
        <v>83650658.00680767</v>
      </c>
      <c r="I139" s="194">
        <f t="shared" si="25"/>
        <v>82687329.539151609</v>
      </c>
      <c r="J139" s="194">
        <f t="shared" si="25"/>
        <v>81669087.549551323</v>
      </c>
      <c r="K139" s="194">
        <f t="shared" si="25"/>
        <v>80593229.654701337</v>
      </c>
      <c r="L139" s="194">
        <f t="shared" si="25"/>
        <v>79456927.238551021</v>
      </c>
      <c r="M139" s="194">
        <f t="shared" si="25"/>
        <v>78257219.679321244</v>
      </c>
      <c r="N139" s="194">
        <f t="shared" si="25"/>
        <v>76991008.314886376</v>
      </c>
      <c r="O139" s="194">
        <f t="shared" si="25"/>
        <v>75655050.134711415</v>
      </c>
      <c r="P139" s="194">
        <f t="shared" si="25"/>
        <v>74245951.186001197</v>
      </c>
      <c r="Q139" s="194">
        <f t="shared" si="25"/>
        <v>72760159.681163132</v>
      </c>
      <c r="R139" s="194">
        <f t="shared" si="25"/>
        <v>71193958.793102726</v>
      </c>
      <c r="S139" s="194">
        <f t="shared" si="25"/>
        <v>69543459.124264881</v>
      </c>
      <c r="T139" s="194">
        <f t="shared" si="25"/>
        <v>41132917.716687135</v>
      </c>
      <c r="U139" s="194">
        <f t="shared" si="25"/>
        <v>-8930178.7009959538</v>
      </c>
      <c r="V139" s="194">
        <f t="shared" si="25"/>
        <v>-9878249.3112897556</v>
      </c>
      <c r="W139" s="194">
        <f t="shared" si="25"/>
        <v>-10845281.333789419</v>
      </c>
      <c r="X139" s="194">
        <f t="shared" si="25"/>
        <v>-11831653.996739054</v>
      </c>
      <c r="Y139" s="194">
        <f t="shared" si="25"/>
        <v>-51311105.9266413</v>
      </c>
      <c r="Z139" s="194">
        <f t="shared" si="25"/>
        <v>-52337328.045174129</v>
      </c>
      <c r="AA139" s="194">
        <f t="shared" si="25"/>
        <v>-53384074.606077611</v>
      </c>
      <c r="AB139" s="194">
        <f t="shared" si="25"/>
        <v>-54451756.098199166</v>
      </c>
      <c r="AC139" s="194">
        <f t="shared" si="25"/>
        <v>-55540791.220163152</v>
      </c>
      <c r="AD139" s="194">
        <f t="shared" si="25"/>
        <v>-56651607.044566423</v>
      </c>
      <c r="AE139" s="194">
        <f t="shared" si="25"/>
        <v>-57784639.185457736</v>
      </c>
      <c r="AF139" s="194">
        <f t="shared" si="25"/>
        <v>-58940331.969166875</v>
      </c>
      <c r="AG139" s="194">
        <f t="shared" si="25"/>
        <v>-60119138.608550236</v>
      </c>
      <c r="AH139" s="194">
        <f t="shared" si="25"/>
        <v>-61321521.380721219</v>
      </c>
      <c r="AI139" s="194">
        <f t="shared" si="25"/>
        <v>-62547951.808335654</v>
      </c>
      <c r="AJ139" s="194">
        <f t="shared" si="25"/>
        <v>-63798910.844502352</v>
      </c>
      <c r="AK139" s="194">
        <f t="shared" si="25"/>
        <v>-65074889.061392412</v>
      </c>
      <c r="AL139" s="194">
        <f t="shared" si="25"/>
        <v>-66376386.842620268</v>
      </c>
      <c r="AM139" s="194">
        <f t="shared" si="25"/>
        <v>-67703914.579472661</v>
      </c>
      <c r="AN139" s="194">
        <f t="shared" si="25"/>
        <v>0</v>
      </c>
      <c r="AO139" s="194">
        <f t="shared" si="25"/>
        <v>0</v>
      </c>
      <c r="AP139" s="194">
        <f t="shared" si="25"/>
        <v>0</v>
      </c>
      <c r="AQ139" s="194">
        <f t="shared" si="25"/>
        <v>0</v>
      </c>
      <c r="AR139" s="195">
        <f t="shared" si="25"/>
        <v>0</v>
      </c>
    </row>
    <row r="140" spans="1:44" ht="12.95" customHeight="1" x14ac:dyDescent="0.2">
      <c r="B140" s="157" t="s">
        <v>221</v>
      </c>
      <c r="C140" s="148"/>
      <c r="D140" s="149"/>
      <c r="E140" s="149"/>
      <c r="F140" s="149"/>
      <c r="G140" s="149"/>
      <c r="H140" s="149"/>
      <c r="I140" s="149"/>
      <c r="J140" s="149"/>
      <c r="K140" s="149"/>
      <c r="L140" s="149"/>
      <c r="M140" s="149"/>
      <c r="N140" s="149"/>
      <c r="O140" s="149"/>
      <c r="P140" s="149"/>
      <c r="Q140" s="149"/>
      <c r="R140" s="149"/>
      <c r="S140" s="149"/>
      <c r="T140" s="149"/>
      <c r="U140" s="149"/>
      <c r="V140" s="149"/>
      <c r="W140" s="149"/>
      <c r="X140" s="149"/>
      <c r="Y140" s="149"/>
      <c r="Z140" s="149"/>
      <c r="AA140" s="149"/>
      <c r="AB140" s="149"/>
      <c r="AC140" s="149"/>
      <c r="AD140" s="149"/>
      <c r="AE140" s="149"/>
      <c r="AF140" s="149"/>
      <c r="AG140" s="149"/>
      <c r="AH140" s="149"/>
      <c r="AI140" s="149"/>
      <c r="AJ140" s="149"/>
      <c r="AK140" s="149"/>
      <c r="AL140" s="149"/>
      <c r="AM140" s="149"/>
      <c r="AN140" s="149"/>
      <c r="AO140" s="149"/>
      <c r="AP140" s="149"/>
      <c r="AQ140" s="149"/>
      <c r="AR140" s="160"/>
    </row>
    <row r="141" spans="1:44" x14ac:dyDescent="0.2">
      <c r="B141" s="161" t="s">
        <v>222</v>
      </c>
      <c r="C141" s="152" t="s">
        <v>183</v>
      </c>
      <c r="D141" s="152"/>
      <c r="E141" s="200">
        <f t="shared" ref="E141:AR141" si="26">E131+E136+E139</f>
        <v>-206513775.6912024</v>
      </c>
      <c r="F141" s="200">
        <f t="shared" si="26"/>
        <v>-209016818.8885814</v>
      </c>
      <c r="G141" s="200">
        <f t="shared" si="26"/>
        <v>-211601160.25340855</v>
      </c>
      <c r="H141" s="200">
        <f t="shared" si="26"/>
        <v>-214269831.42769027</v>
      </c>
      <c r="I141" s="200">
        <f t="shared" si="26"/>
        <v>-217025987.94181275</v>
      </c>
      <c r="J141" s="200">
        <f t="shared" si="26"/>
        <v>-219872914.53880876</v>
      </c>
      <c r="K141" s="200">
        <f t="shared" si="26"/>
        <v>-222814030.7332024</v>
      </c>
      <c r="L141" s="200">
        <f t="shared" si="26"/>
        <v>-225852896.61488724</v>
      </c>
      <c r="M141" s="200">
        <f t="shared" si="26"/>
        <v>-228993218.90896219</v>
      </c>
      <c r="N141" s="200">
        <f t="shared" si="26"/>
        <v>-232238857.30293918</v>
      </c>
      <c r="O141" s="200">
        <f t="shared" si="26"/>
        <v>-235593831.05324712</v>
      </c>
      <c r="P141" s="200">
        <f t="shared" si="26"/>
        <v>-239062325.88349295</v>
      </c>
      <c r="Q141" s="200">
        <f t="shared" si="26"/>
        <v>-242648701.18749732</v>
      </c>
      <c r="R141" s="200">
        <f t="shared" si="26"/>
        <v>-246357497.5507074</v>
      </c>
      <c r="S141" s="200">
        <f t="shared" si="26"/>
        <v>-250193444.60419792</v>
      </c>
      <c r="T141" s="200">
        <f t="shared" si="26"/>
        <v>30824522.743843906</v>
      </c>
      <c r="U141" s="200">
        <f t="shared" si="26"/>
        <v>174804435.69702551</v>
      </c>
      <c r="V141" s="200">
        <f t="shared" si="26"/>
        <v>177531057.37469217</v>
      </c>
      <c r="W141" s="200">
        <f t="shared" si="26"/>
        <v>180312211.48591214</v>
      </c>
      <c r="X141" s="200">
        <f t="shared" si="26"/>
        <v>183148988.67935643</v>
      </c>
      <c r="Y141" s="200">
        <f t="shared" si="26"/>
        <v>147569149.60297614</v>
      </c>
      <c r="Z141" s="200">
        <f t="shared" si="26"/>
        <v>150520532.59503567</v>
      </c>
      <c r="AA141" s="200">
        <f t="shared" si="26"/>
        <v>153530943.24693638</v>
      </c>
      <c r="AB141" s="200">
        <f t="shared" si="26"/>
        <v>156601562.11187512</v>
      </c>
      <c r="AC141" s="200">
        <f t="shared" si="26"/>
        <v>159733593.35411263</v>
      </c>
      <c r="AD141" s="200">
        <f t="shared" si="26"/>
        <v>162928265.22119489</v>
      </c>
      <c r="AE141" s="200">
        <f t="shared" si="26"/>
        <v>166186830.52561876</v>
      </c>
      <c r="AF141" s="200">
        <f t="shared" si="26"/>
        <v>169510567.13613108</v>
      </c>
      <c r="AG141" s="200">
        <f t="shared" si="26"/>
        <v>172900778.47885376</v>
      </c>
      <c r="AH141" s="200">
        <f t="shared" si="26"/>
        <v>176358794.0484308</v>
      </c>
      <c r="AI141" s="200">
        <f t="shared" si="26"/>
        <v>179885969.92939943</v>
      </c>
      <c r="AJ141" s="200">
        <f t="shared" si="26"/>
        <v>183483689.32798737</v>
      </c>
      <c r="AK141" s="200">
        <f t="shared" si="26"/>
        <v>187153363.11454713</v>
      </c>
      <c r="AL141" s="200">
        <f t="shared" si="26"/>
        <v>190896430.37683815</v>
      </c>
      <c r="AM141" s="200">
        <f t="shared" si="26"/>
        <v>194714358.98437488</v>
      </c>
      <c r="AN141" s="200">
        <f t="shared" si="26"/>
        <v>0</v>
      </c>
      <c r="AO141" s="200">
        <f t="shared" si="26"/>
        <v>0</v>
      </c>
      <c r="AP141" s="200">
        <f t="shared" si="26"/>
        <v>0</v>
      </c>
      <c r="AQ141" s="200">
        <f t="shared" si="26"/>
        <v>0</v>
      </c>
      <c r="AR141" s="201">
        <f t="shared" si="26"/>
        <v>0</v>
      </c>
    </row>
    <row r="142" spans="1:44" x14ac:dyDescent="0.2">
      <c r="B142" s="50" t="s">
        <v>223</v>
      </c>
      <c r="C142" s="145" t="s">
        <v>183</v>
      </c>
      <c r="D142" s="153">
        <f>-SUM(C156:C157)</f>
        <v>-2982430373.154541</v>
      </c>
      <c r="E142" s="194">
        <f t="shared" ref="E142:AR142" si="27">E131+E139</f>
        <v>1765311.4199752957</v>
      </c>
      <c r="F142" s="194">
        <f t="shared" si="27"/>
        <v>-737731.77740377188</v>
      </c>
      <c r="G142" s="194">
        <f t="shared" si="27"/>
        <v>-3322073.1422308981</v>
      </c>
      <c r="H142" s="194">
        <f t="shared" si="27"/>
        <v>-5990744.3165125847</v>
      </c>
      <c r="I142" s="194">
        <f t="shared" si="27"/>
        <v>-8746900.8306350559</v>
      </c>
      <c r="J142" s="194">
        <f t="shared" si="27"/>
        <v>-11593827.42763108</v>
      </c>
      <c r="K142" s="194">
        <f t="shared" si="27"/>
        <v>-14534943.622024715</v>
      </c>
      <c r="L142" s="194">
        <f t="shared" si="27"/>
        <v>-17573809.50370954</v>
      </c>
      <c r="M142" s="194">
        <f t="shared" si="27"/>
        <v>-20714131.797784537</v>
      </c>
      <c r="N142" s="194">
        <f t="shared" si="27"/>
        <v>-23959770.191761509</v>
      </c>
      <c r="O142" s="194">
        <f t="shared" si="27"/>
        <v>-27314743.942069441</v>
      </c>
      <c r="P142" s="194">
        <f t="shared" si="27"/>
        <v>-30783238.772315249</v>
      </c>
      <c r="Q142" s="194">
        <f t="shared" si="27"/>
        <v>-34369614.076319665</v>
      </c>
      <c r="R142" s="194">
        <f t="shared" si="27"/>
        <v>-38078410.439529717</v>
      </c>
      <c r="S142" s="194">
        <f t="shared" si="27"/>
        <v>-41914357.493020222</v>
      </c>
      <c r="T142" s="194">
        <f t="shared" si="27"/>
        <v>30824522.743843906</v>
      </c>
      <c r="U142" s="194">
        <f t="shared" si="27"/>
        <v>174804435.69702551</v>
      </c>
      <c r="V142" s="194">
        <f t="shared" si="27"/>
        <v>177531057.37469217</v>
      </c>
      <c r="W142" s="194">
        <f t="shared" si="27"/>
        <v>180312211.48591214</v>
      </c>
      <c r="X142" s="194">
        <f t="shared" si="27"/>
        <v>183148988.67935643</v>
      </c>
      <c r="Y142" s="194">
        <f t="shared" si="27"/>
        <v>147569149.60297614</v>
      </c>
      <c r="Z142" s="194">
        <f t="shared" si="27"/>
        <v>150520532.59503567</v>
      </c>
      <c r="AA142" s="194">
        <f t="shared" si="27"/>
        <v>153530943.24693638</v>
      </c>
      <c r="AB142" s="194">
        <f t="shared" si="27"/>
        <v>156601562.11187512</v>
      </c>
      <c r="AC142" s="194">
        <f t="shared" si="27"/>
        <v>159733593.35411263</v>
      </c>
      <c r="AD142" s="194">
        <f t="shared" si="27"/>
        <v>162928265.22119489</v>
      </c>
      <c r="AE142" s="194">
        <f t="shared" si="27"/>
        <v>166186830.52561876</v>
      </c>
      <c r="AF142" s="194">
        <f t="shared" si="27"/>
        <v>169510567.13613108</v>
      </c>
      <c r="AG142" s="194">
        <f t="shared" si="27"/>
        <v>172900778.47885376</v>
      </c>
      <c r="AH142" s="194">
        <f t="shared" si="27"/>
        <v>176358794.0484308</v>
      </c>
      <c r="AI142" s="194">
        <f t="shared" si="27"/>
        <v>179885969.92939943</v>
      </c>
      <c r="AJ142" s="194">
        <f t="shared" si="27"/>
        <v>183483689.32798737</v>
      </c>
      <c r="AK142" s="194">
        <f t="shared" si="27"/>
        <v>187153363.11454713</v>
      </c>
      <c r="AL142" s="194">
        <f t="shared" si="27"/>
        <v>190896430.37683815</v>
      </c>
      <c r="AM142" s="194">
        <f t="shared" si="27"/>
        <v>194714358.98437488</v>
      </c>
      <c r="AN142" s="194">
        <f t="shared" si="27"/>
        <v>0</v>
      </c>
      <c r="AO142" s="194">
        <f t="shared" si="27"/>
        <v>0</v>
      </c>
      <c r="AP142" s="194">
        <f t="shared" si="27"/>
        <v>0</v>
      </c>
      <c r="AQ142" s="194">
        <f t="shared" si="27"/>
        <v>0</v>
      </c>
      <c r="AR142" s="195">
        <f t="shared" si="27"/>
        <v>0</v>
      </c>
    </row>
    <row r="143" spans="1:44" x14ac:dyDescent="0.2">
      <c r="B143" s="50" t="s">
        <v>224</v>
      </c>
      <c r="C143" s="145" t="s">
        <v>183</v>
      </c>
      <c r="D143" s="153">
        <f>-C157</f>
        <v>-745607593.28863525</v>
      </c>
      <c r="E143" s="194">
        <f t="shared" ref="E143:AR143" si="28">E141</f>
        <v>-206513775.6912024</v>
      </c>
      <c r="F143" s="194">
        <f t="shared" si="28"/>
        <v>-209016818.8885814</v>
      </c>
      <c r="G143" s="194">
        <f t="shared" si="28"/>
        <v>-211601160.25340855</v>
      </c>
      <c r="H143" s="194">
        <f t="shared" si="28"/>
        <v>-214269831.42769027</v>
      </c>
      <c r="I143" s="194">
        <f t="shared" si="28"/>
        <v>-217025987.94181275</v>
      </c>
      <c r="J143" s="194">
        <f t="shared" si="28"/>
        <v>-219872914.53880876</v>
      </c>
      <c r="K143" s="194">
        <f t="shared" si="28"/>
        <v>-222814030.7332024</v>
      </c>
      <c r="L143" s="194">
        <f t="shared" si="28"/>
        <v>-225852896.61488724</v>
      </c>
      <c r="M143" s="194">
        <f t="shared" si="28"/>
        <v>-228993218.90896219</v>
      </c>
      <c r="N143" s="194">
        <f t="shared" si="28"/>
        <v>-232238857.30293918</v>
      </c>
      <c r="O143" s="194">
        <f t="shared" si="28"/>
        <v>-235593831.05324712</v>
      </c>
      <c r="P143" s="194">
        <f t="shared" si="28"/>
        <v>-239062325.88349295</v>
      </c>
      <c r="Q143" s="194">
        <f t="shared" si="28"/>
        <v>-242648701.18749732</v>
      </c>
      <c r="R143" s="194">
        <f t="shared" si="28"/>
        <v>-246357497.5507074</v>
      </c>
      <c r="S143" s="194">
        <f t="shared" si="28"/>
        <v>-250193444.60419792</v>
      </c>
      <c r="T143" s="194">
        <f t="shared" si="28"/>
        <v>30824522.743843906</v>
      </c>
      <c r="U143" s="194">
        <f t="shared" si="28"/>
        <v>174804435.69702551</v>
      </c>
      <c r="V143" s="194">
        <f t="shared" si="28"/>
        <v>177531057.37469217</v>
      </c>
      <c r="W143" s="194">
        <f t="shared" si="28"/>
        <v>180312211.48591214</v>
      </c>
      <c r="X143" s="194">
        <f t="shared" si="28"/>
        <v>183148988.67935643</v>
      </c>
      <c r="Y143" s="194">
        <f t="shared" si="28"/>
        <v>147569149.60297614</v>
      </c>
      <c r="Z143" s="194">
        <f t="shared" si="28"/>
        <v>150520532.59503567</v>
      </c>
      <c r="AA143" s="194">
        <f t="shared" si="28"/>
        <v>153530943.24693638</v>
      </c>
      <c r="AB143" s="194">
        <f t="shared" si="28"/>
        <v>156601562.11187512</v>
      </c>
      <c r="AC143" s="194">
        <f t="shared" si="28"/>
        <v>159733593.35411263</v>
      </c>
      <c r="AD143" s="194">
        <f t="shared" si="28"/>
        <v>162928265.22119489</v>
      </c>
      <c r="AE143" s="194">
        <f t="shared" si="28"/>
        <v>166186830.52561876</v>
      </c>
      <c r="AF143" s="194">
        <f t="shared" si="28"/>
        <v>169510567.13613108</v>
      </c>
      <c r="AG143" s="194">
        <f t="shared" si="28"/>
        <v>172900778.47885376</v>
      </c>
      <c r="AH143" s="194">
        <f t="shared" si="28"/>
        <v>176358794.0484308</v>
      </c>
      <c r="AI143" s="194">
        <f t="shared" si="28"/>
        <v>179885969.92939943</v>
      </c>
      <c r="AJ143" s="194">
        <f t="shared" si="28"/>
        <v>183483689.32798737</v>
      </c>
      <c r="AK143" s="194">
        <f t="shared" si="28"/>
        <v>187153363.11454713</v>
      </c>
      <c r="AL143" s="194">
        <f t="shared" si="28"/>
        <v>190896430.37683815</v>
      </c>
      <c r="AM143" s="194">
        <f t="shared" si="28"/>
        <v>194714358.98437488</v>
      </c>
      <c r="AN143" s="194">
        <f t="shared" si="28"/>
        <v>0</v>
      </c>
      <c r="AO143" s="194">
        <f t="shared" si="28"/>
        <v>0</v>
      </c>
      <c r="AP143" s="194">
        <f t="shared" si="28"/>
        <v>0</v>
      </c>
      <c r="AQ143" s="194">
        <f t="shared" si="28"/>
        <v>0</v>
      </c>
      <c r="AR143" s="195">
        <f t="shared" si="28"/>
        <v>0</v>
      </c>
    </row>
    <row r="144" spans="1:44" x14ac:dyDescent="0.2">
      <c r="B144" s="50" t="s">
        <v>225</v>
      </c>
      <c r="C144" s="150" t="str">
        <f>$C$7</f>
        <v>kWh</v>
      </c>
      <c r="D144" s="145"/>
      <c r="E144" s="194">
        <f t="shared" ref="E144:AR144" si="29">IF(E111&gt;$C$76,0,E117)</f>
        <v>3729440000</v>
      </c>
      <c r="F144" s="194">
        <f t="shared" si="29"/>
        <v>3729440000</v>
      </c>
      <c r="G144" s="194">
        <f t="shared" si="29"/>
        <v>3729440000</v>
      </c>
      <c r="H144" s="194">
        <f t="shared" si="29"/>
        <v>3729440000</v>
      </c>
      <c r="I144" s="194">
        <f t="shared" si="29"/>
        <v>3729440000</v>
      </c>
      <c r="J144" s="194">
        <f t="shared" si="29"/>
        <v>3729440000</v>
      </c>
      <c r="K144" s="194">
        <f t="shared" si="29"/>
        <v>3729440000</v>
      </c>
      <c r="L144" s="194">
        <f t="shared" si="29"/>
        <v>3729440000</v>
      </c>
      <c r="M144" s="194">
        <f t="shared" si="29"/>
        <v>3729440000</v>
      </c>
      <c r="N144" s="194">
        <f t="shared" si="29"/>
        <v>3729440000</v>
      </c>
      <c r="O144" s="194">
        <f t="shared" si="29"/>
        <v>3729440000</v>
      </c>
      <c r="P144" s="194">
        <f t="shared" si="29"/>
        <v>3729440000</v>
      </c>
      <c r="Q144" s="194">
        <f t="shared" si="29"/>
        <v>3729440000</v>
      </c>
      <c r="R144" s="194">
        <f t="shared" si="29"/>
        <v>3729440000</v>
      </c>
      <c r="S144" s="194">
        <f t="shared" si="29"/>
        <v>3729440000</v>
      </c>
      <c r="T144" s="194">
        <f t="shared" si="29"/>
        <v>0</v>
      </c>
      <c r="U144" s="194">
        <f t="shared" si="29"/>
        <v>0</v>
      </c>
      <c r="V144" s="194">
        <f t="shared" si="29"/>
        <v>0</v>
      </c>
      <c r="W144" s="194">
        <f t="shared" si="29"/>
        <v>0</v>
      </c>
      <c r="X144" s="194">
        <f t="shared" si="29"/>
        <v>0</v>
      </c>
      <c r="Y144" s="194">
        <f t="shared" si="29"/>
        <v>0</v>
      </c>
      <c r="Z144" s="194">
        <f t="shared" si="29"/>
        <v>0</v>
      </c>
      <c r="AA144" s="194">
        <f t="shared" si="29"/>
        <v>0</v>
      </c>
      <c r="AB144" s="194">
        <f t="shared" si="29"/>
        <v>0</v>
      </c>
      <c r="AC144" s="194">
        <f t="shared" si="29"/>
        <v>0</v>
      </c>
      <c r="AD144" s="194">
        <f t="shared" si="29"/>
        <v>0</v>
      </c>
      <c r="AE144" s="194">
        <f t="shared" si="29"/>
        <v>0</v>
      </c>
      <c r="AF144" s="194">
        <f t="shared" si="29"/>
        <v>0</v>
      </c>
      <c r="AG144" s="194">
        <f t="shared" si="29"/>
        <v>0</v>
      </c>
      <c r="AH144" s="194">
        <f t="shared" si="29"/>
        <v>0</v>
      </c>
      <c r="AI144" s="194">
        <f t="shared" si="29"/>
        <v>0</v>
      </c>
      <c r="AJ144" s="194">
        <f t="shared" si="29"/>
        <v>0</v>
      </c>
      <c r="AK144" s="194">
        <f t="shared" si="29"/>
        <v>0</v>
      </c>
      <c r="AL144" s="194">
        <f t="shared" si="29"/>
        <v>0</v>
      </c>
      <c r="AM144" s="194">
        <f t="shared" si="29"/>
        <v>0</v>
      </c>
      <c r="AN144" s="194">
        <f t="shared" si="29"/>
        <v>0</v>
      </c>
      <c r="AO144" s="194">
        <f t="shared" si="29"/>
        <v>0</v>
      </c>
      <c r="AP144" s="194">
        <f t="shared" si="29"/>
        <v>0</v>
      </c>
      <c r="AQ144" s="194">
        <f t="shared" si="29"/>
        <v>0</v>
      </c>
      <c r="AR144" s="195">
        <f t="shared" si="29"/>
        <v>0</v>
      </c>
    </row>
    <row r="145" spans="1:44" x14ac:dyDescent="0.2">
      <c r="B145" s="162" t="s">
        <v>226</v>
      </c>
      <c r="C145" s="145" t="s">
        <v>183</v>
      </c>
      <c r="D145" s="202">
        <f>-D112</f>
        <v>2982430373.154541</v>
      </c>
      <c r="E145" s="202">
        <f t="shared" ref="E145:AR145" si="30">IF(E111&lt;=$C76,D145-($C$5*E117+E131+E134),D145-(E131+E134))</f>
        <v>2792749773.7578888</v>
      </c>
      <c r="F145" s="202">
        <f t="shared" si="30"/>
        <v>2599915603.4806495</v>
      </c>
      <c r="G145" s="202">
        <f t="shared" si="30"/>
        <v>2403743716.0854425</v>
      </c>
      <c r="H145" s="202">
        <f t="shared" si="30"/>
        <v>2204040834.0432491</v>
      </c>
      <c r="I145" s="202">
        <f t="shared" si="30"/>
        <v>2000604120.731071</v>
      </c>
      <c r="J145" s="202">
        <f t="shared" si="30"/>
        <v>1793220733.0405972</v>
      </c>
      <c r="K145" s="202">
        <f t="shared" si="30"/>
        <v>1581667353.5096195</v>
      </c>
      <c r="L145" s="202">
        <f t="shared" si="30"/>
        <v>1365709701.0478265</v>
      </c>
      <c r="M145" s="202">
        <f t="shared" si="30"/>
        <v>1145102019.2866936</v>
      </c>
      <c r="N145" s="202">
        <f t="shared" si="30"/>
        <v>919586541.53937888</v>
      </c>
      <c r="O145" s="202">
        <f t="shared" si="30"/>
        <v>688892931.31076586</v>
      </c>
      <c r="P145" s="202">
        <f t="shared" si="30"/>
        <v>452737697.24994266</v>
      </c>
      <c r="Q145" s="202">
        <f t="shared" si="30"/>
        <v>210823581.38742152</v>
      </c>
      <c r="R145" s="202">
        <f t="shared" si="30"/>
        <v>-37161080.552853107</v>
      </c>
      <c r="S145" s="202">
        <f t="shared" si="30"/>
        <v>-291543028.03125894</v>
      </c>
      <c r="T145" s="202">
        <f t="shared" si="30"/>
        <v>-281234633.05841571</v>
      </c>
      <c r="U145" s="202">
        <f t="shared" si="30"/>
        <v>-464969247.45643717</v>
      </c>
      <c r="V145" s="202">
        <f t="shared" si="30"/>
        <v>-652378554.1424191</v>
      </c>
      <c r="W145" s="202">
        <f t="shared" si="30"/>
        <v>-843536046.96212065</v>
      </c>
      <c r="X145" s="202">
        <f t="shared" si="30"/>
        <v>-1038516689.6382161</v>
      </c>
      <c r="Y145" s="202">
        <f t="shared" si="30"/>
        <v>-1237396945.1678336</v>
      </c>
      <c r="Z145" s="202">
        <f t="shared" si="30"/>
        <v>-1440254805.8080435</v>
      </c>
      <c r="AA145" s="202">
        <f t="shared" si="30"/>
        <v>-1647169823.6610575</v>
      </c>
      <c r="AB145" s="202">
        <f t="shared" si="30"/>
        <v>-1858223141.8711317</v>
      </c>
      <c r="AC145" s="202">
        <f t="shared" si="30"/>
        <v>-2073497526.4454074</v>
      </c>
      <c r="AD145" s="202">
        <f t="shared" si="30"/>
        <v>-2293077398.7111688</v>
      </c>
      <c r="AE145" s="202">
        <f t="shared" si="30"/>
        <v>-2517048868.422245</v>
      </c>
      <c r="AF145" s="202">
        <f t="shared" si="30"/>
        <v>-2745499767.5275431</v>
      </c>
      <c r="AG145" s="202">
        <f t="shared" si="30"/>
        <v>-2978519684.6149473</v>
      </c>
      <c r="AH145" s="202">
        <f t="shared" si="30"/>
        <v>-3216200000.0440993</v>
      </c>
      <c r="AI145" s="202">
        <f t="shared" si="30"/>
        <v>-3458633921.7818346</v>
      </c>
      <c r="AJ145" s="202">
        <f t="shared" si="30"/>
        <v>-3705916521.9543242</v>
      </c>
      <c r="AK145" s="202">
        <f t="shared" si="30"/>
        <v>-3958144774.1302638</v>
      </c>
      <c r="AL145" s="202">
        <f t="shared" si="30"/>
        <v>-4215417591.3497224</v>
      </c>
      <c r="AM145" s="202">
        <f t="shared" si="30"/>
        <v>-4477835864.9135704</v>
      </c>
      <c r="AN145" s="202">
        <f t="shared" si="30"/>
        <v>-4477835864.9135704</v>
      </c>
      <c r="AO145" s="202">
        <f t="shared" si="30"/>
        <v>-4477835864.9135704</v>
      </c>
      <c r="AP145" s="202">
        <f t="shared" si="30"/>
        <v>-4477835864.9135704</v>
      </c>
      <c r="AQ145" s="202">
        <f t="shared" si="30"/>
        <v>-4477835864.9135704</v>
      </c>
      <c r="AR145" s="203">
        <f t="shared" si="30"/>
        <v>-4477835864.9135704</v>
      </c>
    </row>
    <row r="146" spans="1:44" ht="12.95" customHeight="1" x14ac:dyDescent="0.2">
      <c r="B146" s="163" t="s">
        <v>227</v>
      </c>
      <c r="C146" s="204"/>
      <c r="D146" s="204"/>
      <c r="E146" s="205">
        <f t="shared" ref="E146:AR146" si="31">IF(E111&gt;$C$74,"",(-$C$94*(E138+$C$5*E117)+E131+$C$5*E117)/-E136)</f>
        <v>1.3437421180484681</v>
      </c>
      <c r="F146" s="205">
        <f t="shared" si="31"/>
        <v>1.3317243815003772</v>
      </c>
      <c r="G146" s="205">
        <f t="shared" si="31"/>
        <v>1.3193163121129419</v>
      </c>
      <c r="H146" s="205">
        <f t="shared" si="31"/>
        <v>1.3065033542144988</v>
      </c>
      <c r="I146" s="205">
        <f t="shared" si="31"/>
        <v>1.2932703573142805</v>
      </c>
      <c r="J146" s="205">
        <f t="shared" si="31"/>
        <v>1.279601550539281</v>
      </c>
      <c r="K146" s="205">
        <f t="shared" si="31"/>
        <v>1.265480515944849</v>
      </c>
      <c r="L146" s="205">
        <f t="shared" si="31"/>
        <v>1.2508901606488192</v>
      </c>
      <c r="M146" s="205">
        <f t="shared" si="31"/>
        <v>1.2358126877367228</v>
      </c>
      <c r="N146" s="205">
        <f t="shared" si="31"/>
        <v>1.2202295658832814</v>
      </c>
      <c r="O146" s="205">
        <f t="shared" si="31"/>
        <v>1.2041214976329289</v>
      </c>
      <c r="P146" s="205">
        <f t="shared" si="31"/>
        <v>1.1874683862795345</v>
      </c>
      <c r="Q146" s="205">
        <f t="shared" si="31"/>
        <v>1.1702493012828252</v>
      </c>
      <c r="R146" s="205">
        <f t="shared" si="31"/>
        <v>1.1524424421562036</v>
      </c>
      <c r="S146" s="205">
        <f t="shared" si="31"/>
        <v>1.1340251007577224</v>
      </c>
      <c r="T146" s="205" t="str">
        <f t="shared" si="31"/>
        <v/>
      </c>
      <c r="U146" s="205" t="str">
        <f t="shared" si="31"/>
        <v/>
      </c>
      <c r="V146" s="205" t="str">
        <f t="shared" si="31"/>
        <v/>
      </c>
      <c r="W146" s="205" t="str">
        <f t="shared" si="31"/>
        <v/>
      </c>
      <c r="X146" s="205" t="str">
        <f t="shared" si="31"/>
        <v/>
      </c>
      <c r="Y146" s="205" t="str">
        <f t="shared" si="31"/>
        <v/>
      </c>
      <c r="Z146" s="205" t="str">
        <f t="shared" si="31"/>
        <v/>
      </c>
      <c r="AA146" s="205" t="str">
        <f t="shared" si="31"/>
        <v/>
      </c>
      <c r="AB146" s="205" t="str">
        <f t="shared" si="31"/>
        <v/>
      </c>
      <c r="AC146" s="205" t="str">
        <f t="shared" si="31"/>
        <v/>
      </c>
      <c r="AD146" s="205" t="str">
        <f t="shared" si="31"/>
        <v/>
      </c>
      <c r="AE146" s="205" t="str">
        <f t="shared" si="31"/>
        <v/>
      </c>
      <c r="AF146" s="205" t="str">
        <f t="shared" si="31"/>
        <v/>
      </c>
      <c r="AG146" s="205" t="str">
        <f t="shared" si="31"/>
        <v/>
      </c>
      <c r="AH146" s="205" t="str">
        <f t="shared" si="31"/>
        <v/>
      </c>
      <c r="AI146" s="205" t="str">
        <f t="shared" si="31"/>
        <v/>
      </c>
      <c r="AJ146" s="205" t="str">
        <f t="shared" si="31"/>
        <v/>
      </c>
      <c r="AK146" s="205" t="str">
        <f t="shared" si="31"/>
        <v/>
      </c>
      <c r="AL146" s="205" t="str">
        <f t="shared" si="31"/>
        <v/>
      </c>
      <c r="AM146" s="205" t="str">
        <f t="shared" si="31"/>
        <v/>
      </c>
      <c r="AN146" s="205" t="str">
        <f t="shared" si="31"/>
        <v/>
      </c>
      <c r="AO146" s="205" t="str">
        <f t="shared" si="31"/>
        <v/>
      </c>
      <c r="AP146" s="205" t="str">
        <f t="shared" si="31"/>
        <v/>
      </c>
      <c r="AQ146" s="205" t="str">
        <f t="shared" si="31"/>
        <v/>
      </c>
      <c r="AR146" s="206" t="str">
        <f t="shared" si="31"/>
        <v/>
      </c>
    </row>
    <row r="147" spans="1:44" ht="12.95" customHeight="1" x14ac:dyDescent="0.2">
      <c r="A147" s="33"/>
      <c r="B147" s="33"/>
      <c r="C147" s="33"/>
      <c r="D147" s="241"/>
      <c r="E147" s="207"/>
      <c r="F147" s="207"/>
      <c r="G147" s="207"/>
      <c r="H147" s="207"/>
      <c r="I147" s="207"/>
      <c r="J147" s="207"/>
      <c r="K147" s="207"/>
      <c r="L147" s="207"/>
      <c r="M147" s="207"/>
      <c r="N147" s="207"/>
      <c r="O147" s="207"/>
      <c r="P147" s="207"/>
      <c r="Q147" s="207"/>
      <c r="R147" s="207"/>
      <c r="S147" s="207"/>
      <c r="T147" s="207"/>
      <c r="U147" s="207"/>
      <c r="V147" s="207"/>
      <c r="W147" s="207"/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</row>
    <row r="148" spans="1:44" ht="12.95" customHeight="1" x14ac:dyDescent="0.2">
      <c r="B148" s="64" t="s">
        <v>228</v>
      </c>
      <c r="C148" s="57" t="s">
        <v>37</v>
      </c>
      <c r="D148" s="136" t="s">
        <v>114</v>
      </c>
      <c r="E148" s="34"/>
      <c r="F148" s="34"/>
      <c r="G148" s="34"/>
      <c r="H148" s="34"/>
      <c r="I148" s="34"/>
      <c r="J148" s="34"/>
      <c r="K148" s="34"/>
      <c r="L148" s="34"/>
      <c r="M148" s="34"/>
    </row>
    <row r="149" spans="1:44" x14ac:dyDescent="0.2">
      <c r="B149" s="50" t="s">
        <v>229</v>
      </c>
      <c r="C149" s="226">
        <f>NPV($C$91,E141:AR141)</f>
        <v>-1369055596.2423906</v>
      </c>
      <c r="D149" s="219" t="s">
        <v>230</v>
      </c>
    </row>
    <row r="150" spans="1:44" x14ac:dyDescent="0.2">
      <c r="B150" s="50" t="s">
        <v>231</v>
      </c>
      <c r="C150" s="227">
        <f>(1-$C$94)*NPV($C$91,E144:AR144)</f>
        <v>21047881528.27293</v>
      </c>
      <c r="D150" s="219" t="str">
        <f>$C$7</f>
        <v>kWh</v>
      </c>
      <c r="F150" s="208"/>
    </row>
    <row r="151" spans="1:44" x14ac:dyDescent="0.2">
      <c r="B151" s="50" t="s">
        <v>232</v>
      </c>
      <c r="C151" s="227">
        <f>$C$41*1000000</f>
        <v>2982430373.154541</v>
      </c>
      <c r="D151" s="219" t="s">
        <v>183</v>
      </c>
      <c r="F151" s="209"/>
    </row>
    <row r="152" spans="1:44" x14ac:dyDescent="0.2">
      <c r="B152" s="50" t="s">
        <v>233</v>
      </c>
      <c r="C152" s="228">
        <f>AVERAGE(E146:AR146)</f>
        <v>1.2463251821368493</v>
      </c>
      <c r="D152" s="219"/>
      <c r="F152" s="209"/>
    </row>
    <row r="153" spans="1:44" x14ac:dyDescent="0.2">
      <c r="B153" s="50" t="s">
        <v>234</v>
      </c>
      <c r="C153" s="179" t="str">
        <f>CONCATENATE(ROUND(((1-$C$94)*$C$90*$C$92+$C$93*$C$91)*100,1),"% / ",ROUND((((1+(1-$C$94)*$C$90*$C$92+$C$93*$C$91)/(1+$C$89))-1)*100,1),"%")</f>
        <v>5% / 2,9%</v>
      </c>
      <c r="D153" s="219"/>
      <c r="F153" s="208"/>
      <c r="G153" s="35"/>
    </row>
    <row r="154" spans="1:44" x14ac:dyDescent="0.2">
      <c r="B154" s="50" t="s">
        <v>235</v>
      </c>
      <c r="C154" s="179">
        <f>IFERROR(IRR(D142:AR142),"n.v.t.")</f>
        <v>4.6421329470702766E-4</v>
      </c>
      <c r="D154" s="219"/>
      <c r="F154" s="209"/>
      <c r="G154" s="35"/>
    </row>
    <row r="155" spans="1:44" x14ac:dyDescent="0.2">
      <c r="B155" s="50" t="s">
        <v>236</v>
      </c>
      <c r="C155" s="179">
        <f>IFERROR(IRR(D143:AR143),"n.v.t.")</f>
        <v>-1.1747205879228173E-2</v>
      </c>
      <c r="D155" s="219"/>
      <c r="G155" s="35"/>
    </row>
    <row r="156" spans="1:44" x14ac:dyDescent="0.2">
      <c r="B156" s="50" t="s">
        <v>237</v>
      </c>
      <c r="C156" s="227">
        <f>$C$92*C151-C97</f>
        <v>2236822779.8659058</v>
      </c>
      <c r="D156" s="219" t="s">
        <v>183</v>
      </c>
      <c r="F156" s="22"/>
    </row>
    <row r="157" spans="1:44" x14ac:dyDescent="0.2">
      <c r="B157" s="50" t="s">
        <v>238</v>
      </c>
      <c r="C157" s="227">
        <f>$C$93*C151-C98</f>
        <v>745607593.28863525</v>
      </c>
      <c r="D157" s="219" t="s">
        <v>183</v>
      </c>
      <c r="F157" s="22"/>
    </row>
    <row r="158" spans="1:44" x14ac:dyDescent="0.2">
      <c r="B158" s="50" t="s">
        <v>123</v>
      </c>
      <c r="C158" s="179">
        <f>IF(AND(E114&gt;0,E115&gt;0),ROUND(E115/E114,2),0)</f>
        <v>0</v>
      </c>
      <c r="D158" s="219" t="s">
        <v>239</v>
      </c>
      <c r="F158" s="22"/>
    </row>
    <row r="159" spans="1:44" x14ac:dyDescent="0.2">
      <c r="B159" s="50" t="s">
        <v>240</v>
      </c>
      <c r="C159" s="179">
        <f>IF(C158=0,MAX(C29:C30),E117/SUM(C26,C28))</f>
        <v>3729.44</v>
      </c>
      <c r="D159" s="219" t="s">
        <v>147</v>
      </c>
      <c r="F159" s="22"/>
    </row>
    <row r="160" spans="1:44" ht="15" customHeight="1" x14ac:dyDescent="0.25">
      <c r="B160" s="51" t="s">
        <v>241</v>
      </c>
      <c r="C160" s="277" t="str">
        <f>CONCATENATE( "tussen ", INDEX(D111:X111, MATCH(0,D145:AR145, -1)), " en ",  1 + INDEX(D111:X111, MATCH(0,D145:AR145, -1)), " jaar")</f>
        <v>tussen 13 en 14 jaar</v>
      </c>
      <c r="D160" s="270"/>
      <c r="F160" s="210"/>
      <c r="G160" s="190"/>
      <c r="I160" s="190"/>
      <c r="J160" s="190"/>
      <c r="K160" s="190"/>
      <c r="L160" s="190"/>
      <c r="M160" s="190"/>
      <c r="N160" s="190"/>
      <c r="O160" s="190"/>
      <c r="P160" s="190"/>
      <c r="Q160" s="190"/>
      <c r="R160" s="190"/>
      <c r="S160" s="190"/>
      <c r="T160" s="190"/>
      <c r="U160" s="190"/>
      <c r="V160" s="190"/>
      <c r="W160" s="190"/>
      <c r="X160" s="190"/>
      <c r="Y160" s="190"/>
      <c r="Z160" s="190"/>
      <c r="AA160" s="190"/>
      <c r="AB160" s="190"/>
      <c r="AC160" s="190"/>
      <c r="AD160" s="190"/>
      <c r="AE160" s="190"/>
      <c r="AF160" s="190"/>
      <c r="AG160" s="190"/>
      <c r="AH160" s="190"/>
      <c r="AI160" s="190"/>
      <c r="AJ160" s="190"/>
      <c r="AK160" s="190"/>
      <c r="AL160" s="190"/>
      <c r="AM160" s="190"/>
      <c r="AN160" s="190"/>
      <c r="AO160" s="190"/>
      <c r="AP160" s="190"/>
      <c r="AQ160" s="190"/>
      <c r="AR160" s="190"/>
    </row>
    <row r="161" spans="2:44" x14ac:dyDescent="0.2">
      <c r="B161" s="6"/>
      <c r="C161" s="6"/>
      <c r="D161" s="36"/>
      <c r="E161" s="190"/>
      <c r="F161" s="210"/>
      <c r="G161" s="190"/>
      <c r="H161" s="190"/>
      <c r="I161" s="190"/>
      <c r="J161" s="190"/>
      <c r="K161" s="190"/>
      <c r="L161" s="190"/>
      <c r="M161" s="190"/>
      <c r="N161" s="190"/>
      <c r="O161" s="190"/>
      <c r="P161" s="190"/>
      <c r="Q161" s="190"/>
      <c r="R161" s="190"/>
      <c r="S161" s="190"/>
      <c r="T161" s="190"/>
      <c r="U161" s="190"/>
      <c r="V161" s="190"/>
      <c r="W161" s="190"/>
      <c r="X161" s="190"/>
      <c r="Y161" s="190"/>
      <c r="Z161" s="190"/>
      <c r="AA161" s="190"/>
      <c r="AB161" s="190"/>
      <c r="AC161" s="190"/>
      <c r="AD161" s="190"/>
      <c r="AE161" s="190"/>
      <c r="AF161" s="190"/>
      <c r="AG161" s="190"/>
      <c r="AH161" s="190"/>
      <c r="AI161" s="190"/>
      <c r="AJ161" s="190"/>
      <c r="AK161" s="190"/>
      <c r="AL161" s="190"/>
      <c r="AM161" s="190"/>
      <c r="AN161" s="190"/>
      <c r="AO161" s="190"/>
      <c r="AP161" s="190"/>
      <c r="AQ161" s="190"/>
      <c r="AR161" s="190"/>
    </row>
    <row r="162" spans="2:44" x14ac:dyDescent="0.2">
      <c r="B162" s="70" t="s">
        <v>242</v>
      </c>
      <c r="C162" s="57" t="s">
        <v>37</v>
      </c>
      <c r="D162" s="136" t="s">
        <v>114</v>
      </c>
      <c r="E162" s="190"/>
      <c r="F162" s="210"/>
      <c r="G162" s="190"/>
      <c r="H162" s="190"/>
      <c r="I162" s="190"/>
      <c r="J162" s="190"/>
      <c r="K162" s="190"/>
      <c r="L162" s="190"/>
      <c r="M162" s="190"/>
      <c r="N162" s="190"/>
      <c r="O162" s="190"/>
      <c r="P162" s="190"/>
      <c r="Q162" s="190"/>
      <c r="R162" s="190"/>
      <c r="S162" s="190"/>
      <c r="T162" s="190"/>
      <c r="U162" s="190"/>
      <c r="V162" s="190"/>
      <c r="W162" s="190"/>
      <c r="X162" s="190"/>
      <c r="Y162" s="190"/>
      <c r="Z162" s="190"/>
      <c r="AA162" s="190"/>
      <c r="AB162" s="190"/>
      <c r="AC162" s="190"/>
      <c r="AD162" s="190"/>
      <c r="AE162" s="190"/>
      <c r="AF162" s="190"/>
      <c r="AG162" s="190"/>
      <c r="AH162" s="190"/>
      <c r="AI162" s="190"/>
      <c r="AJ162" s="190"/>
      <c r="AK162" s="190"/>
      <c r="AL162" s="190"/>
      <c r="AM162" s="190"/>
      <c r="AN162" s="190"/>
      <c r="AO162" s="190"/>
      <c r="AP162" s="190"/>
      <c r="AQ162" s="190"/>
      <c r="AR162" s="190"/>
    </row>
    <row r="163" spans="2:44" ht="14.85" customHeight="1" x14ac:dyDescent="0.2">
      <c r="B163" s="50" t="s">
        <v>29</v>
      </c>
      <c r="C163" s="222">
        <f>IF(C15&gt;0,ROUND(INDEX(Correcties!$A$1:$I$3,MATCH(C15,Correcties!$A$1:$A$3,0),8),4),_xlfn.XLOOKUP($C12,Correcties!$A$3:$A$3,Correcties!$H$3:$H$3,"n.v.t"))</f>
        <v>3.7693825023999997E-2</v>
      </c>
      <c r="D163" s="219" t="str">
        <f t="shared" ref="D163:D169" si="32">CONCATENATE("Euro/",$C$7)</f>
        <v>Euro/kWh</v>
      </c>
    </row>
    <row r="164" spans="2:44" s="6" customFormat="1" x14ac:dyDescent="0.2">
      <c r="B164" s="224" t="s">
        <v>33</v>
      </c>
      <c r="C164" s="211">
        <f>IF(C15&gt;0,IFERROR(_xlfn.XLOOKUP(C15,Correcties!A3:A3,Correcties!F3:F3),"n.v.t."),_xlfn.XLOOKUP($C12,Correcties!$A$3:$A$3,Correcties!$F$3:$F$3,"n.v.t."))</f>
        <v>5.6540737536000002E-2</v>
      </c>
      <c r="D164" s="229" t="str">
        <f t="shared" si="32"/>
        <v>Euro/kWh</v>
      </c>
    </row>
    <row r="165" spans="2:44" s="6" customFormat="1" x14ac:dyDescent="0.2">
      <c r="B165" s="50" t="str">
        <f>"Voorlopig correctiebedrag "&amp;Colofon!$C$29</f>
        <v>Voorlopig correctiebedrag 2026</v>
      </c>
      <c r="C165" s="225">
        <f>IF(C15&gt;0,IFERROR(ROUND(INDEX(Correcties!$A$1:$I$3,MATCH(C15,Correcties!$A$1:$A$3,0),4),4),"n.v.t."),_xlfn.XLOOKUP($C12,Correcties!$A$3:$A$3,Correcties!$D$3:$D$3,"n.v.t."))</f>
        <v>7.425000000000001E-2</v>
      </c>
      <c r="D165" s="219" t="str">
        <f t="shared" si="32"/>
        <v>Euro/kWh</v>
      </c>
      <c r="F165" s="190"/>
      <c r="G165" s="190"/>
      <c r="H165" s="190"/>
      <c r="I165" s="190"/>
      <c r="J165" s="190"/>
      <c r="K165" s="190"/>
      <c r="L165" s="190"/>
      <c r="M165" s="190"/>
      <c r="N165" s="190"/>
      <c r="O165" s="190"/>
      <c r="P165" s="190"/>
      <c r="Q165" s="190"/>
      <c r="R165" s="190"/>
      <c r="S165" s="190"/>
      <c r="T165" s="190"/>
      <c r="U165" s="190"/>
      <c r="V165" s="190"/>
      <c r="W165" s="190"/>
      <c r="X165" s="190"/>
      <c r="Y165" s="190"/>
      <c r="Z165" s="190"/>
      <c r="AA165" s="190"/>
      <c r="AB165" s="190"/>
      <c r="AC165" s="190"/>
      <c r="AD165" s="190"/>
      <c r="AE165" s="190"/>
      <c r="AF165" s="190"/>
      <c r="AG165" s="190"/>
      <c r="AH165" s="190"/>
      <c r="AI165" s="190"/>
      <c r="AJ165" s="190"/>
      <c r="AK165" s="190"/>
      <c r="AL165" s="190"/>
      <c r="AM165" s="190"/>
      <c r="AN165" s="190"/>
      <c r="AO165" s="190"/>
      <c r="AP165" s="190"/>
      <c r="AQ165" s="190"/>
      <c r="AR165" s="190"/>
    </row>
    <row r="166" spans="2:44" s="6" customFormat="1" x14ac:dyDescent="0.2">
      <c r="B166" s="224" t="str">
        <f>"Voorlopige GvO-waarde "&amp;Colofon!$C$29</f>
        <v>Voorlopige GvO-waarde 2026</v>
      </c>
      <c r="C166" s="211">
        <f>IF(C15&gt;0,_xlfn.XLOOKUP(C15,Correcties!A7:A7,Correcties!D7:D7,0), _xlfn.XLOOKUP(C12,Correcties!A7:A7,Correcties!D7:D7,0))</f>
        <v>2E-3</v>
      </c>
      <c r="D166" s="229" t="str">
        <f t="shared" si="32"/>
        <v>Euro/kWh</v>
      </c>
    </row>
    <row r="167" spans="2:44" s="6" customFormat="1" x14ac:dyDescent="0.2">
      <c r="B167" s="50"/>
      <c r="C167" s="222"/>
      <c r="D167" s="219"/>
      <c r="F167" s="37"/>
      <c r="G167" s="37"/>
      <c r="H167" s="37"/>
      <c r="I167" s="37"/>
      <c r="J167" s="37"/>
      <c r="K167" s="37"/>
      <c r="L167" s="37"/>
      <c r="M167" s="37"/>
      <c r="N167" s="37"/>
      <c r="O167" s="37"/>
      <c r="P167" s="37"/>
    </row>
    <row r="168" spans="2:44" s="6" customFormat="1" x14ac:dyDescent="0.2">
      <c r="B168" s="58" t="s">
        <v>30</v>
      </c>
      <c r="C168" s="223">
        <f>_xlfn.XLOOKUP($C$13,Correcties!A14:A14,Correcties!D14:D14,"foutmelding")</f>
        <v>0</v>
      </c>
      <c r="D168" s="230" t="str">
        <f t="shared" si="32"/>
        <v>Euro/kWh</v>
      </c>
      <c r="F168" s="37"/>
      <c r="G168" s="37"/>
      <c r="H168" s="37"/>
      <c r="I168" s="37"/>
      <c r="J168" s="37"/>
      <c r="K168" s="37"/>
      <c r="L168" s="37"/>
      <c r="M168" s="37"/>
      <c r="N168" s="37"/>
      <c r="O168" s="37"/>
      <c r="P168" s="37"/>
    </row>
    <row r="169" spans="2:44" s="6" customFormat="1" ht="13.5" customHeight="1" x14ac:dyDescent="0.2">
      <c r="B169" s="51" t="s">
        <v>243</v>
      </c>
      <c r="C169" s="212">
        <f>IF(C14="Nee",0,_xlfn.XLOOKUP($C$13,Correcties!A14:A14,Correcties!F14:F14,"foutmelding"))</f>
        <v>0</v>
      </c>
      <c r="D169" s="221" t="str">
        <f t="shared" si="32"/>
        <v>Euro/kWh</v>
      </c>
      <c r="F169" s="37"/>
      <c r="G169" s="37"/>
      <c r="H169" s="37"/>
      <c r="I169" s="37"/>
      <c r="J169" s="37"/>
      <c r="K169" s="37"/>
      <c r="L169" s="37"/>
      <c r="M169" s="37"/>
      <c r="N169" s="37"/>
      <c r="O169" s="37"/>
      <c r="P169" s="37"/>
    </row>
    <row r="170" spans="2:44" s="6" customFormat="1" x14ac:dyDescent="0.2">
      <c r="E170" s="37"/>
      <c r="F170" s="37"/>
      <c r="G170" s="37"/>
      <c r="H170" s="37"/>
      <c r="I170" s="37"/>
      <c r="J170" s="37"/>
      <c r="K170" s="37"/>
      <c r="L170" s="37"/>
      <c r="M170" s="37"/>
      <c r="N170" s="37"/>
      <c r="O170" s="37"/>
      <c r="P170" s="37"/>
    </row>
    <row r="171" spans="2:44" s="6" customFormat="1" x14ac:dyDescent="0.2">
      <c r="B171" s="56" t="s">
        <v>244</v>
      </c>
      <c r="C171" s="57" t="s">
        <v>37</v>
      </c>
      <c r="D171" s="136" t="s">
        <v>114</v>
      </c>
    </row>
    <row r="172" spans="2:44" s="6" customFormat="1" x14ac:dyDescent="0.2">
      <c r="B172" s="50" t="s">
        <v>245</v>
      </c>
      <c r="C172" s="220">
        <v>35.799999999999997</v>
      </c>
      <c r="D172" s="219" t="s">
        <v>246</v>
      </c>
    </row>
    <row r="173" spans="2:44" s="6" customFormat="1" x14ac:dyDescent="0.2">
      <c r="B173" s="50" t="s">
        <v>247</v>
      </c>
      <c r="C173" s="220">
        <v>31.65</v>
      </c>
      <c r="D173" s="219" t="s">
        <v>246</v>
      </c>
    </row>
    <row r="174" spans="2:44" s="6" customFormat="1" x14ac:dyDescent="0.2">
      <c r="B174" s="50" t="s">
        <v>248</v>
      </c>
      <c r="C174" s="220">
        <v>35.17</v>
      </c>
      <c r="D174" s="219" t="s">
        <v>246</v>
      </c>
    </row>
    <row r="175" spans="2:44" s="6" customFormat="1" x14ac:dyDescent="0.2">
      <c r="B175" s="51" t="s">
        <v>249</v>
      </c>
      <c r="C175" s="213">
        <v>3.6</v>
      </c>
      <c r="D175" s="221" t="s">
        <v>250</v>
      </c>
    </row>
    <row r="176" spans="2:44" s="6" customFormat="1" x14ac:dyDescent="0.2">
      <c r="E176" s="38"/>
    </row>
    <row r="177" spans="5:8" s="6" customFormat="1" x14ac:dyDescent="0.2"/>
    <row r="178" spans="5:8" x14ac:dyDescent="0.2">
      <c r="E178" s="6"/>
      <c r="F178" s="6"/>
      <c r="H178" s="6"/>
    </row>
    <row r="179" spans="5:8" x14ac:dyDescent="0.2">
      <c r="E179" s="6"/>
      <c r="F179" s="6"/>
      <c r="H179" s="6"/>
    </row>
    <row r="180" spans="5:8" x14ac:dyDescent="0.2">
      <c r="E180" s="6"/>
      <c r="F180" s="6"/>
      <c r="H180" s="6"/>
    </row>
    <row r="181" spans="5:8" x14ac:dyDescent="0.2">
      <c r="H181" s="6"/>
    </row>
    <row r="182" spans="5:8" x14ac:dyDescent="0.2">
      <c r="H182" s="6"/>
    </row>
    <row r="183" spans="5:8" x14ac:dyDescent="0.2">
      <c r="H183" s="6"/>
    </row>
    <row r="184" spans="5:8" x14ac:dyDescent="0.2">
      <c r="H184" s="6"/>
    </row>
    <row r="185" spans="5:8" x14ac:dyDescent="0.2">
      <c r="H185" s="6"/>
    </row>
    <row r="186" spans="5:8" x14ac:dyDescent="0.2">
      <c r="H186" s="6"/>
    </row>
    <row r="187" spans="5:8" x14ac:dyDescent="0.2">
      <c r="H187" s="6"/>
    </row>
    <row r="188" spans="5:8" x14ac:dyDescent="0.2">
      <c r="H188" s="6"/>
    </row>
    <row r="189" spans="5:8" x14ac:dyDescent="0.2">
      <c r="H189" s="6"/>
    </row>
    <row r="190" spans="5:8" x14ac:dyDescent="0.2">
      <c r="H190" s="6"/>
    </row>
  </sheetData>
  <mergeCells count="88">
    <mergeCell ref="E103:M103"/>
    <mergeCell ref="B106:C106"/>
    <mergeCell ref="B107:C107"/>
    <mergeCell ref="B110:M110"/>
    <mergeCell ref="C160:D160"/>
    <mergeCell ref="E102:M102"/>
    <mergeCell ref="E89:M89"/>
    <mergeCell ref="E90:M90"/>
    <mergeCell ref="E91:M91"/>
    <mergeCell ref="E92:M92"/>
    <mergeCell ref="E93:M93"/>
    <mergeCell ref="E94:M94"/>
    <mergeCell ref="E96:M96"/>
    <mergeCell ref="E97:M97"/>
    <mergeCell ref="E98:M98"/>
    <mergeCell ref="E100:M100"/>
    <mergeCell ref="E101:M101"/>
    <mergeCell ref="E88:M88"/>
    <mergeCell ref="E75:M75"/>
    <mergeCell ref="E76:M76"/>
    <mergeCell ref="E77:M77"/>
    <mergeCell ref="E79:M79"/>
    <mergeCell ref="E80:M80"/>
    <mergeCell ref="E81:M81"/>
    <mergeCell ref="E82:M82"/>
    <mergeCell ref="E83:M83"/>
    <mergeCell ref="E84:M84"/>
    <mergeCell ref="E85:M85"/>
    <mergeCell ref="E86:M86"/>
    <mergeCell ref="E74:M74"/>
    <mergeCell ref="E62:M62"/>
    <mergeCell ref="E63:M63"/>
    <mergeCell ref="E64:M64"/>
    <mergeCell ref="E65:M65"/>
    <mergeCell ref="E66:M66"/>
    <mergeCell ref="E67:M67"/>
    <mergeCell ref="E68:M68"/>
    <mergeCell ref="E69:M69"/>
    <mergeCell ref="E70:M70"/>
    <mergeCell ref="E72:M72"/>
    <mergeCell ref="E73:M73"/>
    <mergeCell ref="E60:M60"/>
    <mergeCell ref="E49:M49"/>
    <mergeCell ref="E51:M51"/>
    <mergeCell ref="E52:M52"/>
    <mergeCell ref="E53:M53"/>
    <mergeCell ref="E54:M54"/>
    <mergeCell ref="E55:M55"/>
    <mergeCell ref="E56:M56"/>
    <mergeCell ref="E57:M57"/>
    <mergeCell ref="E58:M58"/>
    <mergeCell ref="E59:M59"/>
    <mergeCell ref="E47:M47"/>
    <mergeCell ref="E35:M35"/>
    <mergeCell ref="E36:M36"/>
    <mergeCell ref="E38:M38"/>
    <mergeCell ref="E39:M39"/>
    <mergeCell ref="E40:M40"/>
    <mergeCell ref="E41:M41"/>
    <mergeCell ref="E42:M42"/>
    <mergeCell ref="E43:M43"/>
    <mergeCell ref="E44:M44"/>
    <mergeCell ref="E45:M45"/>
    <mergeCell ref="E46:M46"/>
    <mergeCell ref="E34:M34"/>
    <mergeCell ref="E21:M21"/>
    <mergeCell ref="E22:M22"/>
    <mergeCell ref="E24:M24"/>
    <mergeCell ref="E25:M25"/>
    <mergeCell ref="E26:M26"/>
    <mergeCell ref="E27:M27"/>
    <mergeCell ref="E28:M28"/>
    <mergeCell ref="E29:M29"/>
    <mergeCell ref="E30:M30"/>
    <mergeCell ref="E32:M32"/>
    <mergeCell ref="E33:M33"/>
    <mergeCell ref="E20:M20"/>
    <mergeCell ref="E4:M4"/>
    <mergeCell ref="E5:M5"/>
    <mergeCell ref="E6:M6"/>
    <mergeCell ref="E8:M8"/>
    <mergeCell ref="E11:M11"/>
    <mergeCell ref="E12:M12"/>
    <mergeCell ref="E13:M13"/>
    <mergeCell ref="E15:M15"/>
    <mergeCell ref="E16:M16"/>
    <mergeCell ref="E17:M17"/>
    <mergeCell ref="E18:M18"/>
  </mergeCells>
  <conditionalFormatting sqref="G1:G3 G19 G109:G113 G148:G159 G163:G164 G166">
    <cfRule type="containsText" dxfId="20" priority="3" operator="containsText" text="Pas op">
      <formula>NOT(ISERROR(SEARCH("Pas op",G1)))</formula>
    </cfRule>
  </conditionalFormatting>
  <conditionalFormatting sqref="G104">
    <cfRule type="containsText" dxfId="19" priority="1" operator="containsText" text="Pas op">
      <formula>NOT(ISERROR(SEARCH("Pas op",G104)))</formula>
    </cfRule>
  </conditionalFormatting>
  <conditionalFormatting sqref="G176:G1048576">
    <cfRule type="containsText" dxfId="18" priority="2" operator="containsText" text="Pas op">
      <formula>NOT(ISERROR(SEARCH("Pas op",G176)))</formula>
    </cfRule>
  </conditionalFormatting>
  <dataValidations count="3">
    <dataValidation type="list" allowBlank="1" showInputMessage="1" showErrorMessage="1" sqref="C14" xr:uid="{D0727C81-B941-41D9-8B84-9D4044C18A15}">
      <formula1>"Nee,Ja,Geen warmte"</formula1>
    </dataValidation>
    <dataValidation type="list" allowBlank="1" showInputMessage="1" showErrorMessage="1" sqref="C7" xr:uid="{546A996B-D1C1-4042-986E-7F14FB68F1DD}">
      <formula1>"t CO2,kWh"</formula1>
    </dataValidation>
    <dataValidation type="list" allowBlank="1" showInputMessage="1" showErrorMessage="1" sqref="C37353 C102889 C168425 C233961 C299497 C365033 C430569 C496105 C561641 C627177 C692713 C758249 C823785 C889321 C954857" xr:uid="{A5FAF309-2D4F-4B2C-8469-7C3DE6F478A2}">
      <formula1>"ja,nee"</formula1>
    </dataValidation>
  </dataValidations>
  <pageMargins left="0.7" right="0.7" top="0.75" bottom="0.75" header="0.3" footer="0.3"/>
  <pageSetup paperSize="9" scale="14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551395-6703-4BFF-B324-02EDB5CD5BB9}">
  <sheetPr>
    <pageSetUpPr fitToPage="1"/>
  </sheetPr>
  <dimension ref="A1:AR190"/>
  <sheetViews>
    <sheetView showGridLines="0" zoomScaleNormal="100" workbookViewId="0"/>
  </sheetViews>
  <sheetFormatPr defaultColWidth="12.5703125" defaultRowHeight="12.75" x14ac:dyDescent="0.2"/>
  <cols>
    <col min="1" max="1" width="1.42578125" style="244" customWidth="1"/>
    <col min="2" max="2" width="53.42578125" style="244" customWidth="1"/>
    <col min="3" max="3" width="17.5703125" style="17" customWidth="1"/>
    <col min="4" max="4" width="29.42578125" style="17" bestFit="1" customWidth="1"/>
    <col min="5" max="5" width="20.42578125" style="244" customWidth="1"/>
    <col min="6" max="12" width="12.5703125" style="244" customWidth="1"/>
    <col min="13" max="13" width="15.42578125" style="244" customWidth="1"/>
    <col min="14" max="43" width="12.5703125" style="244" customWidth="1"/>
    <col min="44" max="16384" width="12.5703125" style="244"/>
  </cols>
  <sheetData>
    <row r="1" spans="1:44" ht="20.100000000000001" customHeight="1" x14ac:dyDescent="0.3">
      <c r="A1" s="16" t="str">
        <f>CONCATENATE("Berekening basisbedragen: ", Colofon!C16)</f>
        <v>Berekening basisbedragen: Advies TOWOZ 2026</v>
      </c>
    </row>
    <row r="2" spans="1:44" s="18" customFormat="1" ht="20.100000000000001" customHeight="1" x14ac:dyDescent="0.3">
      <c r="A2" s="142" t="s">
        <v>269</v>
      </c>
      <c r="C2" s="19"/>
      <c r="D2" s="19"/>
      <c r="G2" s="20"/>
    </row>
    <row r="4" spans="1:44" ht="15" customHeight="1" x14ac:dyDescent="0.25">
      <c r="B4" s="56" t="s">
        <v>124</v>
      </c>
      <c r="C4" s="57" t="s">
        <v>37</v>
      </c>
      <c r="D4" s="57" t="s">
        <v>114</v>
      </c>
      <c r="E4" s="262" t="s">
        <v>31</v>
      </c>
      <c r="F4" s="263"/>
      <c r="G4" s="263"/>
      <c r="H4" s="263"/>
      <c r="I4" s="263"/>
      <c r="J4" s="263"/>
      <c r="K4" s="263"/>
      <c r="L4" s="263"/>
      <c r="M4" s="255"/>
    </row>
    <row r="5" spans="1:44" ht="12.95" customHeight="1" x14ac:dyDescent="0.25">
      <c r="B5" s="50" t="s">
        <v>28</v>
      </c>
      <c r="C5" s="281">
        <f>ROUND((C157-C149)/C150,4)</f>
        <v>0.1032</v>
      </c>
      <c r="D5" s="52" t="str">
        <f>CONCATENATE("Euro/",$C$7)</f>
        <v>Euro/kWh</v>
      </c>
      <c r="E5" s="264" t="s">
        <v>125</v>
      </c>
      <c r="F5" s="265"/>
      <c r="G5" s="265"/>
      <c r="H5" s="265"/>
      <c r="I5" s="265"/>
      <c r="J5" s="265"/>
      <c r="K5" s="265"/>
      <c r="L5" s="265"/>
      <c r="M5" s="266"/>
    </row>
    <row r="6" spans="1:44" ht="12.95" customHeight="1" x14ac:dyDescent="0.25">
      <c r="B6" s="50" t="s">
        <v>27</v>
      </c>
      <c r="C6" s="71">
        <f>(ROUND(C5,4)-(ROUND(C164,4)+ROUND(C166,4)+ROUND(C167,4)+ROUND(C169,4)))/ROUND(C70,4)*1000</f>
        <v>212.35154394299286</v>
      </c>
      <c r="D6" s="53" t="s">
        <v>126</v>
      </c>
      <c r="E6" s="264" t="s">
        <v>127</v>
      </c>
      <c r="F6" s="265"/>
      <c r="G6" s="265"/>
      <c r="H6" s="265"/>
      <c r="I6" s="265"/>
      <c r="J6" s="265"/>
      <c r="K6" s="265"/>
      <c r="L6" s="265"/>
      <c r="M6" s="266"/>
    </row>
    <row r="7" spans="1:44" ht="12.95" customHeight="1" x14ac:dyDescent="0.2">
      <c r="B7" s="50" t="s">
        <v>34</v>
      </c>
      <c r="C7" s="79" t="s">
        <v>35</v>
      </c>
      <c r="D7" s="54"/>
      <c r="E7" s="137" t="s">
        <v>128</v>
      </c>
      <c r="F7" s="137"/>
      <c r="G7" s="137"/>
      <c r="H7" s="137"/>
      <c r="I7" s="137"/>
      <c r="J7" s="137"/>
      <c r="K7" s="137"/>
      <c r="L7" s="137"/>
      <c r="M7" s="243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</row>
    <row r="8" spans="1:44" ht="12.95" customHeight="1" x14ac:dyDescent="0.25">
      <c r="B8" s="50" t="s">
        <v>36</v>
      </c>
      <c r="C8" s="72" t="str">
        <f>IF(C7="kWh","kW",IF(C7="t CO2","t CO2/uur","foutmelding"))</f>
        <v>kW</v>
      </c>
      <c r="D8" s="54"/>
      <c r="E8" s="264"/>
      <c r="F8" s="265"/>
      <c r="G8" s="265"/>
      <c r="H8" s="265"/>
      <c r="I8" s="265"/>
      <c r="J8" s="265"/>
      <c r="K8" s="265"/>
      <c r="L8" s="265"/>
      <c r="M8" s="266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/>
      <c r="AO8" s="21"/>
      <c r="AP8" s="21"/>
      <c r="AQ8" s="21"/>
      <c r="AR8" s="21"/>
    </row>
    <row r="9" spans="1:44" ht="12.95" customHeight="1" x14ac:dyDescent="0.2">
      <c r="B9" s="51" t="s">
        <v>18</v>
      </c>
      <c r="C9" s="80" t="s">
        <v>21</v>
      </c>
      <c r="D9" s="55"/>
      <c r="E9" s="138" t="s">
        <v>129</v>
      </c>
      <c r="F9" s="138"/>
      <c r="G9" s="138"/>
      <c r="H9" s="138"/>
      <c r="I9" s="138"/>
      <c r="J9" s="138"/>
      <c r="K9" s="138"/>
      <c r="L9" s="138"/>
      <c r="M9" s="246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</row>
    <row r="10" spans="1:44" s="22" customFormat="1" ht="12.95" customHeight="1" x14ac:dyDescent="0.2">
      <c r="B10" s="21"/>
      <c r="C10" s="21"/>
      <c r="D10" s="21"/>
      <c r="E10" s="23"/>
      <c r="F10" s="23"/>
      <c r="G10" s="23"/>
      <c r="H10" s="23"/>
      <c r="I10" s="23"/>
      <c r="J10" s="23"/>
      <c r="K10" s="23"/>
      <c r="L10" s="23"/>
      <c r="M10" s="23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/>
      <c r="AP10" s="21"/>
      <c r="AQ10" s="21"/>
      <c r="AR10" s="21"/>
    </row>
    <row r="11" spans="1:44" ht="12.95" customHeight="1" x14ac:dyDescent="0.25">
      <c r="B11" s="56" t="s">
        <v>130</v>
      </c>
      <c r="C11" s="57" t="s">
        <v>37</v>
      </c>
      <c r="D11" s="57" t="s">
        <v>131</v>
      </c>
      <c r="E11" s="262" t="s">
        <v>31</v>
      </c>
      <c r="F11" s="263"/>
      <c r="G11" s="263"/>
      <c r="H11" s="263"/>
      <c r="I11" s="263"/>
      <c r="J11" s="263"/>
      <c r="K11" s="263"/>
      <c r="L11" s="263"/>
      <c r="M11" s="255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</row>
    <row r="12" spans="1:44" ht="12.95" customHeight="1" x14ac:dyDescent="0.25">
      <c r="B12" s="58" t="s">
        <v>38</v>
      </c>
      <c r="C12" s="140" t="s">
        <v>253</v>
      </c>
      <c r="D12" s="59" t="str">
        <f>_xlfn.XLOOKUP(C12,Correcties!A3:A3,Correcties!B3:B3,"")</f>
        <v>Elektriciteiit-WOZ (vanaf 2025)</v>
      </c>
      <c r="E12" s="267" t="str">
        <f>IFERROR(INDEX(Correcties!$A$1:$I$244,MATCH('IJv-b'!C12,Correcties!$A$1:$A$244,0),5),"")</f>
        <v>EPEX2 x PF_WOZ</v>
      </c>
      <c r="F12" s="263"/>
      <c r="G12" s="263"/>
      <c r="H12" s="263"/>
      <c r="I12" s="263"/>
      <c r="J12" s="263"/>
      <c r="K12" s="263"/>
      <c r="L12" s="263"/>
      <c r="M12" s="255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</row>
    <row r="13" spans="1:44" ht="12.95" customHeight="1" x14ac:dyDescent="0.25">
      <c r="B13" s="50" t="s">
        <v>39</v>
      </c>
      <c r="C13" s="140">
        <v>0</v>
      </c>
      <c r="D13" s="60" t="str">
        <f>_xlfn.XLOOKUP(C13,Correcties!A14:A14,Correcties!B14:B14)</f>
        <v>Geen ETS-correctie</v>
      </c>
      <c r="E13" s="264">
        <f>_xlfn.XLOOKUP(C13,Correcties!A14:A14,Correcties!E14:E14)</f>
        <v>0</v>
      </c>
      <c r="F13" s="265"/>
      <c r="G13" s="265"/>
      <c r="H13" s="265"/>
      <c r="I13" s="265"/>
      <c r="J13" s="265"/>
      <c r="K13" s="265"/>
      <c r="L13" s="265"/>
      <c r="M13" s="266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</row>
    <row r="14" spans="1:44" ht="12.95" customHeight="1" x14ac:dyDescent="0.2">
      <c r="B14" s="50" t="s">
        <v>132</v>
      </c>
      <c r="C14" s="79" t="s">
        <v>40</v>
      </c>
      <c r="D14" s="60" t="s">
        <v>133</v>
      </c>
      <c r="E14" s="137" t="s">
        <v>134</v>
      </c>
      <c r="F14" s="137"/>
      <c r="G14" s="137"/>
      <c r="H14" s="137"/>
      <c r="I14" s="137"/>
      <c r="J14" s="137"/>
      <c r="K14" s="137"/>
      <c r="L14" s="137"/>
      <c r="M14" s="243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</row>
    <row r="15" spans="1:44" ht="15" customHeight="1" x14ac:dyDescent="0.25">
      <c r="B15" s="50" t="s">
        <v>41</v>
      </c>
      <c r="C15" s="140"/>
      <c r="D15" s="53" t="str">
        <f>_xlfn.XLOOKUP(C15,Correcties!A3:A3,Correcties!B3:B3,"")</f>
        <v/>
      </c>
      <c r="E15" s="264" t="str">
        <f>"Enkel relevant voor zon-pv. "&amp;_xlfn.XLOOKUP(C15,Correcties!A3:A3,Correcties!E3:E3,"")</f>
        <v xml:space="preserve">Enkel relevant voor zon-pv. </v>
      </c>
      <c r="F15" s="265"/>
      <c r="G15" s="265"/>
      <c r="H15" s="265"/>
      <c r="I15" s="265"/>
      <c r="J15" s="265"/>
      <c r="K15" s="265"/>
      <c r="L15" s="265"/>
      <c r="M15" s="266"/>
    </row>
    <row r="16" spans="1:44" ht="15" customHeight="1" x14ac:dyDescent="0.25">
      <c r="B16" s="50" t="s">
        <v>42</v>
      </c>
      <c r="C16" s="140"/>
      <c r="D16" s="53" t="str">
        <f>_xlfn.XLOOKUP(C16,Correcties!A3:A3,Correcties!B3:B3,"")</f>
        <v/>
      </c>
      <c r="E16" s="264" t="str">
        <f>"Enkel relevant voor zon-pv. "&amp;_xlfn.XLOOKUP(C16,Correcties!A3:A3,Correcties!E3:E3,"")</f>
        <v xml:space="preserve">Enkel relevant voor zon-pv. </v>
      </c>
      <c r="F16" s="265"/>
      <c r="G16" s="265"/>
      <c r="H16" s="265"/>
      <c r="I16" s="265"/>
      <c r="J16" s="265"/>
      <c r="K16" s="265"/>
      <c r="L16" s="265"/>
      <c r="M16" s="266"/>
    </row>
    <row r="17" spans="2:13" ht="15" customHeight="1" x14ac:dyDescent="0.25">
      <c r="B17" s="50" t="s">
        <v>43</v>
      </c>
      <c r="C17" s="81"/>
      <c r="D17" s="53"/>
      <c r="E17" s="264" t="s">
        <v>135</v>
      </c>
      <c r="F17" s="265"/>
      <c r="G17" s="265"/>
      <c r="H17" s="265"/>
      <c r="I17" s="265"/>
      <c r="J17" s="265"/>
      <c r="K17" s="265"/>
      <c r="L17" s="265"/>
      <c r="M17" s="266"/>
    </row>
    <row r="18" spans="2:13" ht="15" customHeight="1" x14ac:dyDescent="0.25">
      <c r="B18" s="51" t="s">
        <v>44</v>
      </c>
      <c r="C18" s="82"/>
      <c r="D18" s="61"/>
      <c r="E18" s="268" t="s">
        <v>136</v>
      </c>
      <c r="F18" s="269"/>
      <c r="G18" s="269"/>
      <c r="H18" s="269"/>
      <c r="I18" s="269"/>
      <c r="J18" s="269"/>
      <c r="K18" s="269"/>
      <c r="L18" s="269"/>
      <c r="M18" s="270"/>
    </row>
    <row r="19" spans="2:13" x14ac:dyDescent="0.2">
      <c r="C19" s="24"/>
    </row>
    <row r="20" spans="2:13" ht="15" customHeight="1" x14ac:dyDescent="0.25">
      <c r="B20" s="56" t="s">
        <v>137</v>
      </c>
      <c r="C20" s="57" t="s">
        <v>37</v>
      </c>
      <c r="D20" s="57" t="s">
        <v>114</v>
      </c>
      <c r="E20" s="262" t="s">
        <v>31</v>
      </c>
      <c r="F20" s="263"/>
      <c r="G20" s="263"/>
      <c r="H20" s="263"/>
      <c r="I20" s="263"/>
      <c r="J20" s="263"/>
      <c r="K20" s="263"/>
      <c r="L20" s="263"/>
      <c r="M20" s="255"/>
    </row>
    <row r="21" spans="2:13" ht="15" customHeight="1" x14ac:dyDescent="0.25">
      <c r="B21" s="50" t="s">
        <v>45</v>
      </c>
      <c r="C21" s="79"/>
      <c r="D21" s="52" t="str">
        <f>C8</f>
        <v>kW</v>
      </c>
      <c r="E21" s="264"/>
      <c r="F21" s="265"/>
      <c r="G21" s="265"/>
      <c r="H21" s="265"/>
      <c r="I21" s="265"/>
      <c r="J21" s="265"/>
      <c r="K21" s="265"/>
      <c r="L21" s="265"/>
      <c r="M21" s="266"/>
    </row>
    <row r="22" spans="2:13" ht="12.95" customHeight="1" x14ac:dyDescent="0.25">
      <c r="B22" s="50" t="s">
        <v>46</v>
      </c>
      <c r="C22" s="178"/>
      <c r="D22" s="52"/>
      <c r="E22" s="264" t="s">
        <v>138</v>
      </c>
      <c r="F22" s="265"/>
      <c r="G22" s="265"/>
      <c r="H22" s="265"/>
      <c r="I22" s="265"/>
      <c r="J22" s="265"/>
      <c r="K22" s="265"/>
      <c r="L22" s="265"/>
      <c r="M22" s="266"/>
    </row>
    <row r="23" spans="2:13" x14ac:dyDescent="0.2">
      <c r="B23" s="50" t="s">
        <v>47</v>
      </c>
      <c r="C23" s="79"/>
      <c r="D23" s="53"/>
      <c r="E23" s="137" t="s">
        <v>139</v>
      </c>
      <c r="F23" s="137"/>
      <c r="G23" s="137"/>
      <c r="H23" s="137"/>
      <c r="I23" s="137"/>
      <c r="J23" s="137"/>
      <c r="K23" s="137"/>
      <c r="L23" s="137"/>
      <c r="M23" s="243"/>
    </row>
    <row r="24" spans="2:13" ht="15" customHeight="1" x14ac:dyDescent="0.25">
      <c r="B24" s="62" t="s">
        <v>140</v>
      </c>
      <c r="C24" s="83"/>
      <c r="D24" s="53"/>
      <c r="E24" s="264" t="s">
        <v>141</v>
      </c>
      <c r="F24" s="265"/>
      <c r="G24" s="265"/>
      <c r="H24" s="265"/>
      <c r="I24" s="265"/>
      <c r="J24" s="265"/>
      <c r="K24" s="265"/>
      <c r="L24" s="265"/>
      <c r="M24" s="266"/>
    </row>
    <row r="25" spans="2:13" ht="15" customHeight="1" x14ac:dyDescent="0.25">
      <c r="B25" s="62" t="s">
        <v>142</v>
      </c>
      <c r="C25" s="179">
        <f>IF(C23="JA",IF(C24&lt;&gt;"",C21*C175/C172/C24,0),0)</f>
        <v>0</v>
      </c>
      <c r="D25" s="53" t="s">
        <v>143</v>
      </c>
      <c r="E25" s="264"/>
      <c r="F25" s="265"/>
      <c r="G25" s="265"/>
      <c r="H25" s="265"/>
      <c r="I25" s="265"/>
      <c r="J25" s="265"/>
      <c r="K25" s="265"/>
      <c r="L25" s="265"/>
      <c r="M25" s="266"/>
    </row>
    <row r="26" spans="2:13" ht="15" customHeight="1" x14ac:dyDescent="0.25">
      <c r="B26" s="50" t="s">
        <v>48</v>
      </c>
      <c r="C26" s="79"/>
      <c r="D26" s="52" t="str">
        <f>C8</f>
        <v>kW</v>
      </c>
      <c r="E26" s="264" t="s">
        <v>144</v>
      </c>
      <c r="F26" s="265"/>
      <c r="G26" s="265"/>
      <c r="H26" s="265"/>
      <c r="I26" s="265"/>
      <c r="J26" s="265"/>
      <c r="K26" s="265"/>
      <c r="L26" s="265"/>
      <c r="M26" s="266"/>
    </row>
    <row r="27" spans="2:13" ht="15" customHeight="1" x14ac:dyDescent="0.25">
      <c r="B27" s="62" t="s">
        <v>145</v>
      </c>
      <c r="C27" s="179">
        <f>IF(C23="JA",IF(C26=0,,C26*C175/C173),0)</f>
        <v>0</v>
      </c>
      <c r="D27" s="53" t="s">
        <v>143</v>
      </c>
      <c r="E27" s="264"/>
      <c r="F27" s="265"/>
      <c r="G27" s="265"/>
      <c r="H27" s="265"/>
      <c r="I27" s="265"/>
      <c r="J27" s="265"/>
      <c r="K27" s="265"/>
      <c r="L27" s="265"/>
      <c r="M27" s="266"/>
    </row>
    <row r="28" spans="2:13" ht="15" customHeight="1" x14ac:dyDescent="0.25">
      <c r="B28" s="50" t="s">
        <v>49</v>
      </c>
      <c r="C28" s="84">
        <v>1000000</v>
      </c>
      <c r="D28" s="52" t="str">
        <f>C8</f>
        <v>kW</v>
      </c>
      <c r="E28" s="264" t="s">
        <v>146</v>
      </c>
      <c r="F28" s="265"/>
      <c r="G28" s="265"/>
      <c r="H28" s="265"/>
      <c r="I28" s="265"/>
      <c r="J28" s="265"/>
      <c r="K28" s="265"/>
      <c r="L28" s="265"/>
      <c r="M28" s="266"/>
    </row>
    <row r="29" spans="2:13" ht="15" customHeight="1" x14ac:dyDescent="0.25">
      <c r="B29" s="50" t="s">
        <v>50</v>
      </c>
      <c r="C29" s="84"/>
      <c r="D29" s="53" t="s">
        <v>147</v>
      </c>
      <c r="E29" s="264" t="s">
        <v>148</v>
      </c>
      <c r="F29" s="265"/>
      <c r="G29" s="265"/>
      <c r="H29" s="265"/>
      <c r="I29" s="265"/>
      <c r="J29" s="265"/>
      <c r="K29" s="265"/>
      <c r="L29" s="265"/>
      <c r="M29" s="266"/>
    </row>
    <row r="30" spans="2:13" ht="15" customHeight="1" x14ac:dyDescent="0.25">
      <c r="B30" s="51" t="s">
        <v>51</v>
      </c>
      <c r="C30" s="80">
        <v>3659.36</v>
      </c>
      <c r="D30" s="61" t="s">
        <v>147</v>
      </c>
      <c r="E30" s="268" t="s">
        <v>148</v>
      </c>
      <c r="F30" s="269"/>
      <c r="G30" s="269"/>
      <c r="H30" s="269"/>
      <c r="I30" s="269"/>
      <c r="J30" s="269"/>
      <c r="K30" s="269"/>
      <c r="L30" s="269"/>
      <c r="M30" s="270"/>
    </row>
    <row r="31" spans="2:13" x14ac:dyDescent="0.2">
      <c r="C31" s="25"/>
      <c r="E31" s="141"/>
      <c r="F31" s="141"/>
      <c r="G31" s="141"/>
      <c r="H31" s="141"/>
      <c r="I31" s="141"/>
      <c r="J31" s="141"/>
      <c r="K31" s="141"/>
      <c r="L31" s="141"/>
      <c r="M31" s="141"/>
    </row>
    <row r="32" spans="2:13" ht="15" customHeight="1" x14ac:dyDescent="0.25">
      <c r="B32" s="56" t="s">
        <v>149</v>
      </c>
      <c r="C32" s="57" t="s">
        <v>37</v>
      </c>
      <c r="D32" s="57" t="s">
        <v>114</v>
      </c>
      <c r="E32" s="262" t="s">
        <v>31</v>
      </c>
      <c r="F32" s="263"/>
      <c r="G32" s="263"/>
      <c r="H32" s="263"/>
      <c r="I32" s="263"/>
      <c r="J32" s="263"/>
      <c r="K32" s="263"/>
      <c r="L32" s="263"/>
      <c r="M32" s="255"/>
    </row>
    <row r="33" spans="2:13" ht="15" customHeight="1" x14ac:dyDescent="0.25">
      <c r="B33" s="50" t="s">
        <v>52</v>
      </c>
      <c r="C33" s="180">
        <f>IF(C21&gt;0,C28/C21,IF(C28&gt;0,1,0))</f>
        <v>1</v>
      </c>
      <c r="D33" s="53"/>
      <c r="E33" s="264"/>
      <c r="F33" s="265"/>
      <c r="G33" s="265"/>
      <c r="H33" s="265"/>
      <c r="I33" s="265"/>
      <c r="J33" s="265"/>
      <c r="K33" s="265"/>
      <c r="L33" s="265"/>
      <c r="M33" s="266"/>
    </row>
    <row r="34" spans="2:13" ht="15" customHeight="1" x14ac:dyDescent="0.25">
      <c r="B34" s="50" t="s">
        <v>53</v>
      </c>
      <c r="C34" s="180">
        <f>IF(C28&gt;0,C33-C36*C33*(C26*C29)/(C28*C30),)</f>
        <v>1</v>
      </c>
      <c r="D34" s="53"/>
      <c r="E34" s="264"/>
      <c r="F34" s="265"/>
      <c r="G34" s="265"/>
      <c r="H34" s="265"/>
      <c r="I34" s="265"/>
      <c r="J34" s="265"/>
      <c r="K34" s="265"/>
      <c r="L34" s="265"/>
      <c r="M34" s="266"/>
    </row>
    <row r="35" spans="2:13" ht="15" customHeight="1" x14ac:dyDescent="0.25">
      <c r="B35" s="50" t="s">
        <v>54</v>
      </c>
      <c r="C35" s="73">
        <f>IF(C21&gt;0,C26/C21,0)</f>
        <v>0</v>
      </c>
      <c r="D35" s="53"/>
      <c r="E35" s="264"/>
      <c r="F35" s="265"/>
      <c r="G35" s="265"/>
      <c r="H35" s="265"/>
      <c r="I35" s="265"/>
      <c r="J35" s="265"/>
      <c r="K35" s="265"/>
      <c r="L35" s="265"/>
      <c r="M35" s="266"/>
    </row>
    <row r="36" spans="2:13" ht="15" customHeight="1" x14ac:dyDescent="0.25">
      <c r="B36" s="51" t="s">
        <v>55</v>
      </c>
      <c r="C36" s="86"/>
      <c r="D36" s="61" t="s">
        <v>150</v>
      </c>
      <c r="E36" s="268" t="s">
        <v>151</v>
      </c>
      <c r="F36" s="269"/>
      <c r="G36" s="269"/>
      <c r="H36" s="269"/>
      <c r="I36" s="269"/>
      <c r="J36" s="269"/>
      <c r="K36" s="269"/>
      <c r="L36" s="269"/>
      <c r="M36" s="270"/>
    </row>
    <row r="37" spans="2:13" x14ac:dyDescent="0.2">
      <c r="C37" s="26"/>
      <c r="E37" s="141"/>
      <c r="F37" s="141"/>
      <c r="G37" s="141"/>
      <c r="H37" s="141"/>
      <c r="I37" s="141"/>
      <c r="J37" s="141"/>
      <c r="K37" s="141"/>
      <c r="L37" s="141"/>
      <c r="M37" s="141"/>
    </row>
    <row r="38" spans="2:13" ht="15" customHeight="1" x14ac:dyDescent="0.25">
      <c r="B38" s="56" t="s">
        <v>56</v>
      </c>
      <c r="C38" s="57" t="s">
        <v>37</v>
      </c>
      <c r="D38" s="57" t="s">
        <v>114</v>
      </c>
      <c r="E38" s="262" t="s">
        <v>31</v>
      </c>
      <c r="F38" s="263"/>
      <c r="G38" s="263"/>
      <c r="H38" s="263"/>
      <c r="I38" s="263"/>
      <c r="J38" s="263"/>
      <c r="K38" s="263"/>
      <c r="L38" s="263"/>
      <c r="M38" s="255"/>
    </row>
    <row r="39" spans="2:13" ht="15" customHeight="1" x14ac:dyDescent="0.25">
      <c r="B39" s="63" t="s">
        <v>152</v>
      </c>
      <c r="C39" s="84"/>
      <c r="D39" s="53" t="str">
        <f>CONCATENATE("Euro/",$C$8)</f>
        <v>Euro/kW</v>
      </c>
      <c r="E39" s="264" t="s">
        <v>153</v>
      </c>
      <c r="F39" s="265"/>
      <c r="G39" s="265"/>
      <c r="H39" s="265"/>
      <c r="I39" s="265"/>
      <c r="J39" s="265"/>
      <c r="K39" s="265"/>
      <c r="L39" s="265"/>
      <c r="M39" s="266"/>
    </row>
    <row r="40" spans="2:13" ht="15" customHeight="1" x14ac:dyDescent="0.25">
      <c r="B40" s="63" t="s">
        <v>154</v>
      </c>
      <c r="C40" s="79">
        <v>2981.2166501832658</v>
      </c>
      <c r="D40" s="53" t="str">
        <f>CONCATENATE("Euro/",$C$8)</f>
        <v>Euro/kW</v>
      </c>
      <c r="E40" s="264" t="s">
        <v>277</v>
      </c>
      <c r="F40" s="265"/>
      <c r="G40" s="265"/>
      <c r="H40" s="265"/>
      <c r="I40" s="265"/>
      <c r="J40" s="265"/>
      <c r="K40" s="265"/>
      <c r="L40" s="265"/>
      <c r="M40" s="266"/>
    </row>
    <row r="41" spans="2:13" ht="15" customHeight="1" x14ac:dyDescent="0.25">
      <c r="B41" s="50" t="s">
        <v>57</v>
      </c>
      <c r="C41" s="181">
        <f>((C21*C39+SUM(C26,C28)*C40)*(1+D103*C92))/1000000</f>
        <v>3003.5757750596404</v>
      </c>
      <c r="D41" s="53" t="s">
        <v>155</v>
      </c>
      <c r="E41" s="271"/>
      <c r="F41" s="265"/>
      <c r="G41" s="265"/>
      <c r="H41" s="265"/>
      <c r="I41" s="265"/>
      <c r="J41" s="265"/>
      <c r="K41" s="265"/>
      <c r="L41" s="265"/>
      <c r="M41" s="266"/>
    </row>
    <row r="42" spans="2:13" ht="15" customHeight="1" x14ac:dyDescent="0.25">
      <c r="B42" s="63" t="s">
        <v>156</v>
      </c>
      <c r="C42" s="178"/>
      <c r="D42" s="53" t="str">
        <f>CONCATENATE("Euro/",$C$8,"/jaar")</f>
        <v>Euro/kW/jaar</v>
      </c>
      <c r="E42" s="264" t="s">
        <v>157</v>
      </c>
      <c r="F42" s="265"/>
      <c r="G42" s="265"/>
      <c r="H42" s="265"/>
      <c r="I42" s="265"/>
      <c r="J42" s="265"/>
      <c r="K42" s="265"/>
      <c r="L42" s="265"/>
      <c r="M42" s="266"/>
    </row>
    <row r="43" spans="2:13" ht="15" customHeight="1" x14ac:dyDescent="0.25">
      <c r="B43" s="63" t="s">
        <v>158</v>
      </c>
      <c r="C43" s="178">
        <v>47.176695509382</v>
      </c>
      <c r="D43" s="53" t="str">
        <f>CONCATENATE("Euro/",$C$8,"/jaar")</f>
        <v>Euro/kW/jaar</v>
      </c>
      <c r="E43" s="264" t="s">
        <v>157</v>
      </c>
      <c r="F43" s="265"/>
      <c r="G43" s="265"/>
      <c r="H43" s="265"/>
      <c r="I43" s="265"/>
      <c r="J43" s="265"/>
      <c r="K43" s="265"/>
      <c r="L43" s="265"/>
      <c r="M43" s="266"/>
    </row>
    <row r="44" spans="2:13" ht="15" customHeight="1" x14ac:dyDescent="0.25">
      <c r="B44" s="50" t="s">
        <v>58</v>
      </c>
      <c r="C44" s="74">
        <f>(C42*C21+C43*SUM(C26,C28))/1000</f>
        <v>47176.695509382</v>
      </c>
      <c r="D44" s="53" t="s">
        <v>159</v>
      </c>
      <c r="E44" s="271" t="s">
        <v>160</v>
      </c>
      <c r="F44" s="265"/>
      <c r="G44" s="265"/>
      <c r="H44" s="265"/>
      <c r="I44" s="265"/>
      <c r="J44" s="265"/>
      <c r="K44" s="265"/>
      <c r="L44" s="265"/>
      <c r="M44" s="266"/>
    </row>
    <row r="45" spans="2:13" ht="15" customHeight="1" x14ac:dyDescent="0.25">
      <c r="B45" s="50" t="s">
        <v>161</v>
      </c>
      <c r="C45" s="182"/>
      <c r="D45" s="53" t="str">
        <f>CONCATENATE("Euro/",$C$7)</f>
        <v>Euro/kWh</v>
      </c>
      <c r="E45" s="264" t="str">
        <f>CONCATENATE("Het betreft de inkoopkosten voor elektriciteit, per ", $C$7," output")</f>
        <v>Het betreft de inkoopkosten voor elektriciteit, per kWh output</v>
      </c>
      <c r="F45" s="265"/>
      <c r="G45" s="265"/>
      <c r="H45" s="265"/>
      <c r="I45" s="265"/>
      <c r="J45" s="265"/>
      <c r="K45" s="265"/>
      <c r="L45" s="265"/>
      <c r="M45" s="266"/>
    </row>
    <row r="46" spans="2:13" ht="15" customHeight="1" x14ac:dyDescent="0.25">
      <c r="B46" s="50" t="s">
        <v>162</v>
      </c>
      <c r="C46" s="182"/>
      <c r="D46" s="53" t="str">
        <f>CONCATENATE("Euro/",$C$7)</f>
        <v>Euro/kWh</v>
      </c>
      <c r="E46" s="264" t="str">
        <f>CONCATENATE("Het betreft de inkoopkosten voor gas, per ", $C$7," output")</f>
        <v>Het betreft de inkoopkosten voor gas, per kWh output</v>
      </c>
      <c r="F46" s="265"/>
      <c r="G46" s="265"/>
      <c r="H46" s="265"/>
      <c r="I46" s="265"/>
      <c r="J46" s="265"/>
      <c r="K46" s="265"/>
      <c r="L46" s="265"/>
      <c r="M46" s="266"/>
    </row>
    <row r="47" spans="2:13" ht="15" customHeight="1" x14ac:dyDescent="0.25">
      <c r="B47" s="50" t="s">
        <v>163</v>
      </c>
      <c r="C47" s="182"/>
      <c r="D47" s="53" t="str">
        <f>CONCATENATE("Euro/",$C$7)</f>
        <v>Euro/kWh</v>
      </c>
      <c r="E47" s="264" t="str">
        <f>CONCATENATE("Het betreft de inkoopkosten voor warmte, per ", $C$7," output")</f>
        <v>Het betreft de inkoopkosten voor warmte, per kWh output</v>
      </c>
      <c r="F47" s="265"/>
      <c r="G47" s="265"/>
      <c r="H47" s="265"/>
      <c r="I47" s="265"/>
      <c r="J47" s="265"/>
      <c r="K47" s="265"/>
      <c r="L47" s="265"/>
      <c r="M47" s="266"/>
    </row>
    <row r="48" spans="2:13" ht="15" customHeight="1" x14ac:dyDescent="0.25">
      <c r="B48" s="50" t="s">
        <v>59</v>
      </c>
      <c r="C48" s="182">
        <v>0.01</v>
      </c>
      <c r="D48" s="53" t="str">
        <f>CONCATENATE("Euro/",$C$7)</f>
        <v>Euro/kWh</v>
      </c>
      <c r="E48" s="243" t="s">
        <v>275</v>
      </c>
      <c r="M48" s="245"/>
    </row>
    <row r="49" spans="2:13" ht="15" customHeight="1" x14ac:dyDescent="0.25">
      <c r="B49" s="51" t="s">
        <v>164</v>
      </c>
      <c r="C49" s="183">
        <f>SUM(C45:C48)</f>
        <v>0.01</v>
      </c>
      <c r="D49" s="61" t="str">
        <f>CONCATENATE("Euro/",$C$7)</f>
        <v>Euro/kWh</v>
      </c>
      <c r="E49" s="272"/>
      <c r="F49" s="269"/>
      <c r="G49" s="269"/>
      <c r="H49" s="269"/>
      <c r="I49" s="269"/>
      <c r="J49" s="269"/>
      <c r="K49" s="269"/>
      <c r="L49" s="269"/>
      <c r="M49" s="270"/>
    </row>
    <row r="50" spans="2:13" x14ac:dyDescent="0.2">
      <c r="C50" s="26"/>
      <c r="E50" s="141"/>
      <c r="F50" s="141"/>
      <c r="G50" s="141"/>
      <c r="H50" s="141"/>
      <c r="I50" s="141"/>
      <c r="J50" s="141"/>
      <c r="K50" s="141"/>
      <c r="L50" s="141"/>
      <c r="M50" s="141"/>
    </row>
    <row r="51" spans="2:13" ht="15" customHeight="1" x14ac:dyDescent="0.25">
      <c r="B51" s="64" t="s">
        <v>60</v>
      </c>
      <c r="C51" s="57" t="s">
        <v>37</v>
      </c>
      <c r="D51" s="57" t="s">
        <v>114</v>
      </c>
      <c r="E51" s="262" t="s">
        <v>31</v>
      </c>
      <c r="F51" s="263"/>
      <c r="G51" s="263"/>
      <c r="H51" s="263"/>
      <c r="I51" s="263"/>
      <c r="J51" s="263"/>
      <c r="K51" s="263"/>
      <c r="L51" s="263"/>
      <c r="M51" s="255"/>
    </row>
    <row r="52" spans="2:13" ht="15" customHeight="1" x14ac:dyDescent="0.25">
      <c r="B52" s="50" t="s">
        <v>61</v>
      </c>
      <c r="C52" s="81"/>
      <c r="D52" s="53" t="s">
        <v>165</v>
      </c>
      <c r="E52" s="264"/>
      <c r="F52" s="265"/>
      <c r="G52" s="265"/>
      <c r="H52" s="265"/>
      <c r="I52" s="265"/>
      <c r="J52" s="265"/>
      <c r="K52" s="265"/>
      <c r="L52" s="265"/>
      <c r="M52" s="266"/>
    </row>
    <row r="53" spans="2:13" ht="15" customHeight="1" x14ac:dyDescent="0.25">
      <c r="B53" s="50" t="s">
        <v>62</v>
      </c>
      <c r="C53" s="179">
        <f>IF(C52=0,,C21*MAX(C29,C30)*C175/C52/1000)</f>
        <v>0</v>
      </c>
      <c r="D53" s="53" t="s">
        <v>166</v>
      </c>
      <c r="E53" s="273"/>
      <c r="F53" s="265"/>
      <c r="G53" s="265"/>
      <c r="H53" s="265"/>
      <c r="I53" s="265"/>
      <c r="J53" s="265"/>
      <c r="K53" s="265"/>
      <c r="L53" s="265"/>
      <c r="M53" s="266"/>
    </row>
    <row r="54" spans="2:13" ht="15" customHeight="1" x14ac:dyDescent="0.25">
      <c r="B54" s="50" t="s">
        <v>63</v>
      </c>
      <c r="C54" s="87"/>
      <c r="D54" s="53" t="s">
        <v>167</v>
      </c>
      <c r="E54" s="264" t="s">
        <v>168</v>
      </c>
      <c r="F54" s="265"/>
      <c r="G54" s="265"/>
      <c r="H54" s="265"/>
      <c r="I54" s="265"/>
      <c r="J54" s="265"/>
      <c r="K54" s="265"/>
      <c r="L54" s="265"/>
      <c r="M54" s="266"/>
    </row>
    <row r="55" spans="2:13" ht="15" customHeight="1" x14ac:dyDescent="0.25">
      <c r="B55" s="50" t="s">
        <v>64</v>
      </c>
      <c r="C55" s="87"/>
      <c r="D55" s="53" t="str">
        <f>CONCATENATE("kWh/",$C$7)</f>
        <v>kWh/kWh</v>
      </c>
      <c r="E55" s="264"/>
      <c r="F55" s="265"/>
      <c r="G55" s="265"/>
      <c r="H55" s="265"/>
      <c r="I55" s="265"/>
      <c r="J55" s="265"/>
      <c r="K55" s="265"/>
      <c r="L55" s="265"/>
      <c r="M55" s="266"/>
    </row>
    <row r="56" spans="2:13" ht="15" customHeight="1" x14ac:dyDescent="0.25">
      <c r="B56" s="50" t="s">
        <v>65</v>
      </c>
      <c r="C56" s="179">
        <f>IF(C55=0,,MAX(C26,C28)*MAX(C29,C30)*C55*10^(-3))</f>
        <v>0</v>
      </c>
      <c r="D56" s="53" t="s">
        <v>169</v>
      </c>
      <c r="E56" s="264"/>
      <c r="F56" s="265"/>
      <c r="G56" s="265"/>
      <c r="H56" s="265"/>
      <c r="I56" s="265"/>
      <c r="J56" s="265"/>
      <c r="K56" s="265"/>
      <c r="L56" s="265"/>
      <c r="M56" s="266"/>
    </row>
    <row r="57" spans="2:13" ht="15" customHeight="1" x14ac:dyDescent="0.25">
      <c r="B57" s="50" t="s">
        <v>66</v>
      </c>
      <c r="C57" s="87"/>
      <c r="D57" s="53" t="str">
        <f>CONCATENATE("kWh/",$C$7)</f>
        <v>kWh/kWh</v>
      </c>
      <c r="E57" s="264"/>
      <c r="F57" s="265"/>
      <c r="G57" s="265"/>
      <c r="H57" s="265"/>
      <c r="I57" s="265"/>
      <c r="J57" s="265"/>
      <c r="K57" s="265"/>
      <c r="L57" s="265"/>
      <c r="M57" s="266"/>
    </row>
    <row r="58" spans="2:13" ht="15" customHeight="1" x14ac:dyDescent="0.25">
      <c r="B58" s="50" t="s">
        <v>67</v>
      </c>
      <c r="C58" s="179">
        <f>IF(C57=0,,MAX($C$26,$C$28)*MAX($C$29,$C$30)*C57/1000)</f>
        <v>0</v>
      </c>
      <c r="D58" s="53" t="s">
        <v>169</v>
      </c>
      <c r="E58" s="264"/>
      <c r="F58" s="265"/>
      <c r="G58" s="265"/>
      <c r="H58" s="265"/>
      <c r="I58" s="265"/>
      <c r="J58" s="265"/>
      <c r="K58" s="265"/>
      <c r="L58" s="265"/>
      <c r="M58" s="266"/>
    </row>
    <row r="59" spans="2:13" ht="15" customHeight="1" x14ac:dyDescent="0.25">
      <c r="B59" s="50" t="s">
        <v>68</v>
      </c>
      <c r="C59" s="87"/>
      <c r="D59" s="53" t="str">
        <f>CONCATENATE("kWh/",$C$7)</f>
        <v>kWh/kWh</v>
      </c>
      <c r="E59" s="264"/>
      <c r="F59" s="265"/>
      <c r="G59" s="265"/>
      <c r="H59" s="265"/>
      <c r="I59" s="265"/>
      <c r="J59" s="265"/>
      <c r="K59" s="265"/>
      <c r="L59" s="265"/>
      <c r="M59" s="266"/>
    </row>
    <row r="60" spans="2:13" ht="15" customHeight="1" x14ac:dyDescent="0.25">
      <c r="B60" s="51" t="s">
        <v>69</v>
      </c>
      <c r="C60" s="184">
        <f>IF(C59=0,,MAX($C$26,$C$28)*MAX($C$29,$C$30)*C59/1000)</f>
        <v>0</v>
      </c>
      <c r="D60" s="61" t="s">
        <v>169</v>
      </c>
      <c r="E60" s="268"/>
      <c r="F60" s="269"/>
      <c r="G60" s="269"/>
      <c r="H60" s="269"/>
      <c r="I60" s="269"/>
      <c r="J60" s="269"/>
      <c r="K60" s="269"/>
      <c r="L60" s="269"/>
      <c r="M60" s="270"/>
    </row>
    <row r="61" spans="2:13" x14ac:dyDescent="0.2">
      <c r="C61" s="26"/>
      <c r="E61" s="141"/>
      <c r="F61" s="141"/>
      <c r="G61" s="141"/>
      <c r="H61" s="141"/>
      <c r="I61" s="141"/>
      <c r="J61" s="141"/>
      <c r="K61" s="141"/>
      <c r="L61" s="141"/>
      <c r="M61" s="141"/>
    </row>
    <row r="62" spans="2:13" ht="15" customHeight="1" x14ac:dyDescent="0.25">
      <c r="B62" s="64" t="s">
        <v>70</v>
      </c>
      <c r="C62" s="57" t="s">
        <v>37</v>
      </c>
      <c r="D62" s="57" t="s">
        <v>114</v>
      </c>
      <c r="E62" s="262" t="s">
        <v>31</v>
      </c>
      <c r="F62" s="263"/>
      <c r="G62" s="263"/>
      <c r="H62" s="263"/>
      <c r="I62" s="263"/>
      <c r="J62" s="263"/>
      <c r="K62" s="263"/>
      <c r="L62" s="263"/>
      <c r="M62" s="255"/>
    </row>
    <row r="63" spans="2:13" ht="15" customHeight="1" x14ac:dyDescent="0.25">
      <c r="B63" s="50" t="s">
        <v>71</v>
      </c>
      <c r="C63" s="94"/>
      <c r="D63" s="53" t="str">
        <f>IF(AND(C26&gt;0,C23=""),CONCATENATE("kg CO2/",$C$7),"kg CO2/kWh")</f>
        <v>kg CO2/kWh</v>
      </c>
      <c r="E63" s="264"/>
      <c r="F63" s="265"/>
      <c r="G63" s="265"/>
      <c r="H63" s="265"/>
      <c r="I63" s="265"/>
      <c r="J63" s="265"/>
      <c r="K63" s="265"/>
      <c r="L63" s="265"/>
      <c r="M63" s="266"/>
    </row>
    <row r="64" spans="2:13" ht="15" customHeight="1" x14ac:dyDescent="0.25">
      <c r="B64" s="50" t="s">
        <v>72</v>
      </c>
      <c r="C64" s="94">
        <v>8.7999999999999995E-2</v>
      </c>
      <c r="D64" s="53" t="str">
        <f>IF(C28&gt;0,CONCATENATE("kg CO2/",$C$7),"kg CO2/kWh")</f>
        <v>kg CO2/kWh</v>
      </c>
      <c r="E64" s="264"/>
      <c r="F64" s="265"/>
      <c r="G64" s="265"/>
      <c r="H64" s="265"/>
      <c r="I64" s="265"/>
      <c r="J64" s="265"/>
      <c r="K64" s="265"/>
      <c r="L64" s="265"/>
      <c r="M64" s="266"/>
    </row>
    <row r="65" spans="2:13" ht="15" customHeight="1" x14ac:dyDescent="0.25">
      <c r="B65" s="50" t="s">
        <v>73</v>
      </c>
      <c r="C65" s="94"/>
      <c r="D65" s="53" t="str">
        <f>IF(C23="Ja",CONCATENATE("kg CO2/",$C$7),"kg CO2/kWh")</f>
        <v>kg CO2/kWh</v>
      </c>
      <c r="E65" s="264"/>
      <c r="F65" s="265"/>
      <c r="G65" s="265"/>
      <c r="H65" s="265"/>
      <c r="I65" s="265"/>
      <c r="J65" s="265"/>
      <c r="K65" s="265"/>
      <c r="L65" s="265"/>
      <c r="M65" s="266"/>
    </row>
    <row r="66" spans="2:13" ht="15" customHeight="1" x14ac:dyDescent="0.25">
      <c r="B66" s="50" t="s">
        <v>74</v>
      </c>
      <c r="C66" s="87"/>
      <c r="D66" s="53" t="s">
        <v>170</v>
      </c>
      <c r="E66" s="264" t="s">
        <v>171</v>
      </c>
      <c r="F66" s="265"/>
      <c r="G66" s="265"/>
      <c r="H66" s="265"/>
      <c r="I66" s="265"/>
      <c r="J66" s="265"/>
      <c r="K66" s="265"/>
      <c r="L66" s="265"/>
      <c r="M66" s="266"/>
    </row>
    <row r="67" spans="2:13" ht="15" customHeight="1" x14ac:dyDescent="0.25">
      <c r="B67" s="50" t="s">
        <v>75</v>
      </c>
      <c r="C67" s="185"/>
      <c r="D67" s="53" t="s">
        <v>172</v>
      </c>
      <c r="E67" s="264"/>
      <c r="F67" s="265"/>
      <c r="G67" s="265"/>
      <c r="H67" s="265"/>
      <c r="I67" s="265"/>
      <c r="J67" s="265"/>
      <c r="K67" s="265"/>
      <c r="L67" s="265"/>
      <c r="M67" s="266"/>
    </row>
    <row r="68" spans="2:13" ht="15" customHeight="1" x14ac:dyDescent="0.25">
      <c r="B68" s="50" t="s">
        <v>76</v>
      </c>
      <c r="C68" s="185"/>
      <c r="D68" s="53" t="s">
        <v>172</v>
      </c>
      <c r="E68" s="264"/>
      <c r="F68" s="265"/>
      <c r="G68" s="265"/>
      <c r="H68" s="265"/>
      <c r="I68" s="265"/>
      <c r="J68" s="265"/>
      <c r="K68" s="265"/>
      <c r="L68" s="265"/>
      <c r="M68" s="266"/>
    </row>
    <row r="69" spans="2:13" ht="15" customHeight="1" x14ac:dyDescent="0.25">
      <c r="B69" s="50" t="s">
        <v>77</v>
      </c>
      <c r="C69" s="185"/>
      <c r="D69" s="53" t="s">
        <v>172</v>
      </c>
      <c r="E69" s="264"/>
      <c r="F69" s="265"/>
      <c r="G69" s="265"/>
      <c r="H69" s="265"/>
      <c r="I69" s="265"/>
      <c r="J69" s="265"/>
      <c r="K69" s="265"/>
      <c r="L69" s="265"/>
      <c r="M69" s="266"/>
    </row>
    <row r="70" spans="2:13" ht="15" customHeight="1" x14ac:dyDescent="0.25">
      <c r="B70" s="65" t="s">
        <v>173</v>
      </c>
      <c r="C70" s="75">
        <f>ROUND((IF($C$23="Ja",$C$65,($C$64*IF($C$17&gt;0,1/$C$17,1)*$C$28*$C$30+$C$63*$C$26*$C$29)/($C$28*$C$30+$C$26*$C$29))-$C$55*$C$68-$C$57*$C$67-$C$69*$C$59+(-$C$53*$C$66)/(($C$28*$C$30)+($C$26*$C$29)))*C86,4)</f>
        <v>0.21049999999999999</v>
      </c>
      <c r="D70" s="61" t="str">
        <f>CONCATENATE("kg CO2/",$C$7)</f>
        <v>kg CO2/kWh</v>
      </c>
      <c r="E70" s="268"/>
      <c r="F70" s="269"/>
      <c r="G70" s="269"/>
      <c r="H70" s="269"/>
      <c r="I70" s="269"/>
      <c r="J70" s="269"/>
      <c r="K70" s="269"/>
      <c r="L70" s="269"/>
      <c r="M70" s="270"/>
    </row>
    <row r="71" spans="2:13" x14ac:dyDescent="0.2">
      <c r="C71" s="26"/>
      <c r="E71" s="141"/>
      <c r="F71" s="141"/>
      <c r="G71" s="141"/>
      <c r="H71" s="141"/>
      <c r="I71" s="141"/>
      <c r="J71" s="141"/>
      <c r="K71" s="141"/>
      <c r="L71" s="141"/>
      <c r="M71" s="141"/>
    </row>
    <row r="72" spans="2:13" ht="15" customHeight="1" x14ac:dyDescent="0.25">
      <c r="B72" s="64" t="s">
        <v>78</v>
      </c>
      <c r="C72" s="57" t="s">
        <v>37</v>
      </c>
      <c r="D72" s="57" t="s">
        <v>114</v>
      </c>
      <c r="E72" s="262" t="s">
        <v>31</v>
      </c>
      <c r="F72" s="263"/>
      <c r="G72" s="263"/>
      <c r="H72" s="263"/>
      <c r="I72" s="263"/>
      <c r="J72" s="263"/>
      <c r="K72" s="263"/>
      <c r="L72" s="263"/>
      <c r="M72" s="255"/>
    </row>
    <row r="73" spans="2:13" ht="15" customHeight="1" x14ac:dyDescent="0.25">
      <c r="B73" s="50" t="s">
        <v>79</v>
      </c>
      <c r="C73" s="88">
        <v>35</v>
      </c>
      <c r="D73" s="53" t="s">
        <v>174</v>
      </c>
      <c r="E73" s="264" t="s">
        <v>175</v>
      </c>
      <c r="F73" s="265"/>
      <c r="G73" s="265"/>
      <c r="H73" s="265"/>
      <c r="I73" s="265"/>
      <c r="J73" s="265"/>
      <c r="K73" s="265"/>
      <c r="L73" s="265"/>
      <c r="M73" s="266"/>
    </row>
    <row r="74" spans="2:13" ht="15" customHeight="1" x14ac:dyDescent="0.25">
      <c r="B74" s="66" t="s">
        <v>80</v>
      </c>
      <c r="C74" s="95">
        <v>15</v>
      </c>
      <c r="D74" s="53" t="s">
        <v>174</v>
      </c>
      <c r="E74" s="264"/>
      <c r="F74" s="265"/>
      <c r="G74" s="265"/>
      <c r="H74" s="265"/>
      <c r="I74" s="265"/>
      <c r="J74" s="265"/>
      <c r="K74" s="265"/>
      <c r="L74" s="265"/>
      <c r="M74" s="266"/>
    </row>
    <row r="75" spans="2:13" ht="15" customHeight="1" x14ac:dyDescent="0.25">
      <c r="B75" s="66" t="s">
        <v>81</v>
      </c>
      <c r="C75" s="95">
        <v>20</v>
      </c>
      <c r="D75" s="53" t="s">
        <v>174</v>
      </c>
      <c r="E75" s="264"/>
      <c r="F75" s="265"/>
      <c r="G75" s="265"/>
      <c r="H75" s="265"/>
      <c r="I75" s="265"/>
      <c r="J75" s="265"/>
      <c r="K75" s="265"/>
      <c r="L75" s="265"/>
      <c r="M75" s="266"/>
    </row>
    <row r="76" spans="2:13" ht="15" customHeight="1" x14ac:dyDescent="0.25">
      <c r="B76" s="66" t="s">
        <v>82</v>
      </c>
      <c r="C76" s="95">
        <v>15</v>
      </c>
      <c r="D76" s="53" t="s">
        <v>174</v>
      </c>
      <c r="E76" s="264"/>
      <c r="F76" s="265"/>
      <c r="G76" s="265"/>
      <c r="H76" s="265"/>
      <c r="I76" s="265"/>
      <c r="J76" s="265"/>
      <c r="K76" s="265"/>
      <c r="L76" s="265"/>
      <c r="M76" s="266"/>
    </row>
    <row r="77" spans="2:13" ht="15" customHeight="1" x14ac:dyDescent="0.25">
      <c r="B77" s="51" t="s">
        <v>176</v>
      </c>
      <c r="C77" s="85"/>
      <c r="D77" s="61" t="s">
        <v>174</v>
      </c>
      <c r="E77" s="268" t="s">
        <v>177</v>
      </c>
      <c r="F77" s="269"/>
      <c r="G77" s="269"/>
      <c r="H77" s="269"/>
      <c r="I77" s="269"/>
      <c r="J77" s="269"/>
      <c r="K77" s="269"/>
      <c r="L77" s="269"/>
      <c r="M77" s="270"/>
    </row>
    <row r="78" spans="2:13" x14ac:dyDescent="0.2">
      <c r="C78" s="26"/>
      <c r="E78" s="141"/>
      <c r="F78" s="141"/>
      <c r="G78" s="141"/>
      <c r="H78" s="141"/>
      <c r="I78" s="141"/>
      <c r="J78" s="141"/>
      <c r="K78" s="141"/>
      <c r="L78" s="141"/>
      <c r="M78" s="141"/>
    </row>
    <row r="79" spans="2:13" ht="15" customHeight="1" x14ac:dyDescent="0.25">
      <c r="B79" s="64" t="s">
        <v>83</v>
      </c>
      <c r="C79" s="57" t="s">
        <v>37</v>
      </c>
      <c r="D79" s="57" t="s">
        <v>114</v>
      </c>
      <c r="E79" s="262" t="s">
        <v>31</v>
      </c>
      <c r="F79" s="263"/>
      <c r="G79" s="263"/>
      <c r="H79" s="263"/>
      <c r="I79" s="263"/>
      <c r="J79" s="263"/>
      <c r="K79" s="263"/>
      <c r="L79" s="263"/>
      <c r="M79" s="255"/>
    </row>
    <row r="80" spans="2:13" ht="15" customHeight="1" x14ac:dyDescent="0.25">
      <c r="B80" s="50" t="s">
        <v>84</v>
      </c>
      <c r="C80" s="249">
        <f>C164</f>
        <v>5.6540737536000002E-2</v>
      </c>
      <c r="D80" s="53" t="s">
        <v>178</v>
      </c>
      <c r="E80" s="264" t="s">
        <v>251</v>
      </c>
      <c r="F80" s="265"/>
      <c r="G80" s="265"/>
      <c r="H80" s="265"/>
      <c r="I80" s="265"/>
      <c r="J80" s="265"/>
      <c r="K80" s="265"/>
      <c r="L80" s="265"/>
      <c r="M80" s="266"/>
    </row>
    <row r="81" spans="2:13" ht="15" customHeight="1" x14ac:dyDescent="0.25">
      <c r="B81" s="50" t="s">
        <v>85</v>
      </c>
      <c r="C81" s="88">
        <v>3819.36</v>
      </c>
      <c r="D81" s="53" t="s">
        <v>147</v>
      </c>
      <c r="E81" s="264"/>
      <c r="F81" s="265"/>
      <c r="G81" s="265"/>
      <c r="H81" s="265"/>
      <c r="I81" s="265"/>
      <c r="J81" s="265"/>
      <c r="K81" s="265"/>
      <c r="L81" s="265"/>
      <c r="M81" s="266"/>
    </row>
    <row r="82" spans="2:13" ht="15" customHeight="1" x14ac:dyDescent="0.25">
      <c r="B82" s="50" t="s">
        <v>86</v>
      </c>
      <c r="C82" s="27"/>
      <c r="D82" s="53" t="s">
        <v>178</v>
      </c>
      <c r="E82" s="264"/>
      <c r="F82" s="265"/>
      <c r="G82" s="265"/>
      <c r="H82" s="265"/>
      <c r="I82" s="265"/>
      <c r="J82" s="265"/>
      <c r="K82" s="265"/>
      <c r="L82" s="265"/>
      <c r="M82" s="266"/>
    </row>
    <row r="83" spans="2:13" ht="15" customHeight="1" x14ac:dyDescent="0.25">
      <c r="B83" s="50" t="s">
        <v>87</v>
      </c>
      <c r="C83" s="87"/>
      <c r="D83" s="53" t="s">
        <v>147</v>
      </c>
      <c r="E83" s="264"/>
      <c r="F83" s="265"/>
      <c r="G83" s="265"/>
      <c r="H83" s="265"/>
      <c r="I83" s="265"/>
      <c r="J83" s="265"/>
      <c r="K83" s="265"/>
      <c r="L83" s="265"/>
      <c r="M83" s="266"/>
    </row>
    <row r="84" spans="2:13" ht="15" customHeight="1" x14ac:dyDescent="0.25">
      <c r="B84" s="50" t="s">
        <v>179</v>
      </c>
      <c r="C84" s="76">
        <f>SUM(E117:INDEX(E117:AR117,1,C76))</f>
        <v>54890400000</v>
      </c>
      <c r="D84" s="52" t="str">
        <f>C7</f>
        <v>kWh</v>
      </c>
      <c r="E84" s="264"/>
      <c r="F84" s="265"/>
      <c r="G84" s="265"/>
      <c r="H84" s="265"/>
      <c r="I84" s="265"/>
      <c r="J84" s="265"/>
      <c r="K84" s="265"/>
      <c r="L84" s="265"/>
      <c r="M84" s="266"/>
    </row>
    <row r="85" spans="2:13" ht="15" customHeight="1" x14ac:dyDescent="0.25">
      <c r="B85" s="67" t="s">
        <v>180</v>
      </c>
      <c r="C85" s="76">
        <f>IF(C77=0,SUM(E117:INDEX(E117:AR117,1,C73)),SUM(E117:INDEX(E117:AR117,1,C77)))</f>
        <v>131277600000</v>
      </c>
      <c r="D85" s="52" t="str">
        <f>C7</f>
        <v>kWh</v>
      </c>
      <c r="E85" s="264"/>
      <c r="F85" s="265"/>
      <c r="G85" s="265"/>
      <c r="H85" s="265"/>
      <c r="I85" s="265"/>
      <c r="J85" s="265"/>
      <c r="K85" s="265"/>
      <c r="L85" s="265"/>
      <c r="M85" s="266"/>
    </row>
    <row r="86" spans="2:13" ht="15" customHeight="1" x14ac:dyDescent="0.25">
      <c r="B86" s="68" t="s">
        <v>181</v>
      </c>
      <c r="C86" s="186">
        <f>C85/C84</f>
        <v>2.3916313235101221</v>
      </c>
      <c r="D86" s="61"/>
      <c r="E86" s="268"/>
      <c r="F86" s="269"/>
      <c r="G86" s="269"/>
      <c r="H86" s="269"/>
      <c r="I86" s="269"/>
      <c r="J86" s="269"/>
      <c r="K86" s="269"/>
      <c r="L86" s="269"/>
      <c r="M86" s="270"/>
    </row>
    <row r="87" spans="2:13" x14ac:dyDescent="0.2">
      <c r="C87" s="26"/>
      <c r="E87" s="141"/>
      <c r="F87" s="141"/>
      <c r="G87" s="141"/>
      <c r="H87" s="141"/>
      <c r="I87" s="141"/>
      <c r="J87" s="141"/>
      <c r="K87" s="141"/>
      <c r="L87" s="141"/>
      <c r="M87" s="141"/>
    </row>
    <row r="88" spans="2:13" ht="15" customHeight="1" x14ac:dyDescent="0.25">
      <c r="B88" s="64" t="s">
        <v>182</v>
      </c>
      <c r="C88" s="57" t="s">
        <v>37</v>
      </c>
      <c r="D88" s="57" t="s">
        <v>114</v>
      </c>
      <c r="E88" s="262" t="s">
        <v>31</v>
      </c>
      <c r="F88" s="263"/>
      <c r="G88" s="263"/>
      <c r="H88" s="263"/>
      <c r="I88" s="263"/>
      <c r="J88" s="263"/>
      <c r="K88" s="263"/>
      <c r="L88" s="263"/>
      <c r="M88" s="255"/>
    </row>
    <row r="89" spans="2:13" ht="15" customHeight="1" x14ac:dyDescent="0.25">
      <c r="B89" s="50" t="s">
        <v>88</v>
      </c>
      <c r="C89" s="187">
        <v>0.02</v>
      </c>
      <c r="D89" s="53"/>
      <c r="E89" s="264"/>
      <c r="F89" s="265"/>
      <c r="G89" s="265"/>
      <c r="H89" s="265"/>
      <c r="I89" s="265"/>
      <c r="J89" s="265"/>
      <c r="K89" s="265"/>
      <c r="L89" s="265"/>
      <c r="M89" s="266"/>
    </row>
    <row r="90" spans="2:13" ht="15" customHeight="1" x14ac:dyDescent="0.25">
      <c r="B90" s="50" t="s">
        <v>89</v>
      </c>
      <c r="C90" s="188">
        <v>4.4999999999999998E-2</v>
      </c>
      <c r="D90" s="53"/>
      <c r="E90" s="264"/>
      <c r="F90" s="265"/>
      <c r="G90" s="265"/>
      <c r="H90" s="265"/>
      <c r="I90" s="265"/>
      <c r="J90" s="265"/>
      <c r="K90" s="265"/>
      <c r="L90" s="265"/>
      <c r="M90" s="266"/>
    </row>
    <row r="91" spans="2:13" ht="15" customHeight="1" x14ac:dyDescent="0.25">
      <c r="B91" s="50" t="s">
        <v>90</v>
      </c>
      <c r="C91" s="188">
        <v>0.1</v>
      </c>
      <c r="D91" s="53"/>
      <c r="E91" s="264"/>
      <c r="F91" s="265"/>
      <c r="G91" s="265"/>
      <c r="H91" s="265"/>
      <c r="I91" s="265"/>
      <c r="J91" s="265"/>
      <c r="K91" s="265"/>
      <c r="L91" s="265"/>
      <c r="M91" s="266"/>
    </row>
    <row r="92" spans="2:13" ht="15" customHeight="1" x14ac:dyDescent="0.25">
      <c r="B92" s="66" t="s">
        <v>91</v>
      </c>
      <c r="C92" s="73">
        <f>100%-C93</f>
        <v>0.75</v>
      </c>
      <c r="D92" s="53"/>
      <c r="E92" s="264"/>
      <c r="F92" s="265"/>
      <c r="G92" s="265"/>
      <c r="H92" s="265"/>
      <c r="I92" s="265"/>
      <c r="J92" s="265"/>
      <c r="K92" s="265"/>
      <c r="L92" s="265"/>
      <c r="M92" s="266"/>
    </row>
    <row r="93" spans="2:13" ht="15" customHeight="1" x14ac:dyDescent="0.25">
      <c r="B93" s="50" t="s">
        <v>92</v>
      </c>
      <c r="C93" s="28">
        <v>0.25</v>
      </c>
      <c r="D93" s="53"/>
      <c r="E93" s="264"/>
      <c r="F93" s="265"/>
      <c r="G93" s="265"/>
      <c r="H93" s="265"/>
      <c r="I93" s="265"/>
      <c r="J93" s="265"/>
      <c r="K93" s="265"/>
      <c r="L93" s="265"/>
      <c r="M93" s="266"/>
    </row>
    <row r="94" spans="2:13" ht="15" customHeight="1" x14ac:dyDescent="0.25">
      <c r="B94" s="68" t="s">
        <v>93</v>
      </c>
      <c r="C94" s="189">
        <v>0.25800000000000001</v>
      </c>
      <c r="D94" s="61"/>
      <c r="E94" s="268"/>
      <c r="F94" s="269"/>
      <c r="G94" s="269"/>
      <c r="H94" s="269"/>
      <c r="I94" s="269"/>
      <c r="J94" s="269"/>
      <c r="K94" s="269"/>
      <c r="L94" s="269"/>
      <c r="M94" s="270"/>
    </row>
    <row r="95" spans="2:13" x14ac:dyDescent="0.2">
      <c r="C95" s="26"/>
      <c r="E95" s="141"/>
      <c r="F95" s="141"/>
      <c r="G95" s="141"/>
      <c r="H95" s="141"/>
      <c r="I95" s="141"/>
      <c r="J95" s="141"/>
      <c r="K95" s="141"/>
      <c r="L95" s="141"/>
      <c r="M95" s="141"/>
    </row>
    <row r="96" spans="2:13" ht="15" customHeight="1" x14ac:dyDescent="0.25">
      <c r="B96" s="64" t="s">
        <v>94</v>
      </c>
      <c r="C96" s="57" t="s">
        <v>37</v>
      </c>
      <c r="D96" s="57" t="s">
        <v>114</v>
      </c>
      <c r="E96" s="262" t="s">
        <v>31</v>
      </c>
      <c r="F96" s="263"/>
      <c r="G96" s="263"/>
      <c r="H96" s="263"/>
      <c r="I96" s="263"/>
      <c r="J96" s="263"/>
      <c r="K96" s="263"/>
      <c r="L96" s="263"/>
      <c r="M96" s="255"/>
    </row>
    <row r="97" spans="1:44" ht="15" customHeight="1" x14ac:dyDescent="0.25">
      <c r="B97" s="50" t="s">
        <v>95</v>
      </c>
      <c r="C97" s="29"/>
      <c r="D97" s="53" t="s">
        <v>183</v>
      </c>
      <c r="E97" s="264"/>
      <c r="F97" s="265"/>
      <c r="G97" s="265"/>
      <c r="H97" s="265"/>
      <c r="I97" s="265"/>
      <c r="J97" s="265"/>
      <c r="K97" s="265"/>
      <c r="L97" s="265"/>
      <c r="M97" s="266"/>
    </row>
    <row r="98" spans="1:44" ht="15" customHeight="1" x14ac:dyDescent="0.25">
      <c r="B98" s="51" t="s">
        <v>96</v>
      </c>
      <c r="C98" s="30"/>
      <c r="D98" s="61" t="s">
        <v>183</v>
      </c>
      <c r="E98" s="268"/>
      <c r="F98" s="269"/>
      <c r="G98" s="269"/>
      <c r="H98" s="269"/>
      <c r="I98" s="269"/>
      <c r="J98" s="269"/>
      <c r="K98" s="269"/>
      <c r="L98" s="269"/>
      <c r="M98" s="270"/>
    </row>
    <row r="99" spans="1:44" x14ac:dyDescent="0.2">
      <c r="C99" s="26"/>
      <c r="E99" s="141"/>
      <c r="F99" s="141"/>
      <c r="G99" s="141"/>
      <c r="H99" s="141"/>
      <c r="I99" s="141"/>
      <c r="J99" s="141"/>
      <c r="K99" s="141"/>
      <c r="L99" s="141"/>
      <c r="M99" s="141"/>
    </row>
    <row r="100" spans="1:44" ht="15" customHeight="1" x14ac:dyDescent="0.25">
      <c r="B100" s="56" t="s">
        <v>97</v>
      </c>
      <c r="C100" s="57" t="s">
        <v>15</v>
      </c>
      <c r="D100" s="57" t="s">
        <v>37</v>
      </c>
      <c r="E100" s="262" t="s">
        <v>31</v>
      </c>
      <c r="F100" s="263"/>
      <c r="G100" s="263"/>
      <c r="H100" s="263"/>
      <c r="I100" s="263"/>
      <c r="J100" s="263"/>
      <c r="K100" s="263"/>
      <c r="L100" s="263"/>
      <c r="M100" s="255"/>
    </row>
    <row r="101" spans="1:44" ht="15" customHeight="1" x14ac:dyDescent="0.25">
      <c r="B101" s="66"/>
      <c r="C101" s="89">
        <v>16</v>
      </c>
      <c r="D101" s="90">
        <f>-283000000/2</f>
        <v>-141500000</v>
      </c>
      <c r="E101" s="264" t="s">
        <v>184</v>
      </c>
      <c r="F101" s="265"/>
      <c r="G101" s="265"/>
      <c r="H101" s="265"/>
      <c r="I101" s="265"/>
      <c r="J101" s="265"/>
      <c r="K101" s="265"/>
      <c r="L101" s="265"/>
      <c r="M101" s="266"/>
    </row>
    <row r="102" spans="1:44" ht="15" customHeight="1" x14ac:dyDescent="0.25">
      <c r="B102" s="69"/>
      <c r="C102" s="91"/>
      <c r="D102" s="92"/>
      <c r="E102" s="268" t="str">
        <f>"De waarde als reële kosten is gedefinieerd in euro van het jaar "&amp;E105&amp;"."</f>
        <v>De waarde als reële kosten is gedefinieerd in euro van het jaar 2026.</v>
      </c>
      <c r="F102" s="269"/>
      <c r="G102" s="269"/>
      <c r="H102" s="269"/>
      <c r="I102" s="269"/>
      <c r="J102" s="269"/>
      <c r="K102" s="269"/>
      <c r="L102" s="269"/>
      <c r="M102" s="270"/>
    </row>
    <row r="103" spans="1:44" ht="15" customHeight="1" x14ac:dyDescent="0.25">
      <c r="B103" s="51" t="s">
        <v>98</v>
      </c>
      <c r="C103" s="31">
        <v>0</v>
      </c>
      <c r="D103" s="164">
        <v>0.01</v>
      </c>
      <c r="E103" s="268" t="s">
        <v>185</v>
      </c>
      <c r="F103" s="269"/>
      <c r="G103" s="269"/>
      <c r="H103" s="269"/>
      <c r="I103" s="269"/>
      <c r="J103" s="269"/>
      <c r="K103" s="269"/>
      <c r="L103" s="269"/>
      <c r="M103" s="270"/>
    </row>
    <row r="104" spans="1:44" x14ac:dyDescent="0.2">
      <c r="E104" s="190"/>
    </row>
    <row r="105" spans="1:44" s="32" customFormat="1" x14ac:dyDescent="0.2">
      <c r="A105" s="244"/>
      <c r="B105" s="56" t="s">
        <v>186</v>
      </c>
      <c r="C105" s="57"/>
      <c r="D105" s="57" t="s">
        <v>114</v>
      </c>
      <c r="E105" s="57">
        <f>Colofon!C29</f>
        <v>2026</v>
      </c>
      <c r="F105" s="57">
        <f t="shared" ref="F105:AR105" si="0">E105+1</f>
        <v>2027</v>
      </c>
      <c r="G105" s="57">
        <f t="shared" si="0"/>
        <v>2028</v>
      </c>
      <c r="H105" s="57">
        <f t="shared" si="0"/>
        <v>2029</v>
      </c>
      <c r="I105" s="57">
        <f t="shared" si="0"/>
        <v>2030</v>
      </c>
      <c r="J105" s="57">
        <f t="shared" si="0"/>
        <v>2031</v>
      </c>
      <c r="K105" s="57">
        <f t="shared" si="0"/>
        <v>2032</v>
      </c>
      <c r="L105" s="57">
        <f t="shared" si="0"/>
        <v>2033</v>
      </c>
      <c r="M105" s="57">
        <f t="shared" si="0"/>
        <v>2034</v>
      </c>
      <c r="N105" s="57">
        <f t="shared" si="0"/>
        <v>2035</v>
      </c>
      <c r="O105" s="57">
        <f t="shared" si="0"/>
        <v>2036</v>
      </c>
      <c r="P105" s="57">
        <f t="shared" si="0"/>
        <v>2037</v>
      </c>
      <c r="Q105" s="57">
        <f t="shared" si="0"/>
        <v>2038</v>
      </c>
      <c r="R105" s="57">
        <f t="shared" si="0"/>
        <v>2039</v>
      </c>
      <c r="S105" s="57">
        <f t="shared" si="0"/>
        <v>2040</v>
      </c>
      <c r="T105" s="57">
        <f t="shared" si="0"/>
        <v>2041</v>
      </c>
      <c r="U105" s="57">
        <f t="shared" si="0"/>
        <v>2042</v>
      </c>
      <c r="V105" s="57">
        <f t="shared" si="0"/>
        <v>2043</v>
      </c>
      <c r="W105" s="57">
        <f t="shared" si="0"/>
        <v>2044</v>
      </c>
      <c r="X105" s="57">
        <f t="shared" si="0"/>
        <v>2045</v>
      </c>
      <c r="Y105" s="57">
        <f t="shared" si="0"/>
        <v>2046</v>
      </c>
      <c r="Z105" s="57">
        <f t="shared" si="0"/>
        <v>2047</v>
      </c>
      <c r="AA105" s="57">
        <f t="shared" si="0"/>
        <v>2048</v>
      </c>
      <c r="AB105" s="57">
        <f t="shared" si="0"/>
        <v>2049</v>
      </c>
      <c r="AC105" s="57">
        <f t="shared" si="0"/>
        <v>2050</v>
      </c>
      <c r="AD105" s="57">
        <f t="shared" si="0"/>
        <v>2051</v>
      </c>
      <c r="AE105" s="57">
        <f t="shared" si="0"/>
        <v>2052</v>
      </c>
      <c r="AF105" s="57">
        <f t="shared" si="0"/>
        <v>2053</v>
      </c>
      <c r="AG105" s="57">
        <f t="shared" si="0"/>
        <v>2054</v>
      </c>
      <c r="AH105" s="57">
        <f t="shared" si="0"/>
        <v>2055</v>
      </c>
      <c r="AI105" s="57">
        <f t="shared" si="0"/>
        <v>2056</v>
      </c>
      <c r="AJ105" s="57">
        <f t="shared" si="0"/>
        <v>2057</v>
      </c>
      <c r="AK105" s="57">
        <f t="shared" si="0"/>
        <v>2058</v>
      </c>
      <c r="AL105" s="57">
        <f t="shared" si="0"/>
        <v>2059</v>
      </c>
      <c r="AM105" s="57">
        <f t="shared" si="0"/>
        <v>2060</v>
      </c>
      <c r="AN105" s="57">
        <f t="shared" si="0"/>
        <v>2061</v>
      </c>
      <c r="AO105" s="57">
        <f t="shared" si="0"/>
        <v>2062</v>
      </c>
      <c r="AP105" s="57">
        <f t="shared" si="0"/>
        <v>2063</v>
      </c>
      <c r="AQ105" s="57">
        <f t="shared" si="0"/>
        <v>2064</v>
      </c>
      <c r="AR105" s="136">
        <f t="shared" si="0"/>
        <v>2065</v>
      </c>
    </row>
    <row r="106" spans="1:44" s="247" customFormat="1" ht="13.5" customHeight="1" x14ac:dyDescent="0.25">
      <c r="B106" s="274" t="s">
        <v>187</v>
      </c>
      <c r="C106" s="275"/>
      <c r="D106" s="191" t="str">
        <f>CONCATENATE("Euro/",$C$7)</f>
        <v>Euro/kWh</v>
      </c>
      <c r="E106" s="93"/>
      <c r="F106" s="192">
        <f t="shared" ref="F106:AR106" si="1">IF(F$111&lt;=$C76,$E$106,)</f>
        <v>0</v>
      </c>
      <c r="G106" s="192">
        <f t="shared" si="1"/>
        <v>0</v>
      </c>
      <c r="H106" s="192">
        <f t="shared" si="1"/>
        <v>0</v>
      </c>
      <c r="I106" s="192">
        <f t="shared" si="1"/>
        <v>0</v>
      </c>
      <c r="J106" s="192">
        <f t="shared" si="1"/>
        <v>0</v>
      </c>
      <c r="K106" s="192">
        <f t="shared" si="1"/>
        <v>0</v>
      </c>
      <c r="L106" s="192">
        <f t="shared" si="1"/>
        <v>0</v>
      </c>
      <c r="M106" s="192">
        <f t="shared" si="1"/>
        <v>0</v>
      </c>
      <c r="N106" s="192">
        <f t="shared" si="1"/>
        <v>0</v>
      </c>
      <c r="O106" s="192">
        <f t="shared" si="1"/>
        <v>0</v>
      </c>
      <c r="P106" s="192">
        <f t="shared" si="1"/>
        <v>0</v>
      </c>
      <c r="Q106" s="192">
        <f t="shared" si="1"/>
        <v>0</v>
      </c>
      <c r="R106" s="192">
        <f t="shared" si="1"/>
        <v>0</v>
      </c>
      <c r="S106" s="192">
        <f t="shared" si="1"/>
        <v>0</v>
      </c>
      <c r="T106" s="192">
        <f t="shared" si="1"/>
        <v>0</v>
      </c>
      <c r="U106" s="192">
        <f t="shared" si="1"/>
        <v>0</v>
      </c>
      <c r="V106" s="192">
        <f t="shared" si="1"/>
        <v>0</v>
      </c>
      <c r="W106" s="192">
        <f t="shared" si="1"/>
        <v>0</v>
      </c>
      <c r="X106" s="192">
        <f t="shared" si="1"/>
        <v>0</v>
      </c>
      <c r="Y106" s="192">
        <f t="shared" si="1"/>
        <v>0</v>
      </c>
      <c r="Z106" s="192">
        <f t="shared" si="1"/>
        <v>0</v>
      </c>
      <c r="AA106" s="192">
        <f t="shared" si="1"/>
        <v>0</v>
      </c>
      <c r="AB106" s="192">
        <f t="shared" si="1"/>
        <v>0</v>
      </c>
      <c r="AC106" s="192">
        <f t="shared" si="1"/>
        <v>0</v>
      </c>
      <c r="AD106" s="192">
        <f t="shared" si="1"/>
        <v>0</v>
      </c>
      <c r="AE106" s="192">
        <f t="shared" si="1"/>
        <v>0</v>
      </c>
      <c r="AF106" s="192">
        <f t="shared" si="1"/>
        <v>0</v>
      </c>
      <c r="AG106" s="192">
        <f t="shared" si="1"/>
        <v>0</v>
      </c>
      <c r="AH106" s="192">
        <f t="shared" si="1"/>
        <v>0</v>
      </c>
      <c r="AI106" s="192">
        <f t="shared" si="1"/>
        <v>0</v>
      </c>
      <c r="AJ106" s="192">
        <f t="shared" si="1"/>
        <v>0</v>
      </c>
      <c r="AK106" s="192">
        <f t="shared" si="1"/>
        <v>0</v>
      </c>
      <c r="AL106" s="192">
        <f t="shared" si="1"/>
        <v>0</v>
      </c>
      <c r="AM106" s="192">
        <f t="shared" si="1"/>
        <v>0</v>
      </c>
      <c r="AN106" s="192">
        <f t="shared" si="1"/>
        <v>0</v>
      </c>
      <c r="AO106" s="192">
        <f t="shared" si="1"/>
        <v>0</v>
      </c>
      <c r="AP106" s="192">
        <f t="shared" si="1"/>
        <v>0</v>
      </c>
      <c r="AQ106" s="192">
        <f t="shared" si="1"/>
        <v>0</v>
      </c>
      <c r="AR106" s="192">
        <f t="shared" si="1"/>
        <v>0</v>
      </c>
    </row>
    <row r="107" spans="1:44" s="247" customFormat="1" ht="13.5" customHeight="1" x14ac:dyDescent="0.25">
      <c r="B107" s="274" t="s">
        <v>188</v>
      </c>
      <c r="C107" s="275"/>
      <c r="D107" s="191" t="str">
        <f>CONCATENATE("Euro/",$C$7)</f>
        <v>Euro/kWh</v>
      </c>
      <c r="E107" s="93"/>
      <c r="F107" s="192">
        <f t="shared" ref="F107:AR107" si="2">IF(F$111&lt;=$C73,$E$107*F108,)</f>
        <v>0</v>
      </c>
      <c r="G107" s="192">
        <f t="shared" si="2"/>
        <v>0</v>
      </c>
      <c r="H107" s="192">
        <f t="shared" si="2"/>
        <v>0</v>
      </c>
      <c r="I107" s="192">
        <f t="shared" si="2"/>
        <v>0</v>
      </c>
      <c r="J107" s="192">
        <f t="shared" si="2"/>
        <v>0</v>
      </c>
      <c r="K107" s="192">
        <f t="shared" si="2"/>
        <v>0</v>
      </c>
      <c r="L107" s="192">
        <f t="shared" si="2"/>
        <v>0</v>
      </c>
      <c r="M107" s="192">
        <f t="shared" si="2"/>
        <v>0</v>
      </c>
      <c r="N107" s="192">
        <f t="shared" si="2"/>
        <v>0</v>
      </c>
      <c r="O107" s="192">
        <f t="shared" si="2"/>
        <v>0</v>
      </c>
      <c r="P107" s="192">
        <f t="shared" si="2"/>
        <v>0</v>
      </c>
      <c r="Q107" s="192">
        <f t="shared" si="2"/>
        <v>0</v>
      </c>
      <c r="R107" s="192">
        <f t="shared" si="2"/>
        <v>0</v>
      </c>
      <c r="S107" s="192">
        <f t="shared" si="2"/>
        <v>0</v>
      </c>
      <c r="T107" s="192">
        <f t="shared" si="2"/>
        <v>0</v>
      </c>
      <c r="U107" s="192">
        <f t="shared" si="2"/>
        <v>0</v>
      </c>
      <c r="V107" s="192">
        <f t="shared" si="2"/>
        <v>0</v>
      </c>
      <c r="W107" s="192">
        <f t="shared" si="2"/>
        <v>0</v>
      </c>
      <c r="X107" s="192">
        <f t="shared" si="2"/>
        <v>0</v>
      </c>
      <c r="Y107" s="192">
        <f t="shared" si="2"/>
        <v>0</v>
      </c>
      <c r="Z107" s="192">
        <f t="shared" si="2"/>
        <v>0</v>
      </c>
      <c r="AA107" s="192">
        <f t="shared" si="2"/>
        <v>0</v>
      </c>
      <c r="AB107" s="192">
        <f t="shared" si="2"/>
        <v>0</v>
      </c>
      <c r="AC107" s="192">
        <f t="shared" si="2"/>
        <v>0</v>
      </c>
      <c r="AD107" s="192">
        <f t="shared" si="2"/>
        <v>0</v>
      </c>
      <c r="AE107" s="192">
        <f t="shared" si="2"/>
        <v>0</v>
      </c>
      <c r="AF107" s="192">
        <f t="shared" si="2"/>
        <v>0</v>
      </c>
      <c r="AG107" s="192">
        <f t="shared" si="2"/>
        <v>0</v>
      </c>
      <c r="AH107" s="192">
        <f t="shared" si="2"/>
        <v>0</v>
      </c>
      <c r="AI107" s="192">
        <f t="shared" si="2"/>
        <v>0</v>
      </c>
      <c r="AJ107" s="192">
        <f t="shared" si="2"/>
        <v>0</v>
      </c>
      <c r="AK107" s="192">
        <f t="shared" si="2"/>
        <v>0</v>
      </c>
      <c r="AL107" s="192">
        <f t="shared" si="2"/>
        <v>0</v>
      </c>
      <c r="AM107" s="192">
        <f t="shared" si="2"/>
        <v>0</v>
      </c>
      <c r="AN107" s="192">
        <f t="shared" si="2"/>
        <v>0</v>
      </c>
      <c r="AO107" s="192">
        <f t="shared" si="2"/>
        <v>0</v>
      </c>
      <c r="AP107" s="192">
        <f t="shared" si="2"/>
        <v>0</v>
      </c>
      <c r="AQ107" s="192">
        <f t="shared" si="2"/>
        <v>0</v>
      </c>
      <c r="AR107" s="192">
        <f t="shared" si="2"/>
        <v>0</v>
      </c>
    </row>
    <row r="108" spans="1:44" x14ac:dyDescent="0.2">
      <c r="B108" s="69" t="s">
        <v>189</v>
      </c>
      <c r="C108" s="193"/>
      <c r="D108" s="193" t="s">
        <v>190</v>
      </c>
      <c r="E108" s="77">
        <f t="shared" ref="E108:AR108" si="3">POWER(1+$C$89,E111-$E$111)</f>
        <v>1</v>
      </c>
      <c r="F108" s="77">
        <f t="shared" si="3"/>
        <v>1.02</v>
      </c>
      <c r="G108" s="77">
        <f t="shared" si="3"/>
        <v>1.0404</v>
      </c>
      <c r="H108" s="77">
        <f t="shared" si="3"/>
        <v>1.0612079999999999</v>
      </c>
      <c r="I108" s="77">
        <f t="shared" si="3"/>
        <v>1.08243216</v>
      </c>
      <c r="J108" s="77">
        <f t="shared" si="3"/>
        <v>1.1040808032</v>
      </c>
      <c r="K108" s="77">
        <f t="shared" si="3"/>
        <v>1.1261624192640001</v>
      </c>
      <c r="L108" s="77">
        <f t="shared" si="3"/>
        <v>1.1486856676492798</v>
      </c>
      <c r="M108" s="77">
        <f t="shared" si="3"/>
        <v>1.1716593810022655</v>
      </c>
      <c r="N108" s="77">
        <f t="shared" si="3"/>
        <v>1.1950925686223108</v>
      </c>
      <c r="O108" s="77">
        <f t="shared" si="3"/>
        <v>1.2189944199947571</v>
      </c>
      <c r="P108" s="77">
        <f t="shared" si="3"/>
        <v>1.243374308394652</v>
      </c>
      <c r="Q108" s="77">
        <f t="shared" si="3"/>
        <v>1.2682417945625453</v>
      </c>
      <c r="R108" s="77">
        <f t="shared" si="3"/>
        <v>1.2936066304537961</v>
      </c>
      <c r="S108" s="77">
        <f t="shared" si="3"/>
        <v>1.3194787630628722</v>
      </c>
      <c r="T108" s="77">
        <f t="shared" si="3"/>
        <v>1.3458683383241292</v>
      </c>
      <c r="U108" s="77">
        <f t="shared" si="3"/>
        <v>1.372785705090612</v>
      </c>
      <c r="V108" s="77">
        <f t="shared" si="3"/>
        <v>1.4002414191924244</v>
      </c>
      <c r="W108" s="77">
        <f t="shared" si="3"/>
        <v>1.4282462475762727</v>
      </c>
      <c r="X108" s="77">
        <f t="shared" si="3"/>
        <v>1.4568111725277981</v>
      </c>
      <c r="Y108" s="77">
        <f t="shared" si="3"/>
        <v>1.4859473959783542</v>
      </c>
      <c r="Z108" s="77">
        <f t="shared" si="3"/>
        <v>1.5156663438979212</v>
      </c>
      <c r="AA108" s="77">
        <f t="shared" si="3"/>
        <v>1.5459796707758797</v>
      </c>
      <c r="AB108" s="77">
        <f t="shared" si="3"/>
        <v>1.576899264191397</v>
      </c>
      <c r="AC108" s="77">
        <f t="shared" si="3"/>
        <v>1.608437249475225</v>
      </c>
      <c r="AD108" s="77">
        <f t="shared" si="3"/>
        <v>1.6406059944647295</v>
      </c>
      <c r="AE108" s="77">
        <f t="shared" si="3"/>
        <v>1.6734181143540243</v>
      </c>
      <c r="AF108" s="77">
        <f t="shared" si="3"/>
        <v>1.7068864766411045</v>
      </c>
      <c r="AG108" s="77">
        <f t="shared" si="3"/>
        <v>1.7410242061739269</v>
      </c>
      <c r="AH108" s="77">
        <f t="shared" si="3"/>
        <v>1.7758446902974052</v>
      </c>
      <c r="AI108" s="77">
        <f t="shared" si="3"/>
        <v>1.8113615841033535</v>
      </c>
      <c r="AJ108" s="77">
        <f t="shared" si="3"/>
        <v>1.8475888157854201</v>
      </c>
      <c r="AK108" s="77">
        <f t="shared" si="3"/>
        <v>1.8845405921011289</v>
      </c>
      <c r="AL108" s="77">
        <f t="shared" si="3"/>
        <v>1.9222314039431516</v>
      </c>
      <c r="AM108" s="77">
        <f t="shared" si="3"/>
        <v>1.9606760320220145</v>
      </c>
      <c r="AN108" s="77">
        <f t="shared" si="3"/>
        <v>1.9998895526624547</v>
      </c>
      <c r="AO108" s="77">
        <f t="shared" si="3"/>
        <v>2.0398873437157037</v>
      </c>
      <c r="AP108" s="77">
        <f t="shared" si="3"/>
        <v>2.080685090590018</v>
      </c>
      <c r="AQ108" s="77">
        <f t="shared" si="3"/>
        <v>2.1222987924018186</v>
      </c>
      <c r="AR108" s="78">
        <f t="shared" si="3"/>
        <v>2.1647447682498542</v>
      </c>
    </row>
    <row r="109" spans="1:44" ht="12.95" customHeight="1" x14ac:dyDescent="0.2"/>
    <row r="110" spans="1:44" ht="12.95" customHeight="1" x14ac:dyDescent="0.25">
      <c r="B110" s="276" t="s">
        <v>191</v>
      </c>
      <c r="C110" s="263"/>
      <c r="D110" s="263"/>
      <c r="E110" s="263"/>
      <c r="F110" s="263"/>
      <c r="G110" s="263"/>
      <c r="H110" s="263"/>
      <c r="I110" s="263"/>
      <c r="J110" s="263"/>
      <c r="K110" s="263"/>
      <c r="L110" s="263"/>
      <c r="M110" s="263"/>
      <c r="N110" s="155"/>
      <c r="O110" s="155"/>
      <c r="P110" s="155"/>
      <c r="Q110" s="155"/>
      <c r="R110" s="155"/>
      <c r="S110" s="155"/>
      <c r="T110" s="155"/>
      <c r="U110" s="155"/>
      <c r="V110" s="155"/>
      <c r="W110" s="155"/>
      <c r="X110" s="155"/>
      <c r="Y110" s="155"/>
      <c r="Z110" s="155"/>
      <c r="AA110" s="155"/>
      <c r="AB110" s="155"/>
      <c r="AC110" s="155"/>
      <c r="AD110" s="155"/>
      <c r="AE110" s="155"/>
      <c r="AF110" s="155"/>
      <c r="AG110" s="155"/>
      <c r="AH110" s="155"/>
      <c r="AI110" s="155"/>
      <c r="AJ110" s="155"/>
      <c r="AK110" s="155"/>
      <c r="AL110" s="155"/>
      <c r="AM110" s="155"/>
      <c r="AN110" s="155"/>
      <c r="AO110" s="155"/>
      <c r="AP110" s="155"/>
      <c r="AQ110" s="155"/>
      <c r="AR110" s="156"/>
    </row>
    <row r="111" spans="1:44" ht="12.95" customHeight="1" x14ac:dyDescent="0.2">
      <c r="B111" s="157" t="s">
        <v>192</v>
      </c>
      <c r="C111" s="143"/>
      <c r="D111" s="144">
        <v>0</v>
      </c>
      <c r="E111" s="144">
        <v>1</v>
      </c>
      <c r="F111" s="144">
        <v>2</v>
      </c>
      <c r="G111" s="144">
        <v>3</v>
      </c>
      <c r="H111" s="144">
        <v>4</v>
      </c>
      <c r="I111" s="144">
        <v>5</v>
      </c>
      <c r="J111" s="144">
        <v>6</v>
      </c>
      <c r="K111" s="144">
        <v>7</v>
      </c>
      <c r="L111" s="144">
        <v>8</v>
      </c>
      <c r="M111" s="144">
        <v>9</v>
      </c>
      <c r="N111" s="144">
        <v>10</v>
      </c>
      <c r="O111" s="144">
        <v>11</v>
      </c>
      <c r="P111" s="144">
        <v>12</v>
      </c>
      <c r="Q111" s="144">
        <v>13</v>
      </c>
      <c r="R111" s="144">
        <v>14</v>
      </c>
      <c r="S111" s="144">
        <v>15</v>
      </c>
      <c r="T111" s="144">
        <v>16</v>
      </c>
      <c r="U111" s="144">
        <v>17</v>
      </c>
      <c r="V111" s="144">
        <v>18</v>
      </c>
      <c r="W111" s="144">
        <v>19</v>
      </c>
      <c r="X111" s="144">
        <v>20</v>
      </c>
      <c r="Y111" s="144">
        <v>21</v>
      </c>
      <c r="Z111" s="144">
        <v>22</v>
      </c>
      <c r="AA111" s="144">
        <v>23</v>
      </c>
      <c r="AB111" s="144">
        <v>24</v>
      </c>
      <c r="AC111" s="144">
        <v>25</v>
      </c>
      <c r="AD111" s="144">
        <v>26</v>
      </c>
      <c r="AE111" s="144">
        <v>27</v>
      </c>
      <c r="AF111" s="144">
        <v>28</v>
      </c>
      <c r="AG111" s="144">
        <v>29</v>
      </c>
      <c r="AH111" s="144">
        <v>30</v>
      </c>
      <c r="AI111" s="144">
        <v>31</v>
      </c>
      <c r="AJ111" s="144">
        <v>32</v>
      </c>
      <c r="AK111" s="144">
        <v>33</v>
      </c>
      <c r="AL111" s="144">
        <v>34</v>
      </c>
      <c r="AM111" s="144">
        <v>35</v>
      </c>
      <c r="AN111" s="144">
        <v>36</v>
      </c>
      <c r="AO111" s="144">
        <v>37</v>
      </c>
      <c r="AP111" s="144">
        <v>38</v>
      </c>
      <c r="AQ111" s="144">
        <v>39</v>
      </c>
      <c r="AR111" s="158">
        <v>40</v>
      </c>
    </row>
    <row r="112" spans="1:44" ht="12.95" customHeight="1" x14ac:dyDescent="0.2">
      <c r="B112" s="50" t="s">
        <v>193</v>
      </c>
      <c r="C112" s="145" t="s">
        <v>183</v>
      </c>
      <c r="D112" s="146">
        <f>-C151</f>
        <v>-3003575775.0596404</v>
      </c>
      <c r="E112" s="147"/>
      <c r="F112" s="147"/>
      <c r="G112" s="147"/>
      <c r="H112" s="147"/>
      <c r="I112" s="147"/>
      <c r="J112" s="147"/>
      <c r="K112" s="147"/>
      <c r="L112" s="147"/>
      <c r="M112" s="147"/>
      <c r="N112" s="147"/>
      <c r="O112" s="147"/>
      <c r="P112" s="147"/>
      <c r="Q112" s="147"/>
      <c r="R112" s="147"/>
      <c r="S112" s="147"/>
      <c r="T112" s="147"/>
      <c r="U112" s="147"/>
      <c r="V112" s="147"/>
      <c r="W112" s="147"/>
      <c r="X112" s="147"/>
      <c r="Y112" s="147"/>
      <c r="Z112" s="147"/>
      <c r="AA112" s="147"/>
      <c r="AB112" s="147"/>
      <c r="AC112" s="147"/>
      <c r="AD112" s="147"/>
      <c r="AE112" s="147"/>
      <c r="AF112" s="147"/>
      <c r="AG112" s="147"/>
      <c r="AH112" s="147"/>
      <c r="AI112" s="147"/>
      <c r="AJ112" s="147"/>
      <c r="AK112" s="147"/>
      <c r="AL112" s="147"/>
      <c r="AM112" s="147"/>
      <c r="AN112" s="147"/>
      <c r="AO112" s="147"/>
      <c r="AP112" s="147"/>
      <c r="AQ112" s="147"/>
      <c r="AR112" s="159"/>
    </row>
    <row r="113" spans="2:44" ht="12.95" customHeight="1" x14ac:dyDescent="0.2">
      <c r="B113" s="157" t="s">
        <v>194</v>
      </c>
      <c r="C113" s="148"/>
      <c r="D113" s="149"/>
      <c r="E113" s="149"/>
      <c r="F113" s="149"/>
      <c r="G113" s="149"/>
      <c r="H113" s="149"/>
      <c r="I113" s="149"/>
      <c r="J113" s="149"/>
      <c r="K113" s="149"/>
      <c r="L113" s="149"/>
      <c r="M113" s="149"/>
      <c r="N113" s="149"/>
      <c r="O113" s="149"/>
      <c r="P113" s="149"/>
      <c r="Q113" s="149"/>
      <c r="R113" s="149"/>
      <c r="S113" s="149"/>
      <c r="T113" s="149"/>
      <c r="U113" s="149"/>
      <c r="V113" s="149"/>
      <c r="W113" s="149"/>
      <c r="X113" s="149"/>
      <c r="Y113" s="149"/>
      <c r="Z113" s="149"/>
      <c r="AA113" s="149"/>
      <c r="AB113" s="149"/>
      <c r="AC113" s="149"/>
      <c r="AD113" s="149"/>
      <c r="AE113" s="149"/>
      <c r="AF113" s="149"/>
      <c r="AG113" s="149"/>
      <c r="AH113" s="149"/>
      <c r="AI113" s="149"/>
      <c r="AJ113" s="149"/>
      <c r="AK113" s="149"/>
      <c r="AL113" s="149"/>
      <c r="AM113" s="149"/>
      <c r="AN113" s="149"/>
      <c r="AO113" s="149"/>
      <c r="AP113" s="149"/>
      <c r="AQ113" s="149"/>
      <c r="AR113" s="160"/>
    </row>
    <row r="114" spans="2:44" x14ac:dyDescent="0.2">
      <c r="B114" s="50" t="s">
        <v>195</v>
      </c>
      <c r="C114" s="150" t="str">
        <f>$C$7</f>
        <v>kWh</v>
      </c>
      <c r="D114" s="145"/>
      <c r="E114" s="194">
        <f t="shared" ref="E114:AR114" si="4">IF(E111&lt;=$C$76,$C$28*$C$30,IF(AND(E111&gt;$C$76,E111&lt;=$C$73),$C$28*$C$81,0))*IF($C$33=0,1,$C$34/$C$33)</f>
        <v>3659360000</v>
      </c>
      <c r="F114" s="194">
        <f t="shared" si="4"/>
        <v>3659360000</v>
      </c>
      <c r="G114" s="194">
        <f t="shared" si="4"/>
        <v>3659360000</v>
      </c>
      <c r="H114" s="194">
        <f t="shared" si="4"/>
        <v>3659360000</v>
      </c>
      <c r="I114" s="194">
        <f t="shared" si="4"/>
        <v>3659360000</v>
      </c>
      <c r="J114" s="194">
        <f t="shared" si="4"/>
        <v>3659360000</v>
      </c>
      <c r="K114" s="194">
        <f t="shared" si="4"/>
        <v>3659360000</v>
      </c>
      <c r="L114" s="194">
        <f t="shared" si="4"/>
        <v>3659360000</v>
      </c>
      <c r="M114" s="194">
        <f t="shared" si="4"/>
        <v>3659360000</v>
      </c>
      <c r="N114" s="194">
        <f t="shared" si="4"/>
        <v>3659360000</v>
      </c>
      <c r="O114" s="194">
        <f t="shared" si="4"/>
        <v>3659360000</v>
      </c>
      <c r="P114" s="194">
        <f t="shared" si="4"/>
        <v>3659360000</v>
      </c>
      <c r="Q114" s="194">
        <f t="shared" si="4"/>
        <v>3659360000</v>
      </c>
      <c r="R114" s="194">
        <f t="shared" si="4"/>
        <v>3659360000</v>
      </c>
      <c r="S114" s="194">
        <f t="shared" si="4"/>
        <v>3659360000</v>
      </c>
      <c r="T114" s="194">
        <f t="shared" si="4"/>
        <v>3819360000</v>
      </c>
      <c r="U114" s="194">
        <f t="shared" si="4"/>
        <v>3819360000</v>
      </c>
      <c r="V114" s="194">
        <f t="shared" si="4"/>
        <v>3819360000</v>
      </c>
      <c r="W114" s="194">
        <f t="shared" si="4"/>
        <v>3819360000</v>
      </c>
      <c r="X114" s="194">
        <f t="shared" si="4"/>
        <v>3819360000</v>
      </c>
      <c r="Y114" s="194">
        <f t="shared" si="4"/>
        <v>3819360000</v>
      </c>
      <c r="Z114" s="194">
        <f t="shared" si="4"/>
        <v>3819360000</v>
      </c>
      <c r="AA114" s="194">
        <f t="shared" si="4"/>
        <v>3819360000</v>
      </c>
      <c r="AB114" s="194">
        <f t="shared" si="4"/>
        <v>3819360000</v>
      </c>
      <c r="AC114" s="194">
        <f t="shared" si="4"/>
        <v>3819360000</v>
      </c>
      <c r="AD114" s="194">
        <f t="shared" si="4"/>
        <v>3819360000</v>
      </c>
      <c r="AE114" s="194">
        <f t="shared" si="4"/>
        <v>3819360000</v>
      </c>
      <c r="AF114" s="194">
        <f t="shared" si="4"/>
        <v>3819360000</v>
      </c>
      <c r="AG114" s="194">
        <f t="shared" si="4"/>
        <v>3819360000</v>
      </c>
      <c r="AH114" s="194">
        <f t="shared" si="4"/>
        <v>3819360000</v>
      </c>
      <c r="AI114" s="194">
        <f t="shared" si="4"/>
        <v>3819360000</v>
      </c>
      <c r="AJ114" s="194">
        <f t="shared" si="4"/>
        <v>3819360000</v>
      </c>
      <c r="AK114" s="194">
        <f t="shared" si="4"/>
        <v>3819360000</v>
      </c>
      <c r="AL114" s="194">
        <f t="shared" si="4"/>
        <v>3819360000</v>
      </c>
      <c r="AM114" s="194">
        <f t="shared" si="4"/>
        <v>3819360000</v>
      </c>
      <c r="AN114" s="194">
        <f t="shared" si="4"/>
        <v>0</v>
      </c>
      <c r="AO114" s="194">
        <f t="shared" si="4"/>
        <v>0</v>
      </c>
      <c r="AP114" s="194">
        <f t="shared" si="4"/>
        <v>0</v>
      </c>
      <c r="AQ114" s="194">
        <f t="shared" si="4"/>
        <v>0</v>
      </c>
      <c r="AR114" s="195">
        <f t="shared" si="4"/>
        <v>0</v>
      </c>
    </row>
    <row r="115" spans="2:44" x14ac:dyDescent="0.2">
      <c r="B115" s="50" t="s">
        <v>196</v>
      </c>
      <c r="C115" s="150" t="str">
        <f>$C$7</f>
        <v>kWh</v>
      </c>
      <c r="D115" s="145"/>
      <c r="E115" s="194">
        <f t="shared" ref="E115:AR115" si="5">IF($C$23="Ja",0,IF(E111&lt;=$C$76,$C$26*$C$29,IF(AND(E111&gt;$C$76,E111&lt;=$C$73),$C$26*$C$83,0)))</f>
        <v>0</v>
      </c>
      <c r="F115" s="194">
        <f t="shared" si="5"/>
        <v>0</v>
      </c>
      <c r="G115" s="194">
        <f t="shared" si="5"/>
        <v>0</v>
      </c>
      <c r="H115" s="194">
        <f t="shared" si="5"/>
        <v>0</v>
      </c>
      <c r="I115" s="194">
        <f t="shared" si="5"/>
        <v>0</v>
      </c>
      <c r="J115" s="194">
        <f t="shared" si="5"/>
        <v>0</v>
      </c>
      <c r="K115" s="194">
        <f t="shared" si="5"/>
        <v>0</v>
      </c>
      <c r="L115" s="194">
        <f t="shared" si="5"/>
        <v>0</v>
      </c>
      <c r="M115" s="194">
        <f t="shared" si="5"/>
        <v>0</v>
      </c>
      <c r="N115" s="194">
        <f t="shared" si="5"/>
        <v>0</v>
      </c>
      <c r="O115" s="194">
        <f t="shared" si="5"/>
        <v>0</v>
      </c>
      <c r="P115" s="194">
        <f t="shared" si="5"/>
        <v>0</v>
      </c>
      <c r="Q115" s="194">
        <f t="shared" si="5"/>
        <v>0</v>
      </c>
      <c r="R115" s="194">
        <f t="shared" si="5"/>
        <v>0</v>
      </c>
      <c r="S115" s="194">
        <f t="shared" si="5"/>
        <v>0</v>
      </c>
      <c r="T115" s="194">
        <f t="shared" si="5"/>
        <v>0</v>
      </c>
      <c r="U115" s="194">
        <f t="shared" si="5"/>
        <v>0</v>
      </c>
      <c r="V115" s="194">
        <f t="shared" si="5"/>
        <v>0</v>
      </c>
      <c r="W115" s="194">
        <f t="shared" si="5"/>
        <v>0</v>
      </c>
      <c r="X115" s="194">
        <f t="shared" si="5"/>
        <v>0</v>
      </c>
      <c r="Y115" s="194">
        <f t="shared" si="5"/>
        <v>0</v>
      </c>
      <c r="Z115" s="194">
        <f t="shared" si="5"/>
        <v>0</v>
      </c>
      <c r="AA115" s="194">
        <f t="shared" si="5"/>
        <v>0</v>
      </c>
      <c r="AB115" s="194">
        <f t="shared" si="5"/>
        <v>0</v>
      </c>
      <c r="AC115" s="194">
        <f t="shared" si="5"/>
        <v>0</v>
      </c>
      <c r="AD115" s="194">
        <f t="shared" si="5"/>
        <v>0</v>
      </c>
      <c r="AE115" s="194">
        <f t="shared" si="5"/>
        <v>0</v>
      </c>
      <c r="AF115" s="194">
        <f t="shared" si="5"/>
        <v>0</v>
      </c>
      <c r="AG115" s="194">
        <f t="shared" si="5"/>
        <v>0</v>
      </c>
      <c r="AH115" s="194">
        <f t="shared" si="5"/>
        <v>0</v>
      </c>
      <c r="AI115" s="194">
        <f t="shared" si="5"/>
        <v>0</v>
      </c>
      <c r="AJ115" s="194">
        <f t="shared" si="5"/>
        <v>0</v>
      </c>
      <c r="AK115" s="194">
        <f t="shared" si="5"/>
        <v>0</v>
      </c>
      <c r="AL115" s="194">
        <f t="shared" si="5"/>
        <v>0</v>
      </c>
      <c r="AM115" s="194">
        <f t="shared" si="5"/>
        <v>0</v>
      </c>
      <c r="AN115" s="194">
        <f t="shared" si="5"/>
        <v>0</v>
      </c>
      <c r="AO115" s="194">
        <f t="shared" si="5"/>
        <v>0</v>
      </c>
      <c r="AP115" s="194">
        <f t="shared" si="5"/>
        <v>0</v>
      </c>
      <c r="AQ115" s="194">
        <f t="shared" si="5"/>
        <v>0</v>
      </c>
      <c r="AR115" s="195">
        <f t="shared" si="5"/>
        <v>0</v>
      </c>
    </row>
    <row r="116" spans="2:44" x14ac:dyDescent="0.2">
      <c r="B116" s="50" t="s">
        <v>197</v>
      </c>
      <c r="C116" s="145" t="s">
        <v>198</v>
      </c>
      <c r="D116" s="145"/>
      <c r="E116" s="194">
        <f t="shared" ref="E116:AR116" si="6">IF(OR(E111&gt;$C$73,$C$23&lt;&gt;"JA"),0,$C$26*$C$29*$C$174/$C$173)</f>
        <v>0</v>
      </c>
      <c r="F116" s="194">
        <f t="shared" si="6"/>
        <v>0</v>
      </c>
      <c r="G116" s="194">
        <f t="shared" si="6"/>
        <v>0</v>
      </c>
      <c r="H116" s="194">
        <f t="shared" si="6"/>
        <v>0</v>
      </c>
      <c r="I116" s="194">
        <f t="shared" si="6"/>
        <v>0</v>
      </c>
      <c r="J116" s="194">
        <f t="shared" si="6"/>
        <v>0</v>
      </c>
      <c r="K116" s="194">
        <f t="shared" si="6"/>
        <v>0</v>
      </c>
      <c r="L116" s="194">
        <f t="shared" si="6"/>
        <v>0</v>
      </c>
      <c r="M116" s="194">
        <f t="shared" si="6"/>
        <v>0</v>
      </c>
      <c r="N116" s="194">
        <f t="shared" si="6"/>
        <v>0</v>
      </c>
      <c r="O116" s="194">
        <f t="shared" si="6"/>
        <v>0</v>
      </c>
      <c r="P116" s="194">
        <f t="shared" si="6"/>
        <v>0</v>
      </c>
      <c r="Q116" s="194">
        <f t="shared" si="6"/>
        <v>0</v>
      </c>
      <c r="R116" s="194">
        <f t="shared" si="6"/>
        <v>0</v>
      </c>
      <c r="S116" s="194">
        <f t="shared" si="6"/>
        <v>0</v>
      </c>
      <c r="T116" s="194">
        <f t="shared" si="6"/>
        <v>0</v>
      </c>
      <c r="U116" s="194">
        <f t="shared" si="6"/>
        <v>0</v>
      </c>
      <c r="V116" s="194">
        <f t="shared" si="6"/>
        <v>0</v>
      </c>
      <c r="W116" s="194">
        <f t="shared" si="6"/>
        <v>0</v>
      </c>
      <c r="X116" s="194">
        <f t="shared" si="6"/>
        <v>0</v>
      </c>
      <c r="Y116" s="194">
        <f t="shared" si="6"/>
        <v>0</v>
      </c>
      <c r="Z116" s="194">
        <f t="shared" si="6"/>
        <v>0</v>
      </c>
      <c r="AA116" s="194">
        <f t="shared" si="6"/>
        <v>0</v>
      </c>
      <c r="AB116" s="194">
        <f t="shared" si="6"/>
        <v>0</v>
      </c>
      <c r="AC116" s="194">
        <f t="shared" si="6"/>
        <v>0</v>
      </c>
      <c r="AD116" s="194">
        <f t="shared" si="6"/>
        <v>0</v>
      </c>
      <c r="AE116" s="194">
        <f t="shared" si="6"/>
        <v>0</v>
      </c>
      <c r="AF116" s="194">
        <f t="shared" si="6"/>
        <v>0</v>
      </c>
      <c r="AG116" s="194">
        <f t="shared" si="6"/>
        <v>0</v>
      </c>
      <c r="AH116" s="194">
        <f t="shared" si="6"/>
        <v>0</v>
      </c>
      <c r="AI116" s="194">
        <f t="shared" si="6"/>
        <v>0</v>
      </c>
      <c r="AJ116" s="194">
        <f t="shared" si="6"/>
        <v>0</v>
      </c>
      <c r="AK116" s="194">
        <f t="shared" si="6"/>
        <v>0</v>
      </c>
      <c r="AL116" s="194">
        <f t="shared" si="6"/>
        <v>0</v>
      </c>
      <c r="AM116" s="194">
        <f t="shared" si="6"/>
        <v>0</v>
      </c>
      <c r="AN116" s="194">
        <f t="shared" si="6"/>
        <v>0</v>
      </c>
      <c r="AO116" s="194">
        <f t="shared" si="6"/>
        <v>0</v>
      </c>
      <c r="AP116" s="194">
        <f t="shared" si="6"/>
        <v>0</v>
      </c>
      <c r="AQ116" s="194">
        <f t="shared" si="6"/>
        <v>0</v>
      </c>
      <c r="AR116" s="195">
        <f t="shared" si="6"/>
        <v>0</v>
      </c>
    </row>
    <row r="117" spans="2:44" x14ac:dyDescent="0.2">
      <c r="B117" s="161" t="s">
        <v>199</v>
      </c>
      <c r="C117" s="151" t="str">
        <f>$C$7</f>
        <v>kWh</v>
      </c>
      <c r="D117" s="152"/>
      <c r="E117" s="196">
        <f t="shared" ref="E117:AR117" si="7">SUM(E114:E116)</f>
        <v>3659360000</v>
      </c>
      <c r="F117" s="196">
        <f t="shared" si="7"/>
        <v>3659360000</v>
      </c>
      <c r="G117" s="196">
        <f t="shared" si="7"/>
        <v>3659360000</v>
      </c>
      <c r="H117" s="196">
        <f t="shared" si="7"/>
        <v>3659360000</v>
      </c>
      <c r="I117" s="196">
        <f t="shared" si="7"/>
        <v>3659360000</v>
      </c>
      <c r="J117" s="196">
        <f t="shared" si="7"/>
        <v>3659360000</v>
      </c>
      <c r="K117" s="196">
        <f t="shared" si="7"/>
        <v>3659360000</v>
      </c>
      <c r="L117" s="196">
        <f t="shared" si="7"/>
        <v>3659360000</v>
      </c>
      <c r="M117" s="196">
        <f t="shared" si="7"/>
        <v>3659360000</v>
      </c>
      <c r="N117" s="196">
        <f t="shared" si="7"/>
        <v>3659360000</v>
      </c>
      <c r="O117" s="196">
        <f t="shared" si="7"/>
        <v>3659360000</v>
      </c>
      <c r="P117" s="196">
        <f t="shared" si="7"/>
        <v>3659360000</v>
      </c>
      <c r="Q117" s="196">
        <f t="shared" si="7"/>
        <v>3659360000</v>
      </c>
      <c r="R117" s="196">
        <f t="shared" si="7"/>
        <v>3659360000</v>
      </c>
      <c r="S117" s="196">
        <f t="shared" si="7"/>
        <v>3659360000</v>
      </c>
      <c r="T117" s="196">
        <f t="shared" si="7"/>
        <v>3819360000</v>
      </c>
      <c r="U117" s="196">
        <f t="shared" si="7"/>
        <v>3819360000</v>
      </c>
      <c r="V117" s="196">
        <f t="shared" si="7"/>
        <v>3819360000</v>
      </c>
      <c r="W117" s="196">
        <f t="shared" si="7"/>
        <v>3819360000</v>
      </c>
      <c r="X117" s="196">
        <f t="shared" si="7"/>
        <v>3819360000</v>
      </c>
      <c r="Y117" s="196">
        <f t="shared" si="7"/>
        <v>3819360000</v>
      </c>
      <c r="Z117" s="196">
        <f t="shared" si="7"/>
        <v>3819360000</v>
      </c>
      <c r="AA117" s="196">
        <f t="shared" si="7"/>
        <v>3819360000</v>
      </c>
      <c r="AB117" s="196">
        <f t="shared" si="7"/>
        <v>3819360000</v>
      </c>
      <c r="AC117" s="196">
        <f t="shared" si="7"/>
        <v>3819360000</v>
      </c>
      <c r="AD117" s="196">
        <f t="shared" si="7"/>
        <v>3819360000</v>
      </c>
      <c r="AE117" s="196">
        <f t="shared" si="7"/>
        <v>3819360000</v>
      </c>
      <c r="AF117" s="196">
        <f t="shared" si="7"/>
        <v>3819360000</v>
      </c>
      <c r="AG117" s="196">
        <f t="shared" si="7"/>
        <v>3819360000</v>
      </c>
      <c r="AH117" s="196">
        <f t="shared" si="7"/>
        <v>3819360000</v>
      </c>
      <c r="AI117" s="196">
        <f t="shared" si="7"/>
        <v>3819360000</v>
      </c>
      <c r="AJ117" s="196">
        <f t="shared" si="7"/>
        <v>3819360000</v>
      </c>
      <c r="AK117" s="196">
        <f t="shared" si="7"/>
        <v>3819360000</v>
      </c>
      <c r="AL117" s="196">
        <f t="shared" si="7"/>
        <v>3819360000</v>
      </c>
      <c r="AM117" s="196">
        <f t="shared" si="7"/>
        <v>3819360000</v>
      </c>
      <c r="AN117" s="196">
        <f t="shared" si="7"/>
        <v>0</v>
      </c>
      <c r="AO117" s="196">
        <f t="shared" si="7"/>
        <v>0</v>
      </c>
      <c r="AP117" s="196">
        <f t="shared" si="7"/>
        <v>0</v>
      </c>
      <c r="AQ117" s="196">
        <f t="shared" si="7"/>
        <v>0</v>
      </c>
      <c r="AR117" s="197">
        <f t="shared" si="7"/>
        <v>0</v>
      </c>
    </row>
    <row r="118" spans="2:44" ht="12.95" customHeight="1" x14ac:dyDescent="0.2">
      <c r="B118" s="157" t="s">
        <v>200</v>
      </c>
      <c r="C118" s="148"/>
      <c r="D118" s="149"/>
      <c r="E118" s="149"/>
      <c r="F118" s="149"/>
      <c r="G118" s="149"/>
      <c r="H118" s="149"/>
      <c r="I118" s="149"/>
      <c r="J118" s="149"/>
      <c r="K118" s="149"/>
      <c r="L118" s="149"/>
      <c r="M118" s="149"/>
      <c r="N118" s="149"/>
      <c r="O118" s="149"/>
      <c r="P118" s="149"/>
      <c r="Q118" s="149"/>
      <c r="R118" s="149"/>
      <c r="S118" s="149"/>
      <c r="T118" s="149"/>
      <c r="U118" s="149"/>
      <c r="V118" s="149"/>
      <c r="W118" s="149"/>
      <c r="X118" s="149"/>
      <c r="Y118" s="149"/>
      <c r="Z118" s="149"/>
      <c r="AA118" s="149"/>
      <c r="AB118" s="149"/>
      <c r="AC118" s="149"/>
      <c r="AD118" s="149"/>
      <c r="AE118" s="149"/>
      <c r="AF118" s="149"/>
      <c r="AG118" s="149"/>
      <c r="AH118" s="149"/>
      <c r="AI118" s="149"/>
      <c r="AJ118" s="149"/>
      <c r="AK118" s="149"/>
      <c r="AL118" s="149"/>
      <c r="AM118" s="149"/>
      <c r="AN118" s="149"/>
      <c r="AO118" s="149"/>
      <c r="AP118" s="149"/>
      <c r="AQ118" s="149"/>
      <c r="AR118" s="160"/>
    </row>
    <row r="119" spans="2:44" x14ac:dyDescent="0.2">
      <c r="B119" s="50" t="s">
        <v>201</v>
      </c>
      <c r="C119" s="145" t="s">
        <v>183</v>
      </c>
      <c r="D119" s="145"/>
      <c r="E119" s="194">
        <f t="shared" ref="E119:AR119" si="8">IF(E111&gt;$C$73,0,-E108*(($C$42*$C$21+$C$43*SUM($C$26,$C$28))+E117*$C$49))+IF($C$101=E111,$D$101*E108,0)+IF($C$102=E111,$D$102*E108,0)</f>
        <v>-83770295.50938201</v>
      </c>
      <c r="F119" s="194">
        <f t="shared" si="8"/>
        <v>-85445701.419569656</v>
      </c>
      <c r="G119" s="194">
        <f t="shared" si="8"/>
        <v>-87154615.447961047</v>
      </c>
      <c r="H119" s="194">
        <f t="shared" si="8"/>
        <v>-88897707.756920263</v>
      </c>
      <c r="I119" s="194">
        <f t="shared" si="8"/>
        <v>-90675661.912058666</v>
      </c>
      <c r="J119" s="194">
        <f t="shared" si="8"/>
        <v>-92489175.150299847</v>
      </c>
      <c r="K119" s="194">
        <f t="shared" si="8"/>
        <v>-94338958.653305843</v>
      </c>
      <c r="L119" s="194">
        <f t="shared" si="8"/>
        <v>-96225737.826371938</v>
      </c>
      <c r="M119" s="194">
        <f t="shared" si="8"/>
        <v>-98150252.582899392</v>
      </c>
      <c r="N119" s="194">
        <f t="shared" si="8"/>
        <v>-100113257.63455738</v>
      </c>
      <c r="O119" s="194">
        <f t="shared" si="8"/>
        <v>-102115522.78724852</v>
      </c>
      <c r="P119" s="194">
        <f t="shared" si="8"/>
        <v>-104157833.24299347</v>
      </c>
      <c r="Q119" s="194">
        <f t="shared" si="8"/>
        <v>-106240989.90785336</v>
      </c>
      <c r="R119" s="194">
        <f t="shared" si="8"/>
        <v>-108365809.70601043</v>
      </c>
      <c r="S119" s="194">
        <f t="shared" si="8"/>
        <v>-110533125.90013064</v>
      </c>
      <c r="T119" s="194">
        <f t="shared" si="8"/>
        <v>-305337547.63231611</v>
      </c>
      <c r="U119" s="194">
        <f t="shared" si="8"/>
        <v>-117195121.31464089</v>
      </c>
      <c r="V119" s="194">
        <f t="shared" si="8"/>
        <v>-119539023.74093372</v>
      </c>
      <c r="W119" s="194">
        <f t="shared" si="8"/>
        <v>-121929804.21575238</v>
      </c>
      <c r="X119" s="194">
        <f t="shared" si="8"/>
        <v>-124368400.30006742</v>
      </c>
      <c r="Y119" s="194">
        <f t="shared" si="8"/>
        <v>-126855768.30606878</v>
      </c>
      <c r="Z119" s="194">
        <f t="shared" si="8"/>
        <v>-129392883.67219014</v>
      </c>
      <c r="AA119" s="194">
        <f t="shared" si="8"/>
        <v>-131980741.34563397</v>
      </c>
      <c r="AB119" s="194">
        <f t="shared" si="8"/>
        <v>-134620356.17254663</v>
      </c>
      <c r="AC119" s="194">
        <f t="shared" si="8"/>
        <v>-137312763.29599756</v>
      </c>
      <c r="AD119" s="194">
        <f t="shared" si="8"/>
        <v>-140059018.56191751</v>
      </c>
      <c r="AE119" s="194">
        <f t="shared" si="8"/>
        <v>-142860198.93315586</v>
      </c>
      <c r="AF119" s="194">
        <f t="shared" si="8"/>
        <v>-145717402.91181895</v>
      </c>
      <c r="AG119" s="194">
        <f t="shared" si="8"/>
        <v>-148631750.97005537</v>
      </c>
      <c r="AH119" s="194">
        <f t="shared" si="8"/>
        <v>-151604385.98945644</v>
      </c>
      <c r="AI119" s="194">
        <f t="shared" si="8"/>
        <v>-154636473.70924559</v>
      </c>
      <c r="AJ119" s="194">
        <f t="shared" si="8"/>
        <v>-157729203.18343046</v>
      </c>
      <c r="AK119" s="194">
        <f t="shared" si="8"/>
        <v>-160883787.24709913</v>
      </c>
      <c r="AL119" s="194">
        <f t="shared" si="8"/>
        <v>-164101462.99204111</v>
      </c>
      <c r="AM119" s="194">
        <f t="shared" si="8"/>
        <v>-167383492.25188193</v>
      </c>
      <c r="AN119" s="194">
        <f t="shared" si="8"/>
        <v>0</v>
      </c>
      <c r="AO119" s="194">
        <f t="shared" si="8"/>
        <v>0</v>
      </c>
      <c r="AP119" s="194">
        <f t="shared" si="8"/>
        <v>0</v>
      </c>
      <c r="AQ119" s="194">
        <f t="shared" si="8"/>
        <v>0</v>
      </c>
      <c r="AR119" s="195">
        <f t="shared" si="8"/>
        <v>0</v>
      </c>
    </row>
    <row r="120" spans="2:44" x14ac:dyDescent="0.2">
      <c r="B120" s="50" t="s">
        <v>202</v>
      </c>
      <c r="C120" s="145" t="s">
        <v>183</v>
      </c>
      <c r="D120" s="145"/>
      <c r="E120" s="194">
        <f t="shared" ref="E120:AR120" si="9">IF(OR(E111&gt;$C$73, $C$52=0), 0, -E108*$C$54/$C$52*$C$21*MAX($C$29,$C$30)*$C$175/1000)</f>
        <v>0</v>
      </c>
      <c r="F120" s="194">
        <f t="shared" si="9"/>
        <v>0</v>
      </c>
      <c r="G120" s="194">
        <f t="shared" si="9"/>
        <v>0</v>
      </c>
      <c r="H120" s="194">
        <f t="shared" si="9"/>
        <v>0</v>
      </c>
      <c r="I120" s="194">
        <f t="shared" si="9"/>
        <v>0</v>
      </c>
      <c r="J120" s="194">
        <f t="shared" si="9"/>
        <v>0</v>
      </c>
      <c r="K120" s="194">
        <f t="shared" si="9"/>
        <v>0</v>
      </c>
      <c r="L120" s="194">
        <f t="shared" si="9"/>
        <v>0</v>
      </c>
      <c r="M120" s="194">
        <f t="shared" si="9"/>
        <v>0</v>
      </c>
      <c r="N120" s="194">
        <f t="shared" si="9"/>
        <v>0</v>
      </c>
      <c r="O120" s="194">
        <f t="shared" si="9"/>
        <v>0</v>
      </c>
      <c r="P120" s="194">
        <f t="shared" si="9"/>
        <v>0</v>
      </c>
      <c r="Q120" s="194">
        <f t="shared" si="9"/>
        <v>0</v>
      </c>
      <c r="R120" s="194">
        <f t="shared" si="9"/>
        <v>0</v>
      </c>
      <c r="S120" s="194">
        <f t="shared" si="9"/>
        <v>0</v>
      </c>
      <c r="T120" s="194">
        <f t="shared" si="9"/>
        <v>0</v>
      </c>
      <c r="U120" s="194">
        <f t="shared" si="9"/>
        <v>0</v>
      </c>
      <c r="V120" s="194">
        <f t="shared" si="9"/>
        <v>0</v>
      </c>
      <c r="W120" s="194">
        <f t="shared" si="9"/>
        <v>0</v>
      </c>
      <c r="X120" s="194">
        <f t="shared" si="9"/>
        <v>0</v>
      </c>
      <c r="Y120" s="194">
        <f t="shared" si="9"/>
        <v>0</v>
      </c>
      <c r="Z120" s="194">
        <f t="shared" si="9"/>
        <v>0</v>
      </c>
      <c r="AA120" s="194">
        <f t="shared" si="9"/>
        <v>0</v>
      </c>
      <c r="AB120" s="194">
        <f t="shared" si="9"/>
        <v>0</v>
      </c>
      <c r="AC120" s="194">
        <f t="shared" si="9"/>
        <v>0</v>
      </c>
      <c r="AD120" s="194">
        <f t="shared" si="9"/>
        <v>0</v>
      </c>
      <c r="AE120" s="194">
        <f t="shared" si="9"/>
        <v>0</v>
      </c>
      <c r="AF120" s="194">
        <f t="shared" si="9"/>
        <v>0</v>
      </c>
      <c r="AG120" s="194">
        <f t="shared" si="9"/>
        <v>0</v>
      </c>
      <c r="AH120" s="194">
        <f t="shared" si="9"/>
        <v>0</v>
      </c>
      <c r="AI120" s="194">
        <f t="shared" si="9"/>
        <v>0</v>
      </c>
      <c r="AJ120" s="194">
        <f t="shared" si="9"/>
        <v>0</v>
      </c>
      <c r="AK120" s="194">
        <f t="shared" si="9"/>
        <v>0</v>
      </c>
      <c r="AL120" s="194">
        <f t="shared" si="9"/>
        <v>0</v>
      </c>
      <c r="AM120" s="194">
        <f t="shared" si="9"/>
        <v>0</v>
      </c>
      <c r="AN120" s="194">
        <f t="shared" si="9"/>
        <v>0</v>
      </c>
      <c r="AO120" s="194">
        <f t="shared" si="9"/>
        <v>0</v>
      </c>
      <c r="AP120" s="194">
        <f t="shared" si="9"/>
        <v>0</v>
      </c>
      <c r="AQ120" s="194">
        <f t="shared" si="9"/>
        <v>0</v>
      </c>
      <c r="AR120" s="195">
        <f t="shared" si="9"/>
        <v>0</v>
      </c>
    </row>
    <row r="121" spans="2:44" x14ac:dyDescent="0.2">
      <c r="B121" s="50" t="s">
        <v>203</v>
      </c>
      <c r="C121" s="145" t="s">
        <v>178</v>
      </c>
      <c r="D121" s="145"/>
      <c r="E121" s="198">
        <f t="shared" ref="E121:AR121" si="10">IF(AND(E111&gt;$C$76,E111&lt;=$C$73),(IF($C$81&gt;0,$C$80*E108,0)), )</f>
        <v>0</v>
      </c>
      <c r="F121" s="198">
        <f t="shared" si="10"/>
        <v>0</v>
      </c>
      <c r="G121" s="198">
        <f t="shared" si="10"/>
        <v>0</v>
      </c>
      <c r="H121" s="198">
        <f t="shared" si="10"/>
        <v>0</v>
      </c>
      <c r="I121" s="198">
        <f t="shared" si="10"/>
        <v>0</v>
      </c>
      <c r="J121" s="198">
        <f t="shared" si="10"/>
        <v>0</v>
      </c>
      <c r="K121" s="198">
        <f t="shared" si="10"/>
        <v>0</v>
      </c>
      <c r="L121" s="198">
        <f t="shared" si="10"/>
        <v>0</v>
      </c>
      <c r="M121" s="198">
        <f t="shared" si="10"/>
        <v>0</v>
      </c>
      <c r="N121" s="198">
        <f t="shared" si="10"/>
        <v>0</v>
      </c>
      <c r="O121" s="198">
        <f t="shared" si="10"/>
        <v>0</v>
      </c>
      <c r="P121" s="198">
        <f t="shared" si="10"/>
        <v>0</v>
      </c>
      <c r="Q121" s="198">
        <f t="shared" si="10"/>
        <v>0</v>
      </c>
      <c r="R121" s="198">
        <f t="shared" si="10"/>
        <v>0</v>
      </c>
      <c r="S121" s="198">
        <f t="shared" si="10"/>
        <v>0</v>
      </c>
      <c r="T121" s="198">
        <f t="shared" si="10"/>
        <v>7.6096388475197049E-2</v>
      </c>
      <c r="U121" s="198">
        <f t="shared" si="10"/>
        <v>7.7618316244701002E-2</v>
      </c>
      <c r="V121" s="198">
        <f t="shared" si="10"/>
        <v>7.917068256959503E-2</v>
      </c>
      <c r="W121" s="198">
        <f t="shared" si="10"/>
        <v>8.0754096220986921E-2</v>
      </c>
      <c r="X121" s="198">
        <f t="shared" si="10"/>
        <v>8.2369178145406646E-2</v>
      </c>
      <c r="Y121" s="198">
        <f t="shared" si="10"/>
        <v>8.4016561708314785E-2</v>
      </c>
      <c r="Z121" s="198">
        <f t="shared" si="10"/>
        <v>8.5696892942481076E-2</v>
      </c>
      <c r="AA121" s="198">
        <f t="shared" si="10"/>
        <v>8.7410830801330705E-2</v>
      </c>
      <c r="AB121" s="198">
        <f t="shared" si="10"/>
        <v>8.9159047417357307E-2</v>
      </c>
      <c r="AC121" s="198">
        <f t="shared" si="10"/>
        <v>9.0942228365704453E-2</v>
      </c>
      <c r="AD121" s="198">
        <f t="shared" si="10"/>
        <v>9.2761072933018551E-2</v>
      </c>
      <c r="AE121" s="198">
        <f t="shared" si="10"/>
        <v>9.4616294391678929E-2</v>
      </c>
      <c r="AF121" s="198">
        <f t="shared" si="10"/>
        <v>9.6508620279512486E-2</v>
      </c>
      <c r="AG121" s="198">
        <f t="shared" si="10"/>
        <v>9.8438792685102763E-2</v>
      </c>
      <c r="AH121" s="198">
        <f t="shared" si="10"/>
        <v>0.1004075685388048</v>
      </c>
      <c r="AI121" s="198">
        <f t="shared" si="10"/>
        <v>0.1024157199095809</v>
      </c>
      <c r="AJ121" s="198">
        <f t="shared" si="10"/>
        <v>0.1044640343077725</v>
      </c>
      <c r="AK121" s="198">
        <f t="shared" si="10"/>
        <v>0.10655331499392796</v>
      </c>
      <c r="AL121" s="198">
        <f t="shared" si="10"/>
        <v>0.10868438129380653</v>
      </c>
      <c r="AM121" s="198">
        <f t="shared" si="10"/>
        <v>0.11085806891968265</v>
      </c>
      <c r="AN121" s="198">
        <f t="shared" si="10"/>
        <v>0</v>
      </c>
      <c r="AO121" s="198">
        <f t="shared" si="10"/>
        <v>0</v>
      </c>
      <c r="AP121" s="198">
        <f t="shared" si="10"/>
        <v>0</v>
      </c>
      <c r="AQ121" s="198">
        <f t="shared" si="10"/>
        <v>0</v>
      </c>
      <c r="AR121" s="199">
        <f t="shared" si="10"/>
        <v>0</v>
      </c>
    </row>
    <row r="122" spans="2:44" x14ac:dyDescent="0.2">
      <c r="B122" s="50" t="s">
        <v>204</v>
      </c>
      <c r="C122" s="145" t="s">
        <v>178</v>
      </c>
      <c r="D122" s="145"/>
      <c r="E122" s="198">
        <f t="shared" ref="E122:AR122" si="11">IF($C$23="Ja",0,IF(AND(E111&gt;$C$76,E111&lt;=$C$73),(IF($C$83&gt;0,$C$82*E108,0)), ))</f>
        <v>0</v>
      </c>
      <c r="F122" s="198">
        <f t="shared" si="11"/>
        <v>0</v>
      </c>
      <c r="G122" s="198">
        <f t="shared" si="11"/>
        <v>0</v>
      </c>
      <c r="H122" s="198">
        <f t="shared" si="11"/>
        <v>0</v>
      </c>
      <c r="I122" s="198">
        <f t="shared" si="11"/>
        <v>0</v>
      </c>
      <c r="J122" s="198">
        <f t="shared" si="11"/>
        <v>0</v>
      </c>
      <c r="K122" s="198">
        <f t="shared" si="11"/>
        <v>0</v>
      </c>
      <c r="L122" s="198">
        <f t="shared" si="11"/>
        <v>0</v>
      </c>
      <c r="M122" s="198">
        <f t="shared" si="11"/>
        <v>0</v>
      </c>
      <c r="N122" s="198">
        <f t="shared" si="11"/>
        <v>0</v>
      </c>
      <c r="O122" s="198">
        <f t="shared" si="11"/>
        <v>0</v>
      </c>
      <c r="P122" s="198">
        <f t="shared" si="11"/>
        <v>0</v>
      </c>
      <c r="Q122" s="198">
        <f t="shared" si="11"/>
        <v>0</v>
      </c>
      <c r="R122" s="198">
        <f t="shared" si="11"/>
        <v>0</v>
      </c>
      <c r="S122" s="198">
        <f t="shared" si="11"/>
        <v>0</v>
      </c>
      <c r="T122" s="198">
        <f t="shared" si="11"/>
        <v>0</v>
      </c>
      <c r="U122" s="198">
        <f t="shared" si="11"/>
        <v>0</v>
      </c>
      <c r="V122" s="198">
        <f t="shared" si="11"/>
        <v>0</v>
      </c>
      <c r="W122" s="198">
        <f t="shared" si="11"/>
        <v>0</v>
      </c>
      <c r="X122" s="198">
        <f t="shared" si="11"/>
        <v>0</v>
      </c>
      <c r="Y122" s="198">
        <f t="shared" si="11"/>
        <v>0</v>
      </c>
      <c r="Z122" s="198">
        <f t="shared" si="11"/>
        <v>0</v>
      </c>
      <c r="AA122" s="198">
        <f t="shared" si="11"/>
        <v>0</v>
      </c>
      <c r="AB122" s="198">
        <f t="shared" si="11"/>
        <v>0</v>
      </c>
      <c r="AC122" s="198">
        <f t="shared" si="11"/>
        <v>0</v>
      </c>
      <c r="AD122" s="198">
        <f t="shared" si="11"/>
        <v>0</v>
      </c>
      <c r="AE122" s="198">
        <f t="shared" si="11"/>
        <v>0</v>
      </c>
      <c r="AF122" s="198">
        <f t="shared" si="11"/>
        <v>0</v>
      </c>
      <c r="AG122" s="198">
        <f t="shared" si="11"/>
        <v>0</v>
      </c>
      <c r="AH122" s="198">
        <f t="shared" si="11"/>
        <v>0</v>
      </c>
      <c r="AI122" s="198">
        <f t="shared" si="11"/>
        <v>0</v>
      </c>
      <c r="AJ122" s="198">
        <f t="shared" si="11"/>
        <v>0</v>
      </c>
      <c r="AK122" s="198">
        <f t="shared" si="11"/>
        <v>0</v>
      </c>
      <c r="AL122" s="198">
        <f t="shared" si="11"/>
        <v>0</v>
      </c>
      <c r="AM122" s="198">
        <f t="shared" si="11"/>
        <v>0</v>
      </c>
      <c r="AN122" s="198">
        <f t="shared" si="11"/>
        <v>0</v>
      </c>
      <c r="AO122" s="198">
        <f t="shared" si="11"/>
        <v>0</v>
      </c>
      <c r="AP122" s="198">
        <f t="shared" si="11"/>
        <v>0</v>
      </c>
      <c r="AQ122" s="198">
        <f t="shared" si="11"/>
        <v>0</v>
      </c>
      <c r="AR122" s="199">
        <f t="shared" si="11"/>
        <v>0</v>
      </c>
    </row>
    <row r="123" spans="2:44" x14ac:dyDescent="0.2">
      <c r="B123" s="50" t="s">
        <v>205</v>
      </c>
      <c r="C123" s="145" t="str">
        <f>CONCATENATE("Euro/",$C$7)</f>
        <v>Euro/kWh</v>
      </c>
      <c r="D123" s="145"/>
      <c r="E123" s="198">
        <f t="shared" ref="E123:AR123" si="12">E107</f>
        <v>0</v>
      </c>
      <c r="F123" s="198">
        <f t="shared" si="12"/>
        <v>0</v>
      </c>
      <c r="G123" s="198">
        <f t="shared" si="12"/>
        <v>0</v>
      </c>
      <c r="H123" s="198">
        <f t="shared" si="12"/>
        <v>0</v>
      </c>
      <c r="I123" s="198">
        <f t="shared" si="12"/>
        <v>0</v>
      </c>
      <c r="J123" s="198">
        <f t="shared" si="12"/>
        <v>0</v>
      </c>
      <c r="K123" s="198">
        <f t="shared" si="12"/>
        <v>0</v>
      </c>
      <c r="L123" s="198">
        <f t="shared" si="12"/>
        <v>0</v>
      </c>
      <c r="M123" s="198">
        <f t="shared" si="12"/>
        <v>0</v>
      </c>
      <c r="N123" s="198">
        <f t="shared" si="12"/>
        <v>0</v>
      </c>
      <c r="O123" s="198">
        <f t="shared" si="12"/>
        <v>0</v>
      </c>
      <c r="P123" s="198">
        <f t="shared" si="12"/>
        <v>0</v>
      </c>
      <c r="Q123" s="198">
        <f t="shared" si="12"/>
        <v>0</v>
      </c>
      <c r="R123" s="198">
        <f t="shared" si="12"/>
        <v>0</v>
      </c>
      <c r="S123" s="198">
        <f t="shared" si="12"/>
        <v>0</v>
      </c>
      <c r="T123" s="198">
        <f t="shared" si="12"/>
        <v>0</v>
      </c>
      <c r="U123" s="198">
        <f t="shared" si="12"/>
        <v>0</v>
      </c>
      <c r="V123" s="198">
        <f t="shared" si="12"/>
        <v>0</v>
      </c>
      <c r="W123" s="198">
        <f t="shared" si="12"/>
        <v>0</v>
      </c>
      <c r="X123" s="198">
        <f t="shared" si="12"/>
        <v>0</v>
      </c>
      <c r="Y123" s="198">
        <f t="shared" si="12"/>
        <v>0</v>
      </c>
      <c r="Z123" s="198">
        <f t="shared" si="12"/>
        <v>0</v>
      </c>
      <c r="AA123" s="198">
        <f t="shared" si="12"/>
        <v>0</v>
      </c>
      <c r="AB123" s="198">
        <f t="shared" si="12"/>
        <v>0</v>
      </c>
      <c r="AC123" s="198">
        <f t="shared" si="12"/>
        <v>0</v>
      </c>
      <c r="AD123" s="198">
        <f t="shared" si="12"/>
        <v>0</v>
      </c>
      <c r="AE123" s="198">
        <f t="shared" si="12"/>
        <v>0</v>
      </c>
      <c r="AF123" s="198">
        <f t="shared" si="12"/>
        <v>0</v>
      </c>
      <c r="AG123" s="198">
        <f t="shared" si="12"/>
        <v>0</v>
      </c>
      <c r="AH123" s="198">
        <f t="shared" si="12"/>
        <v>0</v>
      </c>
      <c r="AI123" s="198">
        <f t="shared" si="12"/>
        <v>0</v>
      </c>
      <c r="AJ123" s="198">
        <f t="shared" si="12"/>
        <v>0</v>
      </c>
      <c r="AK123" s="198">
        <f t="shared" si="12"/>
        <v>0</v>
      </c>
      <c r="AL123" s="198">
        <f t="shared" si="12"/>
        <v>0</v>
      </c>
      <c r="AM123" s="198">
        <f t="shared" si="12"/>
        <v>0</v>
      </c>
      <c r="AN123" s="198">
        <f t="shared" si="12"/>
        <v>0</v>
      </c>
      <c r="AO123" s="198">
        <f t="shared" si="12"/>
        <v>0</v>
      </c>
      <c r="AP123" s="198">
        <f t="shared" si="12"/>
        <v>0</v>
      </c>
      <c r="AQ123" s="198">
        <f t="shared" si="12"/>
        <v>0</v>
      </c>
      <c r="AR123" s="199">
        <f t="shared" si="12"/>
        <v>0</v>
      </c>
    </row>
    <row r="124" spans="2:44" x14ac:dyDescent="0.2">
      <c r="B124" s="50" t="s">
        <v>28</v>
      </c>
      <c r="C124" s="145" t="str">
        <f>CONCATENATE("Euro/",$C$7)</f>
        <v>Euro/kWh</v>
      </c>
      <c r="D124" s="145"/>
      <c r="E124" s="198">
        <f t="shared" ref="E124:AR124" si="13">E106</f>
        <v>0</v>
      </c>
      <c r="F124" s="198">
        <f t="shared" si="13"/>
        <v>0</v>
      </c>
      <c r="G124" s="198">
        <f t="shared" si="13"/>
        <v>0</v>
      </c>
      <c r="H124" s="198">
        <f t="shared" si="13"/>
        <v>0</v>
      </c>
      <c r="I124" s="198">
        <f t="shared" si="13"/>
        <v>0</v>
      </c>
      <c r="J124" s="198">
        <f t="shared" si="13"/>
        <v>0</v>
      </c>
      <c r="K124" s="198">
        <f t="shared" si="13"/>
        <v>0</v>
      </c>
      <c r="L124" s="198">
        <f t="shared" si="13"/>
        <v>0</v>
      </c>
      <c r="M124" s="198">
        <f t="shared" si="13"/>
        <v>0</v>
      </c>
      <c r="N124" s="198">
        <f t="shared" si="13"/>
        <v>0</v>
      </c>
      <c r="O124" s="198">
        <f t="shared" si="13"/>
        <v>0</v>
      </c>
      <c r="P124" s="198">
        <f t="shared" si="13"/>
        <v>0</v>
      </c>
      <c r="Q124" s="198">
        <f t="shared" si="13"/>
        <v>0</v>
      </c>
      <c r="R124" s="198">
        <f t="shared" si="13"/>
        <v>0</v>
      </c>
      <c r="S124" s="198">
        <f t="shared" si="13"/>
        <v>0</v>
      </c>
      <c r="T124" s="198">
        <f t="shared" si="13"/>
        <v>0</v>
      </c>
      <c r="U124" s="198">
        <f t="shared" si="13"/>
        <v>0</v>
      </c>
      <c r="V124" s="198">
        <f t="shared" si="13"/>
        <v>0</v>
      </c>
      <c r="W124" s="198">
        <f t="shared" si="13"/>
        <v>0</v>
      </c>
      <c r="X124" s="198">
        <f t="shared" si="13"/>
        <v>0</v>
      </c>
      <c r="Y124" s="198">
        <f t="shared" si="13"/>
        <v>0</v>
      </c>
      <c r="Z124" s="198">
        <f t="shared" si="13"/>
        <v>0</v>
      </c>
      <c r="AA124" s="198">
        <f t="shared" si="13"/>
        <v>0</v>
      </c>
      <c r="AB124" s="198">
        <f t="shared" si="13"/>
        <v>0</v>
      </c>
      <c r="AC124" s="198">
        <f t="shared" si="13"/>
        <v>0</v>
      </c>
      <c r="AD124" s="198">
        <f t="shared" si="13"/>
        <v>0</v>
      </c>
      <c r="AE124" s="198">
        <f t="shared" si="13"/>
        <v>0</v>
      </c>
      <c r="AF124" s="198">
        <f t="shared" si="13"/>
        <v>0</v>
      </c>
      <c r="AG124" s="198">
        <f t="shared" si="13"/>
        <v>0</v>
      </c>
      <c r="AH124" s="198">
        <f t="shared" si="13"/>
        <v>0</v>
      </c>
      <c r="AI124" s="198">
        <f t="shared" si="13"/>
        <v>0</v>
      </c>
      <c r="AJ124" s="198">
        <f t="shared" si="13"/>
        <v>0</v>
      </c>
      <c r="AK124" s="198">
        <f t="shared" si="13"/>
        <v>0</v>
      </c>
      <c r="AL124" s="198">
        <f t="shared" si="13"/>
        <v>0</v>
      </c>
      <c r="AM124" s="198">
        <f t="shared" si="13"/>
        <v>0</v>
      </c>
      <c r="AN124" s="198">
        <f t="shared" si="13"/>
        <v>0</v>
      </c>
      <c r="AO124" s="198">
        <f t="shared" si="13"/>
        <v>0</v>
      </c>
      <c r="AP124" s="198">
        <f t="shared" si="13"/>
        <v>0</v>
      </c>
      <c r="AQ124" s="198">
        <f t="shared" si="13"/>
        <v>0</v>
      </c>
      <c r="AR124" s="199">
        <f t="shared" si="13"/>
        <v>0</v>
      </c>
    </row>
    <row r="125" spans="2:44" x14ac:dyDescent="0.2">
      <c r="B125" s="50" t="s">
        <v>206</v>
      </c>
      <c r="C125" s="145" t="s">
        <v>183</v>
      </c>
      <c r="D125" s="145"/>
      <c r="E125" s="194">
        <f t="shared" ref="E125:AR125" si="14">MAX(0,E124-E123)*E117</f>
        <v>0</v>
      </c>
      <c r="F125" s="194">
        <f t="shared" si="14"/>
        <v>0</v>
      </c>
      <c r="G125" s="194">
        <f t="shared" si="14"/>
        <v>0</v>
      </c>
      <c r="H125" s="194">
        <f t="shared" si="14"/>
        <v>0</v>
      </c>
      <c r="I125" s="194">
        <f t="shared" si="14"/>
        <v>0</v>
      </c>
      <c r="J125" s="194">
        <f t="shared" si="14"/>
        <v>0</v>
      </c>
      <c r="K125" s="194">
        <f t="shared" si="14"/>
        <v>0</v>
      </c>
      <c r="L125" s="194">
        <f t="shared" si="14"/>
        <v>0</v>
      </c>
      <c r="M125" s="194">
        <f t="shared" si="14"/>
        <v>0</v>
      </c>
      <c r="N125" s="194">
        <f t="shared" si="14"/>
        <v>0</v>
      </c>
      <c r="O125" s="194">
        <f t="shared" si="14"/>
        <v>0</v>
      </c>
      <c r="P125" s="194">
        <f t="shared" si="14"/>
        <v>0</v>
      </c>
      <c r="Q125" s="194">
        <f t="shared" si="14"/>
        <v>0</v>
      </c>
      <c r="R125" s="194">
        <f t="shared" si="14"/>
        <v>0</v>
      </c>
      <c r="S125" s="194">
        <f t="shared" si="14"/>
        <v>0</v>
      </c>
      <c r="T125" s="194">
        <f t="shared" si="14"/>
        <v>0</v>
      </c>
      <c r="U125" s="194">
        <f t="shared" si="14"/>
        <v>0</v>
      </c>
      <c r="V125" s="194">
        <f t="shared" si="14"/>
        <v>0</v>
      </c>
      <c r="W125" s="194">
        <f t="shared" si="14"/>
        <v>0</v>
      </c>
      <c r="X125" s="194">
        <f t="shared" si="14"/>
        <v>0</v>
      </c>
      <c r="Y125" s="194">
        <f t="shared" si="14"/>
        <v>0</v>
      </c>
      <c r="Z125" s="194">
        <f t="shared" si="14"/>
        <v>0</v>
      </c>
      <c r="AA125" s="194">
        <f t="shared" si="14"/>
        <v>0</v>
      </c>
      <c r="AB125" s="194">
        <f t="shared" si="14"/>
        <v>0</v>
      </c>
      <c r="AC125" s="194">
        <f t="shared" si="14"/>
        <v>0</v>
      </c>
      <c r="AD125" s="194">
        <f t="shared" si="14"/>
        <v>0</v>
      </c>
      <c r="AE125" s="194">
        <f t="shared" si="14"/>
        <v>0</v>
      </c>
      <c r="AF125" s="194">
        <f t="shared" si="14"/>
        <v>0</v>
      </c>
      <c r="AG125" s="194">
        <f t="shared" si="14"/>
        <v>0</v>
      </c>
      <c r="AH125" s="194">
        <f t="shared" si="14"/>
        <v>0</v>
      </c>
      <c r="AI125" s="194">
        <f t="shared" si="14"/>
        <v>0</v>
      </c>
      <c r="AJ125" s="194">
        <f t="shared" si="14"/>
        <v>0</v>
      </c>
      <c r="AK125" s="194">
        <f t="shared" si="14"/>
        <v>0</v>
      </c>
      <c r="AL125" s="194">
        <f t="shared" si="14"/>
        <v>0</v>
      </c>
      <c r="AM125" s="194">
        <f t="shared" si="14"/>
        <v>0</v>
      </c>
      <c r="AN125" s="194">
        <f t="shared" si="14"/>
        <v>0</v>
      </c>
      <c r="AO125" s="194">
        <f t="shared" si="14"/>
        <v>0</v>
      </c>
      <c r="AP125" s="194">
        <f t="shared" si="14"/>
        <v>0</v>
      </c>
      <c r="AQ125" s="194">
        <f t="shared" si="14"/>
        <v>0</v>
      </c>
      <c r="AR125" s="195">
        <f t="shared" si="14"/>
        <v>0</v>
      </c>
    </row>
    <row r="126" spans="2:44" x14ac:dyDescent="0.2">
      <c r="B126" s="50" t="s">
        <v>207</v>
      </c>
      <c r="C126" s="145" t="s">
        <v>183</v>
      </c>
      <c r="D126" s="145"/>
      <c r="E126" s="194">
        <f t="shared" ref="E126:AR126" si="15">IF(E107&gt;0,,E121*E114+E122*SUM(E115:E116))</f>
        <v>0</v>
      </c>
      <c r="F126" s="194">
        <f t="shared" si="15"/>
        <v>0</v>
      </c>
      <c r="G126" s="194">
        <f t="shared" si="15"/>
        <v>0</v>
      </c>
      <c r="H126" s="194">
        <f t="shared" si="15"/>
        <v>0</v>
      </c>
      <c r="I126" s="194">
        <f t="shared" si="15"/>
        <v>0</v>
      </c>
      <c r="J126" s="194">
        <f t="shared" si="15"/>
        <v>0</v>
      </c>
      <c r="K126" s="194">
        <f t="shared" si="15"/>
        <v>0</v>
      </c>
      <c r="L126" s="194">
        <f t="shared" si="15"/>
        <v>0</v>
      </c>
      <c r="M126" s="194">
        <f t="shared" si="15"/>
        <v>0</v>
      </c>
      <c r="N126" s="194">
        <f t="shared" si="15"/>
        <v>0</v>
      </c>
      <c r="O126" s="194">
        <f t="shared" si="15"/>
        <v>0</v>
      </c>
      <c r="P126" s="194">
        <f t="shared" si="15"/>
        <v>0</v>
      </c>
      <c r="Q126" s="194">
        <f t="shared" si="15"/>
        <v>0</v>
      </c>
      <c r="R126" s="194">
        <f t="shared" si="15"/>
        <v>0</v>
      </c>
      <c r="S126" s="194">
        <f t="shared" si="15"/>
        <v>0</v>
      </c>
      <c r="T126" s="194">
        <f t="shared" si="15"/>
        <v>290639502.2866286</v>
      </c>
      <c r="U126" s="194">
        <f t="shared" si="15"/>
        <v>296452292.33236122</v>
      </c>
      <c r="V126" s="194">
        <f t="shared" si="15"/>
        <v>302381338.17900848</v>
      </c>
      <c r="W126" s="194">
        <f t="shared" si="15"/>
        <v>308428964.94258863</v>
      </c>
      <c r="X126" s="194">
        <f t="shared" si="15"/>
        <v>314597544.24144036</v>
      </c>
      <c r="Y126" s="194">
        <f t="shared" si="15"/>
        <v>320889495.12626916</v>
      </c>
      <c r="Z126" s="194">
        <f t="shared" si="15"/>
        <v>327307285.02879453</v>
      </c>
      <c r="AA126" s="194">
        <f t="shared" si="15"/>
        <v>333853430.72937042</v>
      </c>
      <c r="AB126" s="194">
        <f t="shared" si="15"/>
        <v>340530499.34395778</v>
      </c>
      <c r="AC126" s="194">
        <f t="shared" si="15"/>
        <v>347341109.33083695</v>
      </c>
      <c r="AD126" s="194">
        <f t="shared" si="15"/>
        <v>354287931.51745373</v>
      </c>
      <c r="AE126" s="194">
        <f t="shared" si="15"/>
        <v>361373690.14780283</v>
      </c>
      <c r="AF126" s="194">
        <f t="shared" si="15"/>
        <v>368601163.95075881</v>
      </c>
      <c r="AG126" s="194">
        <f t="shared" si="15"/>
        <v>375973187.22977412</v>
      </c>
      <c r="AH126" s="194">
        <f t="shared" si="15"/>
        <v>383492650.97436947</v>
      </c>
      <c r="AI126" s="194">
        <f t="shared" si="15"/>
        <v>391162503.99385691</v>
      </c>
      <c r="AJ126" s="194">
        <f t="shared" si="15"/>
        <v>398985754.07373399</v>
      </c>
      <c r="AK126" s="194">
        <f t="shared" si="15"/>
        <v>406965469.15520871</v>
      </c>
      <c r="AL126" s="194">
        <f t="shared" si="15"/>
        <v>415104778.53831291</v>
      </c>
      <c r="AM126" s="194">
        <f t="shared" si="15"/>
        <v>423406874.10907912</v>
      </c>
      <c r="AN126" s="194">
        <f t="shared" si="15"/>
        <v>0</v>
      </c>
      <c r="AO126" s="194">
        <f t="shared" si="15"/>
        <v>0</v>
      </c>
      <c r="AP126" s="194">
        <f t="shared" si="15"/>
        <v>0</v>
      </c>
      <c r="AQ126" s="194">
        <f t="shared" si="15"/>
        <v>0</v>
      </c>
      <c r="AR126" s="195">
        <f t="shared" si="15"/>
        <v>0</v>
      </c>
    </row>
    <row r="127" spans="2:44" x14ac:dyDescent="0.2">
      <c r="B127" s="50" t="s">
        <v>208</v>
      </c>
      <c r="C127" s="145" t="s">
        <v>183</v>
      </c>
      <c r="D127" s="153"/>
      <c r="E127" s="194">
        <f t="shared" ref="E127:AR127" si="16">E123*E117</f>
        <v>0</v>
      </c>
      <c r="F127" s="194">
        <f t="shared" si="16"/>
        <v>0</v>
      </c>
      <c r="G127" s="194">
        <f t="shared" si="16"/>
        <v>0</v>
      </c>
      <c r="H127" s="194">
        <f t="shared" si="16"/>
        <v>0</v>
      </c>
      <c r="I127" s="194">
        <f t="shared" si="16"/>
        <v>0</v>
      </c>
      <c r="J127" s="194">
        <f t="shared" si="16"/>
        <v>0</v>
      </c>
      <c r="K127" s="194">
        <f t="shared" si="16"/>
        <v>0</v>
      </c>
      <c r="L127" s="194">
        <f t="shared" si="16"/>
        <v>0</v>
      </c>
      <c r="M127" s="194">
        <f t="shared" si="16"/>
        <v>0</v>
      </c>
      <c r="N127" s="194">
        <f t="shared" si="16"/>
        <v>0</v>
      </c>
      <c r="O127" s="194">
        <f t="shared" si="16"/>
        <v>0</v>
      </c>
      <c r="P127" s="194">
        <f t="shared" si="16"/>
        <v>0</v>
      </c>
      <c r="Q127" s="194">
        <f t="shared" si="16"/>
        <v>0</v>
      </c>
      <c r="R127" s="194">
        <f t="shared" si="16"/>
        <v>0</v>
      </c>
      <c r="S127" s="194">
        <f t="shared" si="16"/>
        <v>0</v>
      </c>
      <c r="T127" s="194">
        <f t="shared" si="16"/>
        <v>0</v>
      </c>
      <c r="U127" s="194">
        <f t="shared" si="16"/>
        <v>0</v>
      </c>
      <c r="V127" s="194">
        <f t="shared" si="16"/>
        <v>0</v>
      </c>
      <c r="W127" s="194">
        <f t="shared" si="16"/>
        <v>0</v>
      </c>
      <c r="X127" s="194">
        <f t="shared" si="16"/>
        <v>0</v>
      </c>
      <c r="Y127" s="194">
        <f t="shared" si="16"/>
        <v>0</v>
      </c>
      <c r="Z127" s="194">
        <f t="shared" si="16"/>
        <v>0</v>
      </c>
      <c r="AA127" s="194">
        <f t="shared" si="16"/>
        <v>0</v>
      </c>
      <c r="AB127" s="194">
        <f t="shared" si="16"/>
        <v>0</v>
      </c>
      <c r="AC127" s="194">
        <f t="shared" si="16"/>
        <v>0</v>
      </c>
      <c r="AD127" s="194">
        <f t="shared" si="16"/>
        <v>0</v>
      </c>
      <c r="AE127" s="194">
        <f t="shared" si="16"/>
        <v>0</v>
      </c>
      <c r="AF127" s="194">
        <f t="shared" si="16"/>
        <v>0</v>
      </c>
      <c r="AG127" s="194">
        <f t="shared" si="16"/>
        <v>0</v>
      </c>
      <c r="AH127" s="194">
        <f t="shared" si="16"/>
        <v>0</v>
      </c>
      <c r="AI127" s="194">
        <f t="shared" si="16"/>
        <v>0</v>
      </c>
      <c r="AJ127" s="194">
        <f t="shared" si="16"/>
        <v>0</v>
      </c>
      <c r="AK127" s="194">
        <f t="shared" si="16"/>
        <v>0</v>
      </c>
      <c r="AL127" s="194">
        <f t="shared" si="16"/>
        <v>0</v>
      </c>
      <c r="AM127" s="194">
        <f t="shared" si="16"/>
        <v>0</v>
      </c>
      <c r="AN127" s="194">
        <f t="shared" si="16"/>
        <v>0</v>
      </c>
      <c r="AO127" s="194">
        <f t="shared" si="16"/>
        <v>0</v>
      </c>
      <c r="AP127" s="194">
        <f t="shared" si="16"/>
        <v>0</v>
      </c>
      <c r="AQ127" s="194">
        <f t="shared" si="16"/>
        <v>0</v>
      </c>
      <c r="AR127" s="195">
        <f t="shared" si="16"/>
        <v>0</v>
      </c>
    </row>
    <row r="128" spans="2:44" ht="12.95" customHeight="1" x14ac:dyDescent="0.2">
      <c r="B128" s="157" t="s">
        <v>209</v>
      </c>
      <c r="C128" s="148"/>
      <c r="D128" s="149"/>
      <c r="E128" s="149"/>
      <c r="F128" s="149"/>
      <c r="G128" s="149"/>
      <c r="H128" s="149"/>
      <c r="I128" s="149"/>
      <c r="J128" s="149"/>
      <c r="K128" s="149"/>
      <c r="L128" s="149"/>
      <c r="M128" s="149"/>
      <c r="N128" s="149"/>
      <c r="O128" s="149"/>
      <c r="P128" s="149"/>
      <c r="Q128" s="149"/>
      <c r="R128" s="149"/>
      <c r="S128" s="149"/>
      <c r="T128" s="149"/>
      <c r="U128" s="149"/>
      <c r="V128" s="149"/>
      <c r="W128" s="149"/>
      <c r="X128" s="149"/>
      <c r="Y128" s="149"/>
      <c r="Z128" s="149"/>
      <c r="AA128" s="149"/>
      <c r="AB128" s="149"/>
      <c r="AC128" s="149"/>
      <c r="AD128" s="149"/>
      <c r="AE128" s="149"/>
      <c r="AF128" s="149"/>
      <c r="AG128" s="149"/>
      <c r="AH128" s="149"/>
      <c r="AI128" s="149"/>
      <c r="AJ128" s="149"/>
      <c r="AK128" s="149"/>
      <c r="AL128" s="149"/>
      <c r="AM128" s="149"/>
      <c r="AN128" s="149"/>
      <c r="AO128" s="149"/>
      <c r="AP128" s="149"/>
      <c r="AQ128" s="149"/>
      <c r="AR128" s="160"/>
    </row>
    <row r="129" spans="1:44" x14ac:dyDescent="0.2">
      <c r="B129" s="50" t="s">
        <v>210</v>
      </c>
      <c r="C129" s="145" t="s">
        <v>183</v>
      </c>
      <c r="D129" s="145"/>
      <c r="E129" s="194">
        <f t="shared" ref="E129:AR129" si="17">SUM(E125:E127)</f>
        <v>0</v>
      </c>
      <c r="F129" s="194">
        <f t="shared" si="17"/>
        <v>0</v>
      </c>
      <c r="G129" s="194">
        <f t="shared" si="17"/>
        <v>0</v>
      </c>
      <c r="H129" s="194">
        <f t="shared" si="17"/>
        <v>0</v>
      </c>
      <c r="I129" s="194">
        <f t="shared" si="17"/>
        <v>0</v>
      </c>
      <c r="J129" s="194">
        <f t="shared" si="17"/>
        <v>0</v>
      </c>
      <c r="K129" s="194">
        <f t="shared" si="17"/>
        <v>0</v>
      </c>
      <c r="L129" s="194">
        <f t="shared" si="17"/>
        <v>0</v>
      </c>
      <c r="M129" s="194">
        <f t="shared" si="17"/>
        <v>0</v>
      </c>
      <c r="N129" s="194">
        <f t="shared" si="17"/>
        <v>0</v>
      </c>
      <c r="O129" s="194">
        <f t="shared" si="17"/>
        <v>0</v>
      </c>
      <c r="P129" s="194">
        <f t="shared" si="17"/>
        <v>0</v>
      </c>
      <c r="Q129" s="194">
        <f t="shared" si="17"/>
        <v>0</v>
      </c>
      <c r="R129" s="194">
        <f t="shared" si="17"/>
        <v>0</v>
      </c>
      <c r="S129" s="194">
        <f t="shared" si="17"/>
        <v>0</v>
      </c>
      <c r="T129" s="194">
        <f t="shared" si="17"/>
        <v>290639502.2866286</v>
      </c>
      <c r="U129" s="194">
        <f t="shared" si="17"/>
        <v>296452292.33236122</v>
      </c>
      <c r="V129" s="194">
        <f t="shared" si="17"/>
        <v>302381338.17900848</v>
      </c>
      <c r="W129" s="194">
        <f t="shared" si="17"/>
        <v>308428964.94258863</v>
      </c>
      <c r="X129" s="194">
        <f t="shared" si="17"/>
        <v>314597544.24144036</v>
      </c>
      <c r="Y129" s="194">
        <f t="shared" si="17"/>
        <v>320889495.12626916</v>
      </c>
      <c r="Z129" s="194">
        <f t="shared" si="17"/>
        <v>327307285.02879453</v>
      </c>
      <c r="AA129" s="194">
        <f t="shared" si="17"/>
        <v>333853430.72937042</v>
      </c>
      <c r="AB129" s="194">
        <f t="shared" si="17"/>
        <v>340530499.34395778</v>
      </c>
      <c r="AC129" s="194">
        <f t="shared" si="17"/>
        <v>347341109.33083695</v>
      </c>
      <c r="AD129" s="194">
        <f t="shared" si="17"/>
        <v>354287931.51745373</v>
      </c>
      <c r="AE129" s="194">
        <f t="shared" si="17"/>
        <v>361373690.14780283</v>
      </c>
      <c r="AF129" s="194">
        <f t="shared" si="17"/>
        <v>368601163.95075881</v>
      </c>
      <c r="AG129" s="194">
        <f t="shared" si="17"/>
        <v>375973187.22977412</v>
      </c>
      <c r="AH129" s="194">
        <f t="shared" si="17"/>
        <v>383492650.97436947</v>
      </c>
      <c r="AI129" s="194">
        <f t="shared" si="17"/>
        <v>391162503.99385691</v>
      </c>
      <c r="AJ129" s="194">
        <f t="shared" si="17"/>
        <v>398985754.07373399</v>
      </c>
      <c r="AK129" s="194">
        <f t="shared" si="17"/>
        <v>406965469.15520871</v>
      </c>
      <c r="AL129" s="194">
        <f t="shared" si="17"/>
        <v>415104778.53831291</v>
      </c>
      <c r="AM129" s="194">
        <f t="shared" si="17"/>
        <v>423406874.10907912</v>
      </c>
      <c r="AN129" s="194">
        <f t="shared" si="17"/>
        <v>0</v>
      </c>
      <c r="AO129" s="194">
        <f t="shared" si="17"/>
        <v>0</v>
      </c>
      <c r="AP129" s="194">
        <f t="shared" si="17"/>
        <v>0</v>
      </c>
      <c r="AQ129" s="194">
        <f t="shared" si="17"/>
        <v>0</v>
      </c>
      <c r="AR129" s="195">
        <f t="shared" si="17"/>
        <v>0</v>
      </c>
    </row>
    <row r="130" spans="1:44" x14ac:dyDescent="0.2">
      <c r="B130" s="50" t="s">
        <v>211</v>
      </c>
      <c r="C130" s="145" t="s">
        <v>183</v>
      </c>
      <c r="D130" s="145"/>
      <c r="E130" s="194">
        <f t="shared" ref="E130:AR130" si="18">SUM(E119:E120)</f>
        <v>-83770295.50938201</v>
      </c>
      <c r="F130" s="194">
        <f t="shared" si="18"/>
        <v>-85445701.419569656</v>
      </c>
      <c r="G130" s="194">
        <f t="shared" si="18"/>
        <v>-87154615.447961047</v>
      </c>
      <c r="H130" s="194">
        <f t="shared" si="18"/>
        <v>-88897707.756920263</v>
      </c>
      <c r="I130" s="194">
        <f t="shared" si="18"/>
        <v>-90675661.912058666</v>
      </c>
      <c r="J130" s="194">
        <f t="shared" si="18"/>
        <v>-92489175.150299847</v>
      </c>
      <c r="K130" s="194">
        <f t="shared" si="18"/>
        <v>-94338958.653305843</v>
      </c>
      <c r="L130" s="194">
        <f t="shared" si="18"/>
        <v>-96225737.826371938</v>
      </c>
      <c r="M130" s="194">
        <f t="shared" si="18"/>
        <v>-98150252.582899392</v>
      </c>
      <c r="N130" s="194">
        <f t="shared" si="18"/>
        <v>-100113257.63455738</v>
      </c>
      <c r="O130" s="194">
        <f t="shared" si="18"/>
        <v>-102115522.78724852</v>
      </c>
      <c r="P130" s="194">
        <f t="shared" si="18"/>
        <v>-104157833.24299347</v>
      </c>
      <c r="Q130" s="194">
        <f t="shared" si="18"/>
        <v>-106240989.90785336</v>
      </c>
      <c r="R130" s="194">
        <f t="shared" si="18"/>
        <v>-108365809.70601043</v>
      </c>
      <c r="S130" s="194">
        <f t="shared" si="18"/>
        <v>-110533125.90013064</v>
      </c>
      <c r="T130" s="194">
        <f t="shared" si="18"/>
        <v>-305337547.63231611</v>
      </c>
      <c r="U130" s="194">
        <f t="shared" si="18"/>
        <v>-117195121.31464089</v>
      </c>
      <c r="V130" s="194">
        <f t="shared" si="18"/>
        <v>-119539023.74093372</v>
      </c>
      <c r="W130" s="194">
        <f t="shared" si="18"/>
        <v>-121929804.21575238</v>
      </c>
      <c r="X130" s="194">
        <f t="shared" si="18"/>
        <v>-124368400.30006742</v>
      </c>
      <c r="Y130" s="194">
        <f t="shared" si="18"/>
        <v>-126855768.30606878</v>
      </c>
      <c r="Z130" s="194">
        <f t="shared" si="18"/>
        <v>-129392883.67219014</v>
      </c>
      <c r="AA130" s="194">
        <f t="shared" si="18"/>
        <v>-131980741.34563397</v>
      </c>
      <c r="AB130" s="194">
        <f t="shared" si="18"/>
        <v>-134620356.17254663</v>
      </c>
      <c r="AC130" s="194">
        <f t="shared" si="18"/>
        <v>-137312763.29599756</v>
      </c>
      <c r="AD130" s="194">
        <f t="shared" si="18"/>
        <v>-140059018.56191751</v>
      </c>
      <c r="AE130" s="194">
        <f t="shared" si="18"/>
        <v>-142860198.93315586</v>
      </c>
      <c r="AF130" s="194">
        <f t="shared" si="18"/>
        <v>-145717402.91181895</v>
      </c>
      <c r="AG130" s="194">
        <f t="shared" si="18"/>
        <v>-148631750.97005537</v>
      </c>
      <c r="AH130" s="194">
        <f t="shared" si="18"/>
        <v>-151604385.98945644</v>
      </c>
      <c r="AI130" s="194">
        <f t="shared" si="18"/>
        <v>-154636473.70924559</v>
      </c>
      <c r="AJ130" s="194">
        <f t="shared" si="18"/>
        <v>-157729203.18343046</v>
      </c>
      <c r="AK130" s="194">
        <f t="shared" si="18"/>
        <v>-160883787.24709913</v>
      </c>
      <c r="AL130" s="194">
        <f t="shared" si="18"/>
        <v>-164101462.99204111</v>
      </c>
      <c r="AM130" s="194">
        <f t="shared" si="18"/>
        <v>-167383492.25188193</v>
      </c>
      <c r="AN130" s="194">
        <f t="shared" si="18"/>
        <v>0</v>
      </c>
      <c r="AO130" s="194">
        <f t="shared" si="18"/>
        <v>0</v>
      </c>
      <c r="AP130" s="194">
        <f t="shared" si="18"/>
        <v>0</v>
      </c>
      <c r="AQ130" s="194">
        <f t="shared" si="18"/>
        <v>0</v>
      </c>
      <c r="AR130" s="195">
        <f t="shared" si="18"/>
        <v>0</v>
      </c>
    </row>
    <row r="131" spans="1:44" x14ac:dyDescent="0.2">
      <c r="B131" s="161" t="s">
        <v>212</v>
      </c>
      <c r="C131" s="152" t="s">
        <v>183</v>
      </c>
      <c r="D131" s="154"/>
      <c r="E131" s="200">
        <f t="shared" ref="E131:AR131" si="19">SUM(E129:E130)</f>
        <v>-83770295.50938201</v>
      </c>
      <c r="F131" s="200">
        <f t="shared" si="19"/>
        <v>-85445701.419569656</v>
      </c>
      <c r="G131" s="200">
        <f t="shared" si="19"/>
        <v>-87154615.447961047</v>
      </c>
      <c r="H131" s="200">
        <f t="shared" si="19"/>
        <v>-88897707.756920263</v>
      </c>
      <c r="I131" s="200">
        <f t="shared" si="19"/>
        <v>-90675661.912058666</v>
      </c>
      <c r="J131" s="200">
        <f t="shared" si="19"/>
        <v>-92489175.150299847</v>
      </c>
      <c r="K131" s="200">
        <f t="shared" si="19"/>
        <v>-94338958.653305843</v>
      </c>
      <c r="L131" s="200">
        <f t="shared" si="19"/>
        <v>-96225737.826371938</v>
      </c>
      <c r="M131" s="200">
        <f t="shared" si="19"/>
        <v>-98150252.582899392</v>
      </c>
      <c r="N131" s="200">
        <f t="shared" si="19"/>
        <v>-100113257.63455738</v>
      </c>
      <c r="O131" s="200">
        <f t="shared" si="19"/>
        <v>-102115522.78724852</v>
      </c>
      <c r="P131" s="200">
        <f t="shared" si="19"/>
        <v>-104157833.24299347</v>
      </c>
      <c r="Q131" s="200">
        <f t="shared" si="19"/>
        <v>-106240989.90785336</v>
      </c>
      <c r="R131" s="200">
        <f t="shared" si="19"/>
        <v>-108365809.70601043</v>
      </c>
      <c r="S131" s="200">
        <f t="shared" si="19"/>
        <v>-110533125.90013064</v>
      </c>
      <c r="T131" s="200">
        <f t="shared" si="19"/>
        <v>-14698045.345687509</v>
      </c>
      <c r="U131" s="200">
        <f t="shared" si="19"/>
        <v>179257171.01772034</v>
      </c>
      <c r="V131" s="200">
        <f t="shared" si="19"/>
        <v>182842314.43807477</v>
      </c>
      <c r="W131" s="200">
        <f t="shared" si="19"/>
        <v>186499160.72683626</v>
      </c>
      <c r="X131" s="200">
        <f t="shared" si="19"/>
        <v>190229143.94137293</v>
      </c>
      <c r="Y131" s="200">
        <f t="shared" si="19"/>
        <v>194033726.82020038</v>
      </c>
      <c r="Z131" s="200">
        <f t="shared" si="19"/>
        <v>197914401.3566044</v>
      </c>
      <c r="AA131" s="200">
        <f t="shared" si="19"/>
        <v>201872689.38373643</v>
      </c>
      <c r="AB131" s="200">
        <f t="shared" si="19"/>
        <v>205910143.17141116</v>
      </c>
      <c r="AC131" s="200">
        <f t="shared" si="19"/>
        <v>210028346.03483939</v>
      </c>
      <c r="AD131" s="200">
        <f t="shared" si="19"/>
        <v>214228912.95553622</v>
      </c>
      <c r="AE131" s="200">
        <f t="shared" si="19"/>
        <v>218513491.21464697</v>
      </c>
      <c r="AF131" s="200">
        <f t="shared" si="19"/>
        <v>222883761.03893986</v>
      </c>
      <c r="AG131" s="200">
        <f t="shared" si="19"/>
        <v>227341436.25971875</v>
      </c>
      <c r="AH131" s="200">
        <f t="shared" si="19"/>
        <v>231888264.98491302</v>
      </c>
      <c r="AI131" s="200">
        <f t="shared" si="19"/>
        <v>236526030.28461131</v>
      </c>
      <c r="AJ131" s="200">
        <f t="shared" si="19"/>
        <v>241256550.89030352</v>
      </c>
      <c r="AK131" s="200">
        <f t="shared" si="19"/>
        <v>246081681.90810958</v>
      </c>
      <c r="AL131" s="200">
        <f t="shared" si="19"/>
        <v>251003315.5462718</v>
      </c>
      <c r="AM131" s="200">
        <f t="shared" si="19"/>
        <v>256023381.8571972</v>
      </c>
      <c r="AN131" s="200">
        <f t="shared" si="19"/>
        <v>0</v>
      </c>
      <c r="AO131" s="200">
        <f t="shared" si="19"/>
        <v>0</v>
      </c>
      <c r="AP131" s="200">
        <f t="shared" si="19"/>
        <v>0</v>
      </c>
      <c r="AQ131" s="200">
        <f t="shared" si="19"/>
        <v>0</v>
      </c>
      <c r="AR131" s="201">
        <f t="shared" si="19"/>
        <v>0</v>
      </c>
    </row>
    <row r="132" spans="1:44" ht="12.95" customHeight="1" x14ac:dyDescent="0.2">
      <c r="B132" s="157" t="s">
        <v>213</v>
      </c>
      <c r="C132" s="148"/>
      <c r="D132" s="149"/>
      <c r="E132" s="149"/>
      <c r="F132" s="149"/>
      <c r="G132" s="149"/>
      <c r="H132" s="149"/>
      <c r="I132" s="149"/>
      <c r="J132" s="149"/>
      <c r="K132" s="149"/>
      <c r="L132" s="149"/>
      <c r="M132" s="149"/>
      <c r="N132" s="149"/>
      <c r="O132" s="149"/>
      <c r="P132" s="149"/>
      <c r="Q132" s="149"/>
      <c r="R132" s="149"/>
      <c r="S132" s="149"/>
      <c r="T132" s="149"/>
      <c r="U132" s="149"/>
      <c r="V132" s="149"/>
      <c r="W132" s="149"/>
      <c r="X132" s="149"/>
      <c r="Y132" s="149"/>
      <c r="Z132" s="149"/>
      <c r="AA132" s="149"/>
      <c r="AB132" s="149"/>
      <c r="AC132" s="149"/>
      <c r="AD132" s="149"/>
      <c r="AE132" s="149"/>
      <c r="AF132" s="149"/>
      <c r="AG132" s="149"/>
      <c r="AH132" s="149"/>
      <c r="AI132" s="149"/>
      <c r="AJ132" s="149"/>
      <c r="AK132" s="149"/>
      <c r="AL132" s="149"/>
      <c r="AM132" s="149"/>
      <c r="AN132" s="149"/>
      <c r="AO132" s="149"/>
      <c r="AP132" s="149"/>
      <c r="AQ132" s="149"/>
      <c r="AR132" s="160"/>
    </row>
    <row r="133" spans="1:44" x14ac:dyDescent="0.2">
      <c r="B133" s="50" t="s">
        <v>214</v>
      </c>
      <c r="C133" s="145" t="s">
        <v>183</v>
      </c>
      <c r="D133" s="145"/>
      <c r="E133" s="194">
        <f t="shared" ref="E133:AR133" si="20">IF(E111&gt;$C$75,0,-$C$151/$C$75)</f>
        <v>-150178788.75298202</v>
      </c>
      <c r="F133" s="194">
        <f t="shared" si="20"/>
        <v>-150178788.75298202</v>
      </c>
      <c r="G133" s="194">
        <f t="shared" si="20"/>
        <v>-150178788.75298202</v>
      </c>
      <c r="H133" s="194">
        <f t="shared" si="20"/>
        <v>-150178788.75298202</v>
      </c>
      <c r="I133" s="194">
        <f t="shared" si="20"/>
        <v>-150178788.75298202</v>
      </c>
      <c r="J133" s="194">
        <f t="shared" si="20"/>
        <v>-150178788.75298202</v>
      </c>
      <c r="K133" s="194">
        <f t="shared" si="20"/>
        <v>-150178788.75298202</v>
      </c>
      <c r="L133" s="194">
        <f t="shared" si="20"/>
        <v>-150178788.75298202</v>
      </c>
      <c r="M133" s="194">
        <f t="shared" si="20"/>
        <v>-150178788.75298202</v>
      </c>
      <c r="N133" s="194">
        <f t="shared" si="20"/>
        <v>-150178788.75298202</v>
      </c>
      <c r="O133" s="194">
        <f t="shared" si="20"/>
        <v>-150178788.75298202</v>
      </c>
      <c r="P133" s="194">
        <f t="shared" si="20"/>
        <v>-150178788.75298202</v>
      </c>
      <c r="Q133" s="194">
        <f t="shared" si="20"/>
        <v>-150178788.75298202</v>
      </c>
      <c r="R133" s="194">
        <f t="shared" si="20"/>
        <v>-150178788.75298202</v>
      </c>
      <c r="S133" s="194">
        <f t="shared" si="20"/>
        <v>-150178788.75298202</v>
      </c>
      <c r="T133" s="194">
        <f t="shared" si="20"/>
        <v>-150178788.75298202</v>
      </c>
      <c r="U133" s="194">
        <f t="shared" si="20"/>
        <v>-150178788.75298202</v>
      </c>
      <c r="V133" s="194">
        <f t="shared" si="20"/>
        <v>-150178788.75298202</v>
      </c>
      <c r="W133" s="194">
        <f t="shared" si="20"/>
        <v>-150178788.75298202</v>
      </c>
      <c r="X133" s="194">
        <f t="shared" si="20"/>
        <v>-150178788.75298202</v>
      </c>
      <c r="Y133" s="194">
        <f t="shared" si="20"/>
        <v>0</v>
      </c>
      <c r="Z133" s="194">
        <f t="shared" si="20"/>
        <v>0</v>
      </c>
      <c r="AA133" s="194">
        <f t="shared" si="20"/>
        <v>0</v>
      </c>
      <c r="AB133" s="194">
        <f t="shared" si="20"/>
        <v>0</v>
      </c>
      <c r="AC133" s="194">
        <f t="shared" si="20"/>
        <v>0</v>
      </c>
      <c r="AD133" s="194">
        <f t="shared" si="20"/>
        <v>0</v>
      </c>
      <c r="AE133" s="194">
        <f t="shared" si="20"/>
        <v>0</v>
      </c>
      <c r="AF133" s="194">
        <f t="shared" si="20"/>
        <v>0</v>
      </c>
      <c r="AG133" s="194">
        <f t="shared" si="20"/>
        <v>0</v>
      </c>
      <c r="AH133" s="194">
        <f t="shared" si="20"/>
        <v>0</v>
      </c>
      <c r="AI133" s="194">
        <f t="shared" si="20"/>
        <v>0</v>
      </c>
      <c r="AJ133" s="194">
        <f t="shared" si="20"/>
        <v>0</v>
      </c>
      <c r="AK133" s="194">
        <f t="shared" si="20"/>
        <v>0</v>
      </c>
      <c r="AL133" s="194">
        <f t="shared" si="20"/>
        <v>0</v>
      </c>
      <c r="AM133" s="194">
        <f t="shared" si="20"/>
        <v>0</v>
      </c>
      <c r="AN133" s="194">
        <f t="shared" si="20"/>
        <v>0</v>
      </c>
      <c r="AO133" s="194">
        <f t="shared" si="20"/>
        <v>0</v>
      </c>
      <c r="AP133" s="194">
        <f t="shared" si="20"/>
        <v>0</v>
      </c>
      <c r="AQ133" s="194">
        <f t="shared" si="20"/>
        <v>0</v>
      </c>
      <c r="AR133" s="195">
        <f t="shared" si="20"/>
        <v>0</v>
      </c>
    </row>
    <row r="134" spans="1:44" x14ac:dyDescent="0.2">
      <c r="B134" s="50" t="s">
        <v>215</v>
      </c>
      <c r="C134" s="145" t="s">
        <v>183</v>
      </c>
      <c r="D134" s="145"/>
      <c r="E134" s="194">
        <f t="shared" ref="E134:AR134" si="21">IF(E111&gt;$C$74,0,IPMT($C$90,E111,$C$74,$C$156))</f>
        <v>-101370682.40826285</v>
      </c>
      <c r="F134" s="194">
        <f t="shared" si="21"/>
        <v>-96493352.846408501</v>
      </c>
      <c r="G134" s="194">
        <f t="shared" si="21"/>
        <v>-91396543.45427075</v>
      </c>
      <c r="H134" s="194">
        <f t="shared" si="21"/>
        <v>-86070377.63948676</v>
      </c>
      <c r="I134" s="194">
        <f t="shared" si="21"/>
        <v>-80504534.363037512</v>
      </c>
      <c r="J134" s="194">
        <f t="shared" si="21"/>
        <v>-74688228.139148042</v>
      </c>
      <c r="K134" s="194">
        <f t="shared" si="21"/>
        <v>-68610188.135183543</v>
      </c>
      <c r="L134" s="194">
        <f t="shared" si="21"/>
        <v>-62258636.331040666</v>
      </c>
      <c r="M134" s="194">
        <f t="shared" si="21"/>
        <v>-55621264.695711337</v>
      </c>
      <c r="N134" s="194">
        <f t="shared" si="21"/>
        <v>-48685211.336792171</v>
      </c>
      <c r="O134" s="194">
        <f t="shared" si="21"/>
        <v>-41437035.576721683</v>
      </c>
      <c r="P134" s="194">
        <f t="shared" si="21"/>
        <v>-33862691.907447994</v>
      </c>
      <c r="Q134" s="194">
        <f t="shared" si="21"/>
        <v>-25947502.773056995</v>
      </c>
      <c r="R134" s="194">
        <f t="shared" si="21"/>
        <v>-17676130.127618406</v>
      </c>
      <c r="S134" s="194">
        <f t="shared" si="21"/>
        <v>-9032545.7131350785</v>
      </c>
      <c r="T134" s="194">
        <f t="shared" si="21"/>
        <v>0</v>
      </c>
      <c r="U134" s="194">
        <f t="shared" si="21"/>
        <v>0</v>
      </c>
      <c r="V134" s="194">
        <f t="shared" si="21"/>
        <v>0</v>
      </c>
      <c r="W134" s="194">
        <f t="shared" si="21"/>
        <v>0</v>
      </c>
      <c r="X134" s="194">
        <f t="shared" si="21"/>
        <v>0</v>
      </c>
      <c r="Y134" s="194">
        <f t="shared" si="21"/>
        <v>0</v>
      </c>
      <c r="Z134" s="194">
        <f t="shared" si="21"/>
        <v>0</v>
      </c>
      <c r="AA134" s="194">
        <f t="shared" si="21"/>
        <v>0</v>
      </c>
      <c r="AB134" s="194">
        <f t="shared" si="21"/>
        <v>0</v>
      </c>
      <c r="AC134" s="194">
        <f t="shared" si="21"/>
        <v>0</v>
      </c>
      <c r="AD134" s="194">
        <f t="shared" si="21"/>
        <v>0</v>
      </c>
      <c r="AE134" s="194">
        <f t="shared" si="21"/>
        <v>0</v>
      </c>
      <c r="AF134" s="194">
        <f t="shared" si="21"/>
        <v>0</v>
      </c>
      <c r="AG134" s="194">
        <f t="shared" si="21"/>
        <v>0</v>
      </c>
      <c r="AH134" s="194">
        <f t="shared" si="21"/>
        <v>0</v>
      </c>
      <c r="AI134" s="194">
        <f t="shared" si="21"/>
        <v>0</v>
      </c>
      <c r="AJ134" s="194">
        <f t="shared" si="21"/>
        <v>0</v>
      </c>
      <c r="AK134" s="194">
        <f t="shared" si="21"/>
        <v>0</v>
      </c>
      <c r="AL134" s="194">
        <f t="shared" si="21"/>
        <v>0</v>
      </c>
      <c r="AM134" s="194">
        <f t="shared" si="21"/>
        <v>0</v>
      </c>
      <c r="AN134" s="194">
        <f t="shared" si="21"/>
        <v>0</v>
      </c>
      <c r="AO134" s="194">
        <f t="shared" si="21"/>
        <v>0</v>
      </c>
      <c r="AP134" s="194">
        <f t="shared" si="21"/>
        <v>0</v>
      </c>
      <c r="AQ134" s="194">
        <f t="shared" si="21"/>
        <v>0</v>
      </c>
      <c r="AR134" s="195">
        <f t="shared" si="21"/>
        <v>0</v>
      </c>
    </row>
    <row r="135" spans="1:44" x14ac:dyDescent="0.2">
      <c r="B135" s="50" t="s">
        <v>216</v>
      </c>
      <c r="C135" s="145" t="s">
        <v>183</v>
      </c>
      <c r="D135" s="145"/>
      <c r="E135" s="194">
        <f t="shared" ref="E135:AR135" si="22">IF(E111&gt;$C$74,0,PPMT($C$90,E111,$C$74,$C$156))</f>
        <v>-108385101.37454061</v>
      </c>
      <c r="F135" s="194">
        <f t="shared" si="22"/>
        <v>-113262430.93639494</v>
      </c>
      <c r="G135" s="194">
        <f t="shared" si="22"/>
        <v>-118359240.32853271</v>
      </c>
      <c r="H135" s="194">
        <f t="shared" si="22"/>
        <v>-123685406.1433167</v>
      </c>
      <c r="I135" s="194">
        <f t="shared" si="22"/>
        <v>-129251249.41976593</v>
      </c>
      <c r="J135" s="194">
        <f t="shared" si="22"/>
        <v>-135067555.64365542</v>
      </c>
      <c r="K135" s="194">
        <f t="shared" si="22"/>
        <v>-141145595.6476199</v>
      </c>
      <c r="L135" s="194">
        <f t="shared" si="22"/>
        <v>-147497147.4517628</v>
      </c>
      <c r="M135" s="194">
        <f t="shared" si="22"/>
        <v>-154134519.08709213</v>
      </c>
      <c r="N135" s="194">
        <f t="shared" si="22"/>
        <v>-161070572.44601128</v>
      </c>
      <c r="O135" s="194">
        <f t="shared" si="22"/>
        <v>-168318748.20608181</v>
      </c>
      <c r="P135" s="194">
        <f t="shared" si="22"/>
        <v>-175893091.87535548</v>
      </c>
      <c r="Q135" s="194">
        <f t="shared" si="22"/>
        <v>-183808281.00974646</v>
      </c>
      <c r="R135" s="194">
        <f t="shared" si="22"/>
        <v>-192079653.65518507</v>
      </c>
      <c r="S135" s="194">
        <f t="shared" si="22"/>
        <v>-200723238.06966838</v>
      </c>
      <c r="T135" s="194">
        <f t="shared" si="22"/>
        <v>0</v>
      </c>
      <c r="U135" s="194">
        <f t="shared" si="22"/>
        <v>0</v>
      </c>
      <c r="V135" s="194">
        <f t="shared" si="22"/>
        <v>0</v>
      </c>
      <c r="W135" s="194">
        <f t="shared" si="22"/>
        <v>0</v>
      </c>
      <c r="X135" s="194">
        <f t="shared" si="22"/>
        <v>0</v>
      </c>
      <c r="Y135" s="194">
        <f t="shared" si="22"/>
        <v>0</v>
      </c>
      <c r="Z135" s="194">
        <f t="shared" si="22"/>
        <v>0</v>
      </c>
      <c r="AA135" s="194">
        <f t="shared" si="22"/>
        <v>0</v>
      </c>
      <c r="AB135" s="194">
        <f t="shared" si="22"/>
        <v>0</v>
      </c>
      <c r="AC135" s="194">
        <f t="shared" si="22"/>
        <v>0</v>
      </c>
      <c r="AD135" s="194">
        <f t="shared" si="22"/>
        <v>0</v>
      </c>
      <c r="AE135" s="194">
        <f t="shared" si="22"/>
        <v>0</v>
      </c>
      <c r="AF135" s="194">
        <f t="shared" si="22"/>
        <v>0</v>
      </c>
      <c r="AG135" s="194">
        <f t="shared" si="22"/>
        <v>0</v>
      </c>
      <c r="AH135" s="194">
        <f t="shared" si="22"/>
        <v>0</v>
      </c>
      <c r="AI135" s="194">
        <f t="shared" si="22"/>
        <v>0</v>
      </c>
      <c r="AJ135" s="194">
        <f t="shared" si="22"/>
        <v>0</v>
      </c>
      <c r="AK135" s="194">
        <f t="shared" si="22"/>
        <v>0</v>
      </c>
      <c r="AL135" s="194">
        <f t="shared" si="22"/>
        <v>0</v>
      </c>
      <c r="AM135" s="194">
        <f t="shared" si="22"/>
        <v>0</v>
      </c>
      <c r="AN135" s="194">
        <f t="shared" si="22"/>
        <v>0</v>
      </c>
      <c r="AO135" s="194">
        <f t="shared" si="22"/>
        <v>0</v>
      </c>
      <c r="AP135" s="194">
        <f t="shared" si="22"/>
        <v>0</v>
      </c>
      <c r="AQ135" s="194">
        <f t="shared" si="22"/>
        <v>0</v>
      </c>
      <c r="AR135" s="195">
        <f t="shared" si="22"/>
        <v>0</v>
      </c>
    </row>
    <row r="136" spans="1:44" s="33" customFormat="1" ht="12.95" customHeight="1" x14ac:dyDescent="0.2">
      <c r="A136" s="244"/>
      <c r="B136" s="161" t="s">
        <v>217</v>
      </c>
      <c r="C136" s="152" t="s">
        <v>183</v>
      </c>
      <c r="D136" s="152"/>
      <c r="E136" s="200">
        <f t="shared" ref="E136:AR136" si="23">SUM(E134,E135)</f>
        <v>-209755783.78280348</v>
      </c>
      <c r="F136" s="200">
        <f t="shared" si="23"/>
        <v>-209755783.78280345</v>
      </c>
      <c r="G136" s="200">
        <f t="shared" si="23"/>
        <v>-209755783.78280348</v>
      </c>
      <c r="H136" s="200">
        <f t="shared" si="23"/>
        <v>-209755783.78280348</v>
      </c>
      <c r="I136" s="200">
        <f t="shared" si="23"/>
        <v>-209755783.78280345</v>
      </c>
      <c r="J136" s="200">
        <f t="shared" si="23"/>
        <v>-209755783.78280348</v>
      </c>
      <c r="K136" s="200">
        <f t="shared" si="23"/>
        <v>-209755783.78280345</v>
      </c>
      <c r="L136" s="200">
        <f t="shared" si="23"/>
        <v>-209755783.78280348</v>
      </c>
      <c r="M136" s="200">
        <f t="shared" si="23"/>
        <v>-209755783.78280348</v>
      </c>
      <c r="N136" s="200">
        <f t="shared" si="23"/>
        <v>-209755783.78280345</v>
      </c>
      <c r="O136" s="200">
        <f t="shared" si="23"/>
        <v>-209755783.78280348</v>
      </c>
      <c r="P136" s="200">
        <f t="shared" si="23"/>
        <v>-209755783.78280348</v>
      </c>
      <c r="Q136" s="200">
        <f t="shared" si="23"/>
        <v>-209755783.78280345</v>
      </c>
      <c r="R136" s="200">
        <f t="shared" si="23"/>
        <v>-209755783.78280348</v>
      </c>
      <c r="S136" s="200">
        <f t="shared" si="23"/>
        <v>-209755783.78280348</v>
      </c>
      <c r="T136" s="200">
        <f t="shared" si="23"/>
        <v>0</v>
      </c>
      <c r="U136" s="200">
        <f t="shared" si="23"/>
        <v>0</v>
      </c>
      <c r="V136" s="200">
        <f t="shared" si="23"/>
        <v>0</v>
      </c>
      <c r="W136" s="200">
        <f t="shared" si="23"/>
        <v>0</v>
      </c>
      <c r="X136" s="200">
        <f t="shared" si="23"/>
        <v>0</v>
      </c>
      <c r="Y136" s="200">
        <f t="shared" si="23"/>
        <v>0</v>
      </c>
      <c r="Z136" s="200">
        <f t="shared" si="23"/>
        <v>0</v>
      </c>
      <c r="AA136" s="200">
        <f t="shared" si="23"/>
        <v>0</v>
      </c>
      <c r="AB136" s="200">
        <f t="shared" si="23"/>
        <v>0</v>
      </c>
      <c r="AC136" s="200">
        <f t="shared" si="23"/>
        <v>0</v>
      </c>
      <c r="AD136" s="200">
        <f t="shared" si="23"/>
        <v>0</v>
      </c>
      <c r="AE136" s="200">
        <f t="shared" si="23"/>
        <v>0</v>
      </c>
      <c r="AF136" s="200">
        <f t="shared" si="23"/>
        <v>0</v>
      </c>
      <c r="AG136" s="200">
        <f t="shared" si="23"/>
        <v>0</v>
      </c>
      <c r="AH136" s="200">
        <f t="shared" si="23"/>
        <v>0</v>
      </c>
      <c r="AI136" s="200">
        <f t="shared" si="23"/>
        <v>0</v>
      </c>
      <c r="AJ136" s="200">
        <f t="shared" si="23"/>
        <v>0</v>
      </c>
      <c r="AK136" s="200">
        <f t="shared" si="23"/>
        <v>0</v>
      </c>
      <c r="AL136" s="200">
        <f t="shared" si="23"/>
        <v>0</v>
      </c>
      <c r="AM136" s="200">
        <f t="shared" si="23"/>
        <v>0</v>
      </c>
      <c r="AN136" s="200">
        <f t="shared" si="23"/>
        <v>0</v>
      </c>
      <c r="AO136" s="200">
        <f t="shared" si="23"/>
        <v>0</v>
      </c>
      <c r="AP136" s="200">
        <f t="shared" si="23"/>
        <v>0</v>
      </c>
      <c r="AQ136" s="200">
        <f t="shared" si="23"/>
        <v>0</v>
      </c>
      <c r="AR136" s="201">
        <f t="shared" si="23"/>
        <v>0</v>
      </c>
    </row>
    <row r="137" spans="1:44" ht="12.95" customHeight="1" x14ac:dyDescent="0.2">
      <c r="B137" s="157" t="s">
        <v>218</v>
      </c>
      <c r="C137" s="148"/>
      <c r="D137" s="149"/>
      <c r="E137" s="149"/>
      <c r="F137" s="149"/>
      <c r="G137" s="149"/>
      <c r="H137" s="149"/>
      <c r="I137" s="149"/>
      <c r="J137" s="149"/>
      <c r="K137" s="149"/>
      <c r="L137" s="149"/>
      <c r="M137" s="149"/>
      <c r="N137" s="149"/>
      <c r="O137" s="149"/>
      <c r="P137" s="149"/>
      <c r="Q137" s="149"/>
      <c r="R137" s="149"/>
      <c r="S137" s="149"/>
      <c r="T137" s="149"/>
      <c r="U137" s="149"/>
      <c r="V137" s="149"/>
      <c r="W137" s="149"/>
      <c r="X137" s="149"/>
      <c r="Y137" s="149"/>
      <c r="Z137" s="149"/>
      <c r="AA137" s="149"/>
      <c r="AB137" s="149"/>
      <c r="AC137" s="149"/>
      <c r="AD137" s="149"/>
      <c r="AE137" s="149"/>
      <c r="AF137" s="149"/>
      <c r="AG137" s="149"/>
      <c r="AH137" s="149"/>
      <c r="AI137" s="149"/>
      <c r="AJ137" s="149"/>
      <c r="AK137" s="149"/>
      <c r="AL137" s="149"/>
      <c r="AM137" s="149"/>
      <c r="AN137" s="149"/>
      <c r="AO137" s="149"/>
      <c r="AP137" s="149"/>
      <c r="AQ137" s="149"/>
      <c r="AR137" s="160"/>
    </row>
    <row r="138" spans="1:44" x14ac:dyDescent="0.2">
      <c r="B138" s="50" t="s">
        <v>219</v>
      </c>
      <c r="C138" s="145" t="s">
        <v>183</v>
      </c>
      <c r="D138" s="145"/>
      <c r="E138" s="194">
        <f t="shared" ref="E138:AR138" si="24">E131+E133+E134</f>
        <v>-335319766.67062688</v>
      </c>
      <c r="F138" s="194">
        <f t="shared" si="24"/>
        <v>-332117843.01896018</v>
      </c>
      <c r="G138" s="194">
        <f t="shared" si="24"/>
        <v>-328729947.65521383</v>
      </c>
      <c r="H138" s="194">
        <f t="shared" si="24"/>
        <v>-325146874.14938903</v>
      </c>
      <c r="I138" s="194">
        <f t="shared" si="24"/>
        <v>-321358985.0280782</v>
      </c>
      <c r="J138" s="194">
        <f t="shared" si="24"/>
        <v>-317356192.04242992</v>
      </c>
      <c r="K138" s="194">
        <f t="shared" si="24"/>
        <v>-313127935.54147136</v>
      </c>
      <c r="L138" s="194">
        <f t="shared" si="24"/>
        <v>-308663162.91039461</v>
      </c>
      <c r="M138" s="194">
        <f t="shared" si="24"/>
        <v>-303950306.03159273</v>
      </c>
      <c r="N138" s="194">
        <f t="shared" si="24"/>
        <v>-298977257.72433156</v>
      </c>
      <c r="O138" s="194">
        <f t="shared" si="24"/>
        <v>-293731347.11695224</v>
      </c>
      <c r="P138" s="194">
        <f t="shared" si="24"/>
        <v>-288199313.90342349</v>
      </c>
      <c r="Q138" s="194">
        <f t="shared" si="24"/>
        <v>-282367281.43389237</v>
      </c>
      <c r="R138" s="194">
        <f t="shared" si="24"/>
        <v>-276220728.58661085</v>
      </c>
      <c r="S138" s="194">
        <f t="shared" si="24"/>
        <v>-269744460.36624771</v>
      </c>
      <c r="T138" s="194">
        <f t="shared" si="24"/>
        <v>-164876834.09866953</v>
      </c>
      <c r="U138" s="194">
        <f t="shared" si="24"/>
        <v>29078382.264738321</v>
      </c>
      <c r="V138" s="194">
        <f t="shared" si="24"/>
        <v>32663525.685092747</v>
      </c>
      <c r="W138" s="194">
        <f t="shared" si="24"/>
        <v>36320371.973854244</v>
      </c>
      <c r="X138" s="194">
        <f t="shared" si="24"/>
        <v>40050355.188390911</v>
      </c>
      <c r="Y138" s="194">
        <f t="shared" si="24"/>
        <v>194033726.82020038</v>
      </c>
      <c r="Z138" s="194">
        <f t="shared" si="24"/>
        <v>197914401.3566044</v>
      </c>
      <c r="AA138" s="194">
        <f t="shared" si="24"/>
        <v>201872689.38373643</v>
      </c>
      <c r="AB138" s="194">
        <f t="shared" si="24"/>
        <v>205910143.17141116</v>
      </c>
      <c r="AC138" s="194">
        <f t="shared" si="24"/>
        <v>210028346.03483939</v>
      </c>
      <c r="AD138" s="194">
        <f t="shared" si="24"/>
        <v>214228912.95553622</v>
      </c>
      <c r="AE138" s="194">
        <f t="shared" si="24"/>
        <v>218513491.21464697</v>
      </c>
      <c r="AF138" s="194">
        <f t="shared" si="24"/>
        <v>222883761.03893986</v>
      </c>
      <c r="AG138" s="194">
        <f t="shared" si="24"/>
        <v>227341436.25971875</v>
      </c>
      <c r="AH138" s="194">
        <f t="shared" si="24"/>
        <v>231888264.98491302</v>
      </c>
      <c r="AI138" s="194">
        <f t="shared" si="24"/>
        <v>236526030.28461131</v>
      </c>
      <c r="AJ138" s="194">
        <f t="shared" si="24"/>
        <v>241256550.89030352</v>
      </c>
      <c r="AK138" s="194">
        <f t="shared" si="24"/>
        <v>246081681.90810958</v>
      </c>
      <c r="AL138" s="194">
        <f t="shared" si="24"/>
        <v>251003315.5462718</v>
      </c>
      <c r="AM138" s="194">
        <f t="shared" si="24"/>
        <v>256023381.8571972</v>
      </c>
      <c r="AN138" s="194">
        <f t="shared" si="24"/>
        <v>0</v>
      </c>
      <c r="AO138" s="194">
        <f t="shared" si="24"/>
        <v>0</v>
      </c>
      <c r="AP138" s="194">
        <f t="shared" si="24"/>
        <v>0</v>
      </c>
      <c r="AQ138" s="194">
        <f t="shared" si="24"/>
        <v>0</v>
      </c>
      <c r="AR138" s="195">
        <f t="shared" si="24"/>
        <v>0</v>
      </c>
    </row>
    <row r="139" spans="1:44" x14ac:dyDescent="0.2">
      <c r="B139" s="50" t="s">
        <v>220</v>
      </c>
      <c r="C139" s="145" t="s">
        <v>183</v>
      </c>
      <c r="D139" s="145"/>
      <c r="E139" s="194">
        <f t="shared" ref="E139:AR139" si="25">-$C$94*E138</f>
        <v>86512499.80102174</v>
      </c>
      <c r="F139" s="194">
        <f t="shared" si="25"/>
        <v>85686403.498891726</v>
      </c>
      <c r="G139" s="194">
        <f t="shared" si="25"/>
        <v>84812326.49504517</v>
      </c>
      <c r="H139" s="194">
        <f t="shared" si="25"/>
        <v>83887893.530542374</v>
      </c>
      <c r="I139" s="194">
        <f t="shared" si="25"/>
        <v>82910618.13724418</v>
      </c>
      <c r="J139" s="194">
        <f t="shared" si="25"/>
        <v>81877897.546946928</v>
      </c>
      <c r="K139" s="194">
        <f t="shared" si="25"/>
        <v>80787007.369699612</v>
      </c>
      <c r="L139" s="194">
        <f t="shared" si="25"/>
        <v>79635096.030881807</v>
      </c>
      <c r="M139" s="194">
        <f t="shared" si="25"/>
        <v>78419178.956150919</v>
      </c>
      <c r="N139" s="194">
        <f t="shared" si="25"/>
        <v>77136132.492877543</v>
      </c>
      <c r="O139" s="194">
        <f t="shared" si="25"/>
        <v>75782687.556173682</v>
      </c>
      <c r="P139" s="194">
        <f t="shared" si="25"/>
        <v>74355422.987083256</v>
      </c>
      <c r="Q139" s="194">
        <f t="shared" si="25"/>
        <v>72850758.609944239</v>
      </c>
      <c r="R139" s="194">
        <f t="shared" si="25"/>
        <v>71264947.975345597</v>
      </c>
      <c r="S139" s="194">
        <f t="shared" si="25"/>
        <v>69594070.774491906</v>
      </c>
      <c r="T139" s="194">
        <f t="shared" si="25"/>
        <v>42538223.19745674</v>
      </c>
      <c r="U139" s="194">
        <f t="shared" si="25"/>
        <v>-7502222.6243024869</v>
      </c>
      <c r="V139" s="194">
        <f t="shared" si="25"/>
        <v>-8427189.6267539281</v>
      </c>
      <c r="W139" s="194">
        <f t="shared" si="25"/>
        <v>-9370655.969254395</v>
      </c>
      <c r="X139" s="194">
        <f t="shared" si="25"/>
        <v>-10332991.638604855</v>
      </c>
      <c r="Y139" s="194">
        <f t="shared" si="25"/>
        <v>-50060701.519611701</v>
      </c>
      <c r="Z139" s="194">
        <f t="shared" si="25"/>
        <v>-51061915.550003938</v>
      </c>
      <c r="AA139" s="194">
        <f t="shared" si="25"/>
        <v>-52083153.861004002</v>
      </c>
      <c r="AB139" s="194">
        <f t="shared" si="25"/>
        <v>-53124816.938224077</v>
      </c>
      <c r="AC139" s="194">
        <f t="shared" si="25"/>
        <v>-54187313.276988566</v>
      </c>
      <c r="AD139" s="194">
        <f t="shared" si="25"/>
        <v>-55271059.542528346</v>
      </c>
      <c r="AE139" s="194">
        <f t="shared" si="25"/>
        <v>-56376480.733378917</v>
      </c>
      <c r="AF139" s="194">
        <f t="shared" si="25"/>
        <v>-57504010.348046489</v>
      </c>
      <c r="AG139" s="194">
        <f t="shared" si="25"/>
        <v>-58654090.555007435</v>
      </c>
      <c r="AH139" s="194">
        <f t="shared" si="25"/>
        <v>-59827172.366107561</v>
      </c>
      <c r="AI139" s="194">
        <f t="shared" si="25"/>
        <v>-61023715.813429721</v>
      </c>
      <c r="AJ139" s="194">
        <f t="shared" si="25"/>
        <v>-62244190.129698314</v>
      </c>
      <c r="AK139" s="194">
        <f t="shared" si="25"/>
        <v>-63489073.932292275</v>
      </c>
      <c r="AL139" s="194">
        <f t="shared" si="25"/>
        <v>-64758855.410938129</v>
      </c>
      <c r="AM139" s="194">
        <f t="shared" si="25"/>
        <v>-66054032.519156881</v>
      </c>
      <c r="AN139" s="194">
        <f t="shared" si="25"/>
        <v>0</v>
      </c>
      <c r="AO139" s="194">
        <f t="shared" si="25"/>
        <v>0</v>
      </c>
      <c r="AP139" s="194">
        <f t="shared" si="25"/>
        <v>0</v>
      </c>
      <c r="AQ139" s="194">
        <f t="shared" si="25"/>
        <v>0</v>
      </c>
      <c r="AR139" s="195">
        <f t="shared" si="25"/>
        <v>0</v>
      </c>
    </row>
    <row r="140" spans="1:44" ht="12.95" customHeight="1" x14ac:dyDescent="0.2">
      <c r="B140" s="157" t="s">
        <v>221</v>
      </c>
      <c r="C140" s="148"/>
      <c r="D140" s="149"/>
      <c r="E140" s="149"/>
      <c r="F140" s="149"/>
      <c r="G140" s="149"/>
      <c r="H140" s="149"/>
      <c r="I140" s="149"/>
      <c r="J140" s="149"/>
      <c r="K140" s="149"/>
      <c r="L140" s="149"/>
      <c r="M140" s="149"/>
      <c r="N140" s="149"/>
      <c r="O140" s="149"/>
      <c r="P140" s="149"/>
      <c r="Q140" s="149"/>
      <c r="R140" s="149"/>
      <c r="S140" s="149"/>
      <c r="T140" s="149"/>
      <c r="U140" s="149"/>
      <c r="V140" s="149"/>
      <c r="W140" s="149"/>
      <c r="X140" s="149"/>
      <c r="Y140" s="149"/>
      <c r="Z140" s="149"/>
      <c r="AA140" s="149"/>
      <c r="AB140" s="149"/>
      <c r="AC140" s="149"/>
      <c r="AD140" s="149"/>
      <c r="AE140" s="149"/>
      <c r="AF140" s="149"/>
      <c r="AG140" s="149"/>
      <c r="AH140" s="149"/>
      <c r="AI140" s="149"/>
      <c r="AJ140" s="149"/>
      <c r="AK140" s="149"/>
      <c r="AL140" s="149"/>
      <c r="AM140" s="149"/>
      <c r="AN140" s="149"/>
      <c r="AO140" s="149"/>
      <c r="AP140" s="149"/>
      <c r="AQ140" s="149"/>
      <c r="AR140" s="160"/>
    </row>
    <row r="141" spans="1:44" x14ac:dyDescent="0.2">
      <c r="B141" s="161" t="s">
        <v>222</v>
      </c>
      <c r="C141" s="152" t="s">
        <v>183</v>
      </c>
      <c r="D141" s="152"/>
      <c r="E141" s="200">
        <f t="shared" ref="E141:AR141" si="26">E131+E136+E139</f>
        <v>-207013579.49116373</v>
      </c>
      <c r="F141" s="200">
        <f t="shared" si="26"/>
        <v>-209515081.70348138</v>
      </c>
      <c r="G141" s="200">
        <f t="shared" si="26"/>
        <v>-212098072.73571932</v>
      </c>
      <c r="H141" s="200">
        <f t="shared" si="26"/>
        <v>-214765598.00918138</v>
      </c>
      <c r="I141" s="200">
        <f t="shared" si="26"/>
        <v>-217520827.55761796</v>
      </c>
      <c r="J141" s="200">
        <f t="shared" si="26"/>
        <v>-220367061.38615638</v>
      </c>
      <c r="K141" s="200">
        <f t="shared" si="26"/>
        <v>-223307735.06640971</v>
      </c>
      <c r="L141" s="200">
        <f t="shared" si="26"/>
        <v>-226346425.57829362</v>
      </c>
      <c r="M141" s="200">
        <f t="shared" si="26"/>
        <v>-229486857.40955195</v>
      </c>
      <c r="N141" s="200">
        <f t="shared" si="26"/>
        <v>-232732908.9244833</v>
      </c>
      <c r="O141" s="200">
        <f t="shared" si="26"/>
        <v>-236088619.01387835</v>
      </c>
      <c r="P141" s="200">
        <f t="shared" si="26"/>
        <v>-239558194.03871369</v>
      </c>
      <c r="Q141" s="200">
        <f t="shared" si="26"/>
        <v>-243146015.08071256</v>
      </c>
      <c r="R141" s="200">
        <f t="shared" si="26"/>
        <v>-246856645.51346827</v>
      </c>
      <c r="S141" s="200">
        <f t="shared" si="26"/>
        <v>-250694838.9084422</v>
      </c>
      <c r="T141" s="200">
        <f t="shared" si="26"/>
        <v>27840177.851769231</v>
      </c>
      <c r="U141" s="200">
        <f t="shared" si="26"/>
        <v>171754948.39341787</v>
      </c>
      <c r="V141" s="200">
        <f t="shared" si="26"/>
        <v>174415124.81132084</v>
      </c>
      <c r="W141" s="200">
        <f t="shared" si="26"/>
        <v>177128504.75758186</v>
      </c>
      <c r="X141" s="200">
        <f t="shared" si="26"/>
        <v>179896152.30276808</v>
      </c>
      <c r="Y141" s="200">
        <f t="shared" si="26"/>
        <v>143973025.30058867</v>
      </c>
      <c r="Z141" s="200">
        <f t="shared" si="26"/>
        <v>146852485.80660045</v>
      </c>
      <c r="AA141" s="200">
        <f t="shared" si="26"/>
        <v>149789535.52273244</v>
      </c>
      <c r="AB141" s="200">
        <f t="shared" si="26"/>
        <v>152785326.23318708</v>
      </c>
      <c r="AC141" s="200">
        <f t="shared" si="26"/>
        <v>155841032.75785083</v>
      </c>
      <c r="AD141" s="200">
        <f t="shared" si="26"/>
        <v>158957853.41300786</v>
      </c>
      <c r="AE141" s="200">
        <f t="shared" si="26"/>
        <v>162137010.48126805</v>
      </c>
      <c r="AF141" s="200">
        <f t="shared" si="26"/>
        <v>165379750.69089338</v>
      </c>
      <c r="AG141" s="200">
        <f t="shared" si="26"/>
        <v>168687345.70471132</v>
      </c>
      <c r="AH141" s="200">
        <f t="shared" si="26"/>
        <v>172061092.61880547</v>
      </c>
      <c r="AI141" s="200">
        <f t="shared" si="26"/>
        <v>175502314.4711816</v>
      </c>
      <c r="AJ141" s="200">
        <f t="shared" si="26"/>
        <v>179012360.76060522</v>
      </c>
      <c r="AK141" s="200">
        <f t="shared" si="26"/>
        <v>182592607.97581729</v>
      </c>
      <c r="AL141" s="200">
        <f t="shared" si="26"/>
        <v>186244460.13533366</v>
      </c>
      <c r="AM141" s="200">
        <f t="shared" si="26"/>
        <v>189969349.33804032</v>
      </c>
      <c r="AN141" s="200">
        <f t="shared" si="26"/>
        <v>0</v>
      </c>
      <c r="AO141" s="200">
        <f t="shared" si="26"/>
        <v>0</v>
      </c>
      <c r="AP141" s="200">
        <f t="shared" si="26"/>
        <v>0</v>
      </c>
      <c r="AQ141" s="200">
        <f t="shared" si="26"/>
        <v>0</v>
      </c>
      <c r="AR141" s="201">
        <f t="shared" si="26"/>
        <v>0</v>
      </c>
    </row>
    <row r="142" spans="1:44" x14ac:dyDescent="0.2">
      <c r="B142" s="50" t="s">
        <v>223</v>
      </c>
      <c r="C142" s="145" t="s">
        <v>183</v>
      </c>
      <c r="D142" s="153">
        <f>-SUM(C156:C157)</f>
        <v>-3003575775.0596404</v>
      </c>
      <c r="E142" s="194">
        <f t="shared" ref="E142:AR142" si="27">E131+E139</f>
        <v>2742204.2916397303</v>
      </c>
      <c r="F142" s="194">
        <f t="shared" si="27"/>
        <v>240702.07932206988</v>
      </c>
      <c r="G142" s="194">
        <f t="shared" si="27"/>
        <v>-2342288.9529158771</v>
      </c>
      <c r="H142" s="194">
        <f t="shared" si="27"/>
        <v>-5009814.2263778895</v>
      </c>
      <c r="I142" s="194">
        <f t="shared" si="27"/>
        <v>-7765043.7748144865</v>
      </c>
      <c r="J142" s="194">
        <f t="shared" si="27"/>
        <v>-10611277.603352919</v>
      </c>
      <c r="K142" s="194">
        <f t="shared" si="27"/>
        <v>-13551951.283606231</v>
      </c>
      <c r="L142" s="194">
        <f t="shared" si="27"/>
        <v>-16590641.795490131</v>
      </c>
      <c r="M142" s="194">
        <f t="shared" si="27"/>
        <v>-19731073.626748472</v>
      </c>
      <c r="N142" s="194">
        <f t="shared" si="27"/>
        <v>-22977125.141679838</v>
      </c>
      <c r="O142" s="194">
        <f t="shared" si="27"/>
        <v>-26332835.23107484</v>
      </c>
      <c r="P142" s="194">
        <f t="shared" si="27"/>
        <v>-29802410.255910218</v>
      </c>
      <c r="Q142" s="194">
        <f t="shared" si="27"/>
        <v>-33390231.297909126</v>
      </c>
      <c r="R142" s="194">
        <f t="shared" si="27"/>
        <v>-37100861.730664834</v>
      </c>
      <c r="S142" s="194">
        <f t="shared" si="27"/>
        <v>-40939055.125638738</v>
      </c>
      <c r="T142" s="194">
        <f t="shared" si="27"/>
        <v>27840177.851769231</v>
      </c>
      <c r="U142" s="194">
        <f t="shared" si="27"/>
        <v>171754948.39341787</v>
      </c>
      <c r="V142" s="194">
        <f t="shared" si="27"/>
        <v>174415124.81132084</v>
      </c>
      <c r="W142" s="194">
        <f t="shared" si="27"/>
        <v>177128504.75758186</v>
      </c>
      <c r="X142" s="194">
        <f t="shared" si="27"/>
        <v>179896152.30276808</v>
      </c>
      <c r="Y142" s="194">
        <f t="shared" si="27"/>
        <v>143973025.30058867</v>
      </c>
      <c r="Z142" s="194">
        <f t="shared" si="27"/>
        <v>146852485.80660045</v>
      </c>
      <c r="AA142" s="194">
        <f t="shared" si="27"/>
        <v>149789535.52273244</v>
      </c>
      <c r="AB142" s="194">
        <f t="shared" si="27"/>
        <v>152785326.23318708</v>
      </c>
      <c r="AC142" s="194">
        <f t="shared" si="27"/>
        <v>155841032.75785083</v>
      </c>
      <c r="AD142" s="194">
        <f t="shared" si="27"/>
        <v>158957853.41300786</v>
      </c>
      <c r="AE142" s="194">
        <f t="shared" si="27"/>
        <v>162137010.48126805</v>
      </c>
      <c r="AF142" s="194">
        <f t="shared" si="27"/>
        <v>165379750.69089338</v>
      </c>
      <c r="AG142" s="194">
        <f t="shared" si="27"/>
        <v>168687345.70471132</v>
      </c>
      <c r="AH142" s="194">
        <f t="shared" si="27"/>
        <v>172061092.61880547</v>
      </c>
      <c r="AI142" s="194">
        <f t="shared" si="27"/>
        <v>175502314.4711816</v>
      </c>
      <c r="AJ142" s="194">
        <f t="shared" si="27"/>
        <v>179012360.76060522</v>
      </c>
      <c r="AK142" s="194">
        <f t="shared" si="27"/>
        <v>182592607.97581729</v>
      </c>
      <c r="AL142" s="194">
        <f t="shared" si="27"/>
        <v>186244460.13533366</v>
      </c>
      <c r="AM142" s="194">
        <f t="shared" si="27"/>
        <v>189969349.33804032</v>
      </c>
      <c r="AN142" s="194">
        <f t="shared" si="27"/>
        <v>0</v>
      </c>
      <c r="AO142" s="194">
        <f t="shared" si="27"/>
        <v>0</v>
      </c>
      <c r="AP142" s="194">
        <f t="shared" si="27"/>
        <v>0</v>
      </c>
      <c r="AQ142" s="194">
        <f t="shared" si="27"/>
        <v>0</v>
      </c>
      <c r="AR142" s="195">
        <f t="shared" si="27"/>
        <v>0</v>
      </c>
    </row>
    <row r="143" spans="1:44" x14ac:dyDescent="0.2">
      <c r="B143" s="50" t="s">
        <v>224</v>
      </c>
      <c r="C143" s="145" t="s">
        <v>183</v>
      </c>
      <c r="D143" s="153">
        <f>-C157</f>
        <v>-750893943.7649101</v>
      </c>
      <c r="E143" s="194">
        <f t="shared" ref="E143:AR143" si="28">E141</f>
        <v>-207013579.49116373</v>
      </c>
      <c r="F143" s="194">
        <f t="shared" si="28"/>
        <v>-209515081.70348138</v>
      </c>
      <c r="G143" s="194">
        <f t="shared" si="28"/>
        <v>-212098072.73571932</v>
      </c>
      <c r="H143" s="194">
        <f t="shared" si="28"/>
        <v>-214765598.00918138</v>
      </c>
      <c r="I143" s="194">
        <f t="shared" si="28"/>
        <v>-217520827.55761796</v>
      </c>
      <c r="J143" s="194">
        <f t="shared" si="28"/>
        <v>-220367061.38615638</v>
      </c>
      <c r="K143" s="194">
        <f t="shared" si="28"/>
        <v>-223307735.06640971</v>
      </c>
      <c r="L143" s="194">
        <f t="shared" si="28"/>
        <v>-226346425.57829362</v>
      </c>
      <c r="M143" s="194">
        <f t="shared" si="28"/>
        <v>-229486857.40955195</v>
      </c>
      <c r="N143" s="194">
        <f t="shared" si="28"/>
        <v>-232732908.9244833</v>
      </c>
      <c r="O143" s="194">
        <f t="shared" si="28"/>
        <v>-236088619.01387835</v>
      </c>
      <c r="P143" s="194">
        <f t="shared" si="28"/>
        <v>-239558194.03871369</v>
      </c>
      <c r="Q143" s="194">
        <f t="shared" si="28"/>
        <v>-243146015.08071256</v>
      </c>
      <c r="R143" s="194">
        <f t="shared" si="28"/>
        <v>-246856645.51346827</v>
      </c>
      <c r="S143" s="194">
        <f t="shared" si="28"/>
        <v>-250694838.9084422</v>
      </c>
      <c r="T143" s="194">
        <f t="shared" si="28"/>
        <v>27840177.851769231</v>
      </c>
      <c r="U143" s="194">
        <f t="shared" si="28"/>
        <v>171754948.39341787</v>
      </c>
      <c r="V143" s="194">
        <f t="shared" si="28"/>
        <v>174415124.81132084</v>
      </c>
      <c r="W143" s="194">
        <f t="shared" si="28"/>
        <v>177128504.75758186</v>
      </c>
      <c r="X143" s="194">
        <f t="shared" si="28"/>
        <v>179896152.30276808</v>
      </c>
      <c r="Y143" s="194">
        <f t="shared" si="28"/>
        <v>143973025.30058867</v>
      </c>
      <c r="Z143" s="194">
        <f t="shared" si="28"/>
        <v>146852485.80660045</v>
      </c>
      <c r="AA143" s="194">
        <f t="shared" si="28"/>
        <v>149789535.52273244</v>
      </c>
      <c r="AB143" s="194">
        <f t="shared" si="28"/>
        <v>152785326.23318708</v>
      </c>
      <c r="AC143" s="194">
        <f t="shared" si="28"/>
        <v>155841032.75785083</v>
      </c>
      <c r="AD143" s="194">
        <f t="shared" si="28"/>
        <v>158957853.41300786</v>
      </c>
      <c r="AE143" s="194">
        <f t="shared" si="28"/>
        <v>162137010.48126805</v>
      </c>
      <c r="AF143" s="194">
        <f t="shared" si="28"/>
        <v>165379750.69089338</v>
      </c>
      <c r="AG143" s="194">
        <f t="shared" si="28"/>
        <v>168687345.70471132</v>
      </c>
      <c r="AH143" s="194">
        <f t="shared" si="28"/>
        <v>172061092.61880547</v>
      </c>
      <c r="AI143" s="194">
        <f t="shared" si="28"/>
        <v>175502314.4711816</v>
      </c>
      <c r="AJ143" s="194">
        <f t="shared" si="28"/>
        <v>179012360.76060522</v>
      </c>
      <c r="AK143" s="194">
        <f t="shared" si="28"/>
        <v>182592607.97581729</v>
      </c>
      <c r="AL143" s="194">
        <f t="shared" si="28"/>
        <v>186244460.13533366</v>
      </c>
      <c r="AM143" s="194">
        <f t="shared" si="28"/>
        <v>189969349.33804032</v>
      </c>
      <c r="AN143" s="194">
        <f t="shared" si="28"/>
        <v>0</v>
      </c>
      <c r="AO143" s="194">
        <f t="shared" si="28"/>
        <v>0</v>
      </c>
      <c r="AP143" s="194">
        <f t="shared" si="28"/>
        <v>0</v>
      </c>
      <c r="AQ143" s="194">
        <f t="shared" si="28"/>
        <v>0</v>
      </c>
      <c r="AR143" s="195">
        <f t="shared" si="28"/>
        <v>0</v>
      </c>
    </row>
    <row r="144" spans="1:44" x14ac:dyDescent="0.2">
      <c r="B144" s="50" t="s">
        <v>225</v>
      </c>
      <c r="C144" s="150" t="str">
        <f>$C$7</f>
        <v>kWh</v>
      </c>
      <c r="D144" s="145"/>
      <c r="E144" s="194">
        <f t="shared" ref="E144:AR144" si="29">IF(E111&gt;$C$76,0,E117)</f>
        <v>3659360000</v>
      </c>
      <c r="F144" s="194">
        <f t="shared" si="29"/>
        <v>3659360000</v>
      </c>
      <c r="G144" s="194">
        <f t="shared" si="29"/>
        <v>3659360000</v>
      </c>
      <c r="H144" s="194">
        <f t="shared" si="29"/>
        <v>3659360000</v>
      </c>
      <c r="I144" s="194">
        <f t="shared" si="29"/>
        <v>3659360000</v>
      </c>
      <c r="J144" s="194">
        <f t="shared" si="29"/>
        <v>3659360000</v>
      </c>
      <c r="K144" s="194">
        <f t="shared" si="29"/>
        <v>3659360000</v>
      </c>
      <c r="L144" s="194">
        <f t="shared" si="29"/>
        <v>3659360000</v>
      </c>
      <c r="M144" s="194">
        <f t="shared" si="29"/>
        <v>3659360000</v>
      </c>
      <c r="N144" s="194">
        <f t="shared" si="29"/>
        <v>3659360000</v>
      </c>
      <c r="O144" s="194">
        <f t="shared" si="29"/>
        <v>3659360000</v>
      </c>
      <c r="P144" s="194">
        <f t="shared" si="29"/>
        <v>3659360000</v>
      </c>
      <c r="Q144" s="194">
        <f t="shared" si="29"/>
        <v>3659360000</v>
      </c>
      <c r="R144" s="194">
        <f t="shared" si="29"/>
        <v>3659360000</v>
      </c>
      <c r="S144" s="194">
        <f t="shared" si="29"/>
        <v>3659360000</v>
      </c>
      <c r="T144" s="194">
        <f t="shared" si="29"/>
        <v>0</v>
      </c>
      <c r="U144" s="194">
        <f t="shared" si="29"/>
        <v>0</v>
      </c>
      <c r="V144" s="194">
        <f t="shared" si="29"/>
        <v>0</v>
      </c>
      <c r="W144" s="194">
        <f t="shared" si="29"/>
        <v>0</v>
      </c>
      <c r="X144" s="194">
        <f t="shared" si="29"/>
        <v>0</v>
      </c>
      <c r="Y144" s="194">
        <f t="shared" si="29"/>
        <v>0</v>
      </c>
      <c r="Z144" s="194">
        <f t="shared" si="29"/>
        <v>0</v>
      </c>
      <c r="AA144" s="194">
        <f t="shared" si="29"/>
        <v>0</v>
      </c>
      <c r="AB144" s="194">
        <f t="shared" si="29"/>
        <v>0</v>
      </c>
      <c r="AC144" s="194">
        <f t="shared" si="29"/>
        <v>0</v>
      </c>
      <c r="AD144" s="194">
        <f t="shared" si="29"/>
        <v>0</v>
      </c>
      <c r="AE144" s="194">
        <f t="shared" si="29"/>
        <v>0</v>
      </c>
      <c r="AF144" s="194">
        <f t="shared" si="29"/>
        <v>0</v>
      </c>
      <c r="AG144" s="194">
        <f t="shared" si="29"/>
        <v>0</v>
      </c>
      <c r="AH144" s="194">
        <f t="shared" si="29"/>
        <v>0</v>
      </c>
      <c r="AI144" s="194">
        <f t="shared" si="29"/>
        <v>0</v>
      </c>
      <c r="AJ144" s="194">
        <f t="shared" si="29"/>
        <v>0</v>
      </c>
      <c r="AK144" s="194">
        <f t="shared" si="29"/>
        <v>0</v>
      </c>
      <c r="AL144" s="194">
        <f t="shared" si="29"/>
        <v>0</v>
      </c>
      <c r="AM144" s="194">
        <f t="shared" si="29"/>
        <v>0</v>
      </c>
      <c r="AN144" s="194">
        <f t="shared" si="29"/>
        <v>0</v>
      </c>
      <c r="AO144" s="194">
        <f t="shared" si="29"/>
        <v>0</v>
      </c>
      <c r="AP144" s="194">
        <f t="shared" si="29"/>
        <v>0</v>
      </c>
      <c r="AQ144" s="194">
        <f t="shared" si="29"/>
        <v>0</v>
      </c>
      <c r="AR144" s="195">
        <f t="shared" si="29"/>
        <v>0</v>
      </c>
    </row>
    <row r="145" spans="1:44" x14ac:dyDescent="0.2">
      <c r="B145" s="162" t="s">
        <v>226</v>
      </c>
      <c r="C145" s="145" t="s">
        <v>183</v>
      </c>
      <c r="D145" s="202">
        <f>-D112</f>
        <v>3003575775.0596404</v>
      </c>
      <c r="E145" s="202">
        <f t="shared" ref="E145:AR145" si="30">IF(E111&lt;=$C76,D145-($C$5*E117+E131+E134),D145-(E131+E134))</f>
        <v>2811070800.9772854</v>
      </c>
      <c r="F145" s="202">
        <f t="shared" si="30"/>
        <v>2615363903.2432637</v>
      </c>
      <c r="G145" s="202">
        <f t="shared" si="30"/>
        <v>2416269110.1454954</v>
      </c>
      <c r="H145" s="202">
        <f t="shared" si="30"/>
        <v>2213591243.5419025</v>
      </c>
      <c r="I145" s="202">
        <f t="shared" si="30"/>
        <v>2007125487.8169987</v>
      </c>
      <c r="J145" s="202">
        <f t="shared" si="30"/>
        <v>1796656939.1064467</v>
      </c>
      <c r="K145" s="202">
        <f t="shared" si="30"/>
        <v>1581960133.8949361</v>
      </c>
      <c r="L145" s="202">
        <f t="shared" si="30"/>
        <v>1362798556.0523486</v>
      </c>
      <c r="M145" s="202">
        <f t="shared" si="30"/>
        <v>1138924121.3309593</v>
      </c>
      <c r="N145" s="202">
        <f t="shared" si="30"/>
        <v>910076638.3023088</v>
      </c>
      <c r="O145" s="202">
        <f t="shared" si="30"/>
        <v>675983244.66627896</v>
      </c>
      <c r="P145" s="202">
        <f t="shared" si="30"/>
        <v>436357817.81672043</v>
      </c>
      <c r="Q145" s="202">
        <f t="shared" si="30"/>
        <v>190900358.49763077</v>
      </c>
      <c r="R145" s="202">
        <f t="shared" si="30"/>
        <v>-60703653.668740362</v>
      </c>
      <c r="S145" s="202">
        <f t="shared" si="30"/>
        <v>-318783934.05547464</v>
      </c>
      <c r="T145" s="202">
        <f t="shared" si="30"/>
        <v>-304085888.70978713</v>
      </c>
      <c r="U145" s="202">
        <f t="shared" si="30"/>
        <v>-483343059.72750747</v>
      </c>
      <c r="V145" s="202">
        <f t="shared" si="30"/>
        <v>-666185374.16558218</v>
      </c>
      <c r="W145" s="202">
        <f t="shared" si="30"/>
        <v>-852684534.89241838</v>
      </c>
      <c r="X145" s="202">
        <f t="shared" si="30"/>
        <v>-1042913678.8337913</v>
      </c>
      <c r="Y145" s="202">
        <f t="shared" si="30"/>
        <v>-1236947405.6539917</v>
      </c>
      <c r="Z145" s="202">
        <f t="shared" si="30"/>
        <v>-1434861807.010596</v>
      </c>
      <c r="AA145" s="202">
        <f t="shared" si="30"/>
        <v>-1636734496.3943324</v>
      </c>
      <c r="AB145" s="202">
        <f t="shared" si="30"/>
        <v>-1842644639.5657434</v>
      </c>
      <c r="AC145" s="202">
        <f t="shared" si="30"/>
        <v>-2052672985.6005828</v>
      </c>
      <c r="AD145" s="202">
        <f t="shared" si="30"/>
        <v>-2266901898.556119</v>
      </c>
      <c r="AE145" s="202">
        <f t="shared" si="30"/>
        <v>-2485415389.7707658</v>
      </c>
      <c r="AF145" s="202">
        <f t="shared" si="30"/>
        <v>-2708299150.8097057</v>
      </c>
      <c r="AG145" s="202">
        <f t="shared" si="30"/>
        <v>-2935640587.0694246</v>
      </c>
      <c r="AH145" s="202">
        <f t="shared" si="30"/>
        <v>-3167528852.0543375</v>
      </c>
      <c r="AI145" s="202">
        <f t="shared" si="30"/>
        <v>-3404054882.3389487</v>
      </c>
      <c r="AJ145" s="202">
        <f t="shared" si="30"/>
        <v>-3645311433.2292523</v>
      </c>
      <c r="AK145" s="202">
        <f t="shared" si="30"/>
        <v>-3891393115.137362</v>
      </c>
      <c r="AL145" s="202">
        <f t="shared" si="30"/>
        <v>-4142396430.6836338</v>
      </c>
      <c r="AM145" s="202">
        <f t="shared" si="30"/>
        <v>-4398419812.5408306</v>
      </c>
      <c r="AN145" s="202">
        <f t="shared" si="30"/>
        <v>-4398419812.5408306</v>
      </c>
      <c r="AO145" s="202">
        <f t="shared" si="30"/>
        <v>-4398419812.5408306</v>
      </c>
      <c r="AP145" s="202">
        <f t="shared" si="30"/>
        <v>-4398419812.5408306</v>
      </c>
      <c r="AQ145" s="202">
        <f t="shared" si="30"/>
        <v>-4398419812.5408306</v>
      </c>
      <c r="AR145" s="203">
        <f t="shared" si="30"/>
        <v>-4398419812.5408306</v>
      </c>
    </row>
    <row r="146" spans="1:44" ht="12.95" customHeight="1" x14ac:dyDescent="0.2">
      <c r="B146" s="163" t="s">
        <v>227</v>
      </c>
      <c r="C146" s="204"/>
      <c r="D146" s="204"/>
      <c r="E146" s="205">
        <f t="shared" ref="E146:AR146" si="31">IF(E111&gt;$C$74,"",(-$C$94*(E138+$C$5*E117)+E131+$C$5*E117)/-E136)</f>
        <v>1.3489759165288746</v>
      </c>
      <c r="F146" s="205">
        <f t="shared" si="31"/>
        <v>1.3370501323278157</v>
      </c>
      <c r="G146" s="205">
        <f t="shared" si="31"/>
        <v>1.3247358543343537</v>
      </c>
      <c r="H146" s="205">
        <f t="shared" si="31"/>
        <v>1.312018563657763</v>
      </c>
      <c r="I146" s="205">
        <f t="shared" si="31"/>
        <v>1.2988831473238347</v>
      </c>
      <c r="J146" s="205">
        <f t="shared" si="31"/>
        <v>1.2853138727264501</v>
      </c>
      <c r="K146" s="205">
        <f t="shared" si="31"/>
        <v>1.2712943609531862</v>
      </c>
      <c r="L146" s="205">
        <f t="shared" si="31"/>
        <v>1.2568075589347472</v>
      </c>
      <c r="M146" s="205">
        <f t="shared" si="31"/>
        <v>1.2418357103657935</v>
      </c>
      <c r="N146" s="205">
        <f t="shared" si="31"/>
        <v>1.2263603253423583</v>
      </c>
      <c r="O146" s="205">
        <f t="shared" si="31"/>
        <v>1.2103621486586116</v>
      </c>
      <c r="P146" s="205">
        <f t="shared" si="31"/>
        <v>1.1938211267031549</v>
      </c>
      <c r="Q146" s="205">
        <f t="shared" si="31"/>
        <v>1.1767163728923422</v>
      </c>
      <c r="R146" s="205">
        <f t="shared" si="31"/>
        <v>1.1590261315753352</v>
      </c>
      <c r="S146" s="205">
        <f t="shared" si="31"/>
        <v>1.1407277403426614</v>
      </c>
      <c r="T146" s="205" t="str">
        <f t="shared" si="31"/>
        <v/>
      </c>
      <c r="U146" s="205" t="str">
        <f t="shared" si="31"/>
        <v/>
      </c>
      <c r="V146" s="205" t="str">
        <f t="shared" si="31"/>
        <v/>
      </c>
      <c r="W146" s="205" t="str">
        <f t="shared" si="31"/>
        <v/>
      </c>
      <c r="X146" s="205" t="str">
        <f t="shared" si="31"/>
        <v/>
      </c>
      <c r="Y146" s="205" t="str">
        <f t="shared" si="31"/>
        <v/>
      </c>
      <c r="Z146" s="205" t="str">
        <f t="shared" si="31"/>
        <v/>
      </c>
      <c r="AA146" s="205" t="str">
        <f t="shared" si="31"/>
        <v/>
      </c>
      <c r="AB146" s="205" t="str">
        <f t="shared" si="31"/>
        <v/>
      </c>
      <c r="AC146" s="205" t="str">
        <f t="shared" si="31"/>
        <v/>
      </c>
      <c r="AD146" s="205" t="str">
        <f t="shared" si="31"/>
        <v/>
      </c>
      <c r="AE146" s="205" t="str">
        <f t="shared" si="31"/>
        <v/>
      </c>
      <c r="AF146" s="205" t="str">
        <f t="shared" si="31"/>
        <v/>
      </c>
      <c r="AG146" s="205" t="str">
        <f t="shared" si="31"/>
        <v/>
      </c>
      <c r="AH146" s="205" t="str">
        <f t="shared" si="31"/>
        <v/>
      </c>
      <c r="AI146" s="205" t="str">
        <f t="shared" si="31"/>
        <v/>
      </c>
      <c r="AJ146" s="205" t="str">
        <f t="shared" si="31"/>
        <v/>
      </c>
      <c r="AK146" s="205" t="str">
        <f t="shared" si="31"/>
        <v/>
      </c>
      <c r="AL146" s="205" t="str">
        <f t="shared" si="31"/>
        <v/>
      </c>
      <c r="AM146" s="205" t="str">
        <f t="shared" si="31"/>
        <v/>
      </c>
      <c r="AN146" s="205" t="str">
        <f t="shared" si="31"/>
        <v/>
      </c>
      <c r="AO146" s="205" t="str">
        <f t="shared" si="31"/>
        <v/>
      </c>
      <c r="AP146" s="205" t="str">
        <f t="shared" si="31"/>
        <v/>
      </c>
      <c r="AQ146" s="205" t="str">
        <f t="shared" si="31"/>
        <v/>
      </c>
      <c r="AR146" s="206" t="str">
        <f t="shared" si="31"/>
        <v/>
      </c>
    </row>
    <row r="147" spans="1:44" ht="12.95" customHeight="1" x14ac:dyDescent="0.2">
      <c r="A147" s="33"/>
      <c r="B147" s="33"/>
      <c r="C147" s="33"/>
      <c r="D147" s="244"/>
      <c r="E147" s="207"/>
      <c r="F147" s="207"/>
      <c r="G147" s="207"/>
      <c r="H147" s="207"/>
      <c r="I147" s="207"/>
      <c r="J147" s="207"/>
      <c r="K147" s="207"/>
      <c r="L147" s="207"/>
      <c r="M147" s="207"/>
      <c r="N147" s="207"/>
      <c r="O147" s="207"/>
      <c r="P147" s="207"/>
      <c r="Q147" s="207"/>
      <c r="R147" s="207"/>
      <c r="S147" s="207"/>
      <c r="T147" s="207"/>
      <c r="U147" s="207"/>
      <c r="V147" s="207"/>
      <c r="W147" s="207"/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</row>
    <row r="148" spans="1:44" ht="12.95" customHeight="1" x14ac:dyDescent="0.2">
      <c r="B148" s="64" t="s">
        <v>228</v>
      </c>
      <c r="C148" s="57" t="s">
        <v>37</v>
      </c>
      <c r="D148" s="136" t="s">
        <v>114</v>
      </c>
      <c r="E148" s="34"/>
      <c r="F148" s="34"/>
      <c r="G148" s="34"/>
      <c r="H148" s="34"/>
      <c r="I148" s="34"/>
      <c r="J148" s="34"/>
      <c r="K148" s="34"/>
      <c r="L148" s="34"/>
      <c r="M148" s="34"/>
    </row>
    <row r="149" spans="1:44" x14ac:dyDescent="0.2">
      <c r="B149" s="50" t="s">
        <v>229</v>
      </c>
      <c r="C149" s="226">
        <f>NPV($C$91,E141:AR141)</f>
        <v>-1380176521.8152423</v>
      </c>
      <c r="D149" s="219" t="s">
        <v>230</v>
      </c>
    </row>
    <row r="150" spans="1:44" x14ac:dyDescent="0.2">
      <c r="B150" s="50" t="s">
        <v>231</v>
      </c>
      <c r="C150" s="227">
        <f>(1-$C$94)*NPV($C$91,E144:AR144)</f>
        <v>20652370261.835777</v>
      </c>
      <c r="D150" s="219" t="str">
        <f>$C$7</f>
        <v>kWh</v>
      </c>
      <c r="F150" s="208"/>
    </row>
    <row r="151" spans="1:44" x14ac:dyDescent="0.2">
      <c r="B151" s="50" t="s">
        <v>232</v>
      </c>
      <c r="C151" s="227">
        <f>$C$41*1000000</f>
        <v>3003575775.0596404</v>
      </c>
      <c r="D151" s="219" t="s">
        <v>183</v>
      </c>
      <c r="F151" s="209"/>
    </row>
    <row r="152" spans="1:44" x14ac:dyDescent="0.2">
      <c r="B152" s="50" t="s">
        <v>233</v>
      </c>
      <c r="C152" s="228">
        <f>AVERAGE(E146:AR146)</f>
        <v>1.2522619308444856</v>
      </c>
      <c r="D152" s="219"/>
      <c r="F152" s="209"/>
    </row>
    <row r="153" spans="1:44" x14ac:dyDescent="0.2">
      <c r="B153" s="50" t="s">
        <v>234</v>
      </c>
      <c r="C153" s="179" t="str">
        <f>CONCATENATE(ROUND(((1-$C$94)*$C$90*$C$92+$C$93*$C$91)*100,1),"% / ",ROUND((((1+(1-$C$94)*$C$90*$C$92+$C$93*$C$91)/(1+$C$89))-1)*100,1),"%")</f>
        <v>5% / 2,9%</v>
      </c>
      <c r="D153" s="219"/>
      <c r="F153" s="208"/>
      <c r="G153" s="35"/>
    </row>
    <row r="154" spans="1:44" x14ac:dyDescent="0.2">
      <c r="B154" s="50" t="s">
        <v>235</v>
      </c>
      <c r="C154" s="179">
        <f>IFERROR(IRR(D142:AR142),"n.v.t.")</f>
        <v>-5.6142282954207978E-4</v>
      </c>
      <c r="D154" s="219"/>
      <c r="F154" s="209"/>
      <c r="G154" s="35"/>
    </row>
    <row r="155" spans="1:44" x14ac:dyDescent="0.2">
      <c r="B155" s="50" t="s">
        <v>236</v>
      </c>
      <c r="C155" s="179">
        <f>IFERROR(IRR(D143:AR143),"n.v.t.")</f>
        <v>-1.3114780587338837E-2</v>
      </c>
      <c r="D155" s="219"/>
      <c r="G155" s="35"/>
    </row>
    <row r="156" spans="1:44" x14ac:dyDescent="0.2">
      <c r="B156" s="50" t="s">
        <v>237</v>
      </c>
      <c r="C156" s="227">
        <f>$C$92*C151-C97</f>
        <v>2252681831.2947302</v>
      </c>
      <c r="D156" s="219" t="s">
        <v>183</v>
      </c>
      <c r="F156" s="22"/>
    </row>
    <row r="157" spans="1:44" x14ac:dyDescent="0.2">
      <c r="B157" s="50" t="s">
        <v>238</v>
      </c>
      <c r="C157" s="227">
        <f>$C$93*C151-C98</f>
        <v>750893943.7649101</v>
      </c>
      <c r="D157" s="219" t="s">
        <v>183</v>
      </c>
      <c r="F157" s="22"/>
    </row>
    <row r="158" spans="1:44" x14ac:dyDescent="0.2">
      <c r="B158" s="50" t="s">
        <v>123</v>
      </c>
      <c r="C158" s="179">
        <f>IF(AND(E114&gt;0,E115&gt;0),ROUND(E115/E114,2),0)</f>
        <v>0</v>
      </c>
      <c r="D158" s="219" t="s">
        <v>239</v>
      </c>
      <c r="F158" s="22"/>
    </row>
    <row r="159" spans="1:44" x14ac:dyDescent="0.2">
      <c r="B159" s="50" t="s">
        <v>240</v>
      </c>
      <c r="C159" s="179">
        <f>IF(C158=0,MAX(C29:C30),E117/SUM(C26,C28))</f>
        <v>3659.36</v>
      </c>
      <c r="D159" s="219" t="s">
        <v>147</v>
      </c>
      <c r="F159" s="22"/>
    </row>
    <row r="160" spans="1:44" ht="15" customHeight="1" x14ac:dyDescent="0.25">
      <c r="B160" s="51" t="s">
        <v>241</v>
      </c>
      <c r="C160" s="277" t="str">
        <f>CONCATENATE( "tussen ", INDEX(D111:X111, MATCH(0,D145:AR145, -1)), " en ",  1 + INDEX(D111:X111, MATCH(0,D145:AR145, -1)), " jaar")</f>
        <v>tussen 13 en 14 jaar</v>
      </c>
      <c r="D160" s="270"/>
      <c r="F160" s="210"/>
      <c r="G160" s="190"/>
      <c r="I160" s="190"/>
      <c r="J160" s="190"/>
      <c r="K160" s="190"/>
      <c r="L160" s="190"/>
      <c r="M160" s="190"/>
      <c r="N160" s="190"/>
      <c r="O160" s="190"/>
      <c r="P160" s="190"/>
      <c r="Q160" s="190"/>
      <c r="R160" s="190"/>
      <c r="S160" s="190"/>
      <c r="T160" s="190"/>
      <c r="U160" s="190"/>
      <c r="V160" s="190"/>
      <c r="W160" s="190"/>
      <c r="X160" s="190"/>
      <c r="Y160" s="190"/>
      <c r="Z160" s="190"/>
      <c r="AA160" s="190"/>
      <c r="AB160" s="190"/>
      <c r="AC160" s="190"/>
      <c r="AD160" s="190"/>
      <c r="AE160" s="190"/>
      <c r="AF160" s="190"/>
      <c r="AG160" s="190"/>
      <c r="AH160" s="190"/>
      <c r="AI160" s="190"/>
      <c r="AJ160" s="190"/>
      <c r="AK160" s="190"/>
      <c r="AL160" s="190"/>
      <c r="AM160" s="190"/>
      <c r="AN160" s="190"/>
      <c r="AO160" s="190"/>
      <c r="AP160" s="190"/>
      <c r="AQ160" s="190"/>
      <c r="AR160" s="190"/>
    </row>
    <row r="161" spans="2:44" x14ac:dyDescent="0.2">
      <c r="B161" s="6"/>
      <c r="C161" s="6"/>
      <c r="D161" s="36"/>
      <c r="E161" s="190"/>
      <c r="F161" s="210"/>
      <c r="G161" s="190"/>
      <c r="H161" s="190"/>
      <c r="I161" s="190"/>
      <c r="J161" s="190"/>
      <c r="K161" s="190"/>
      <c r="L161" s="190"/>
      <c r="M161" s="190"/>
      <c r="N161" s="190"/>
      <c r="O161" s="190"/>
      <c r="P161" s="190"/>
      <c r="Q161" s="190"/>
      <c r="R161" s="190"/>
      <c r="S161" s="190"/>
      <c r="T161" s="190"/>
      <c r="U161" s="190"/>
      <c r="V161" s="190"/>
      <c r="W161" s="190"/>
      <c r="X161" s="190"/>
      <c r="Y161" s="190"/>
      <c r="Z161" s="190"/>
      <c r="AA161" s="190"/>
      <c r="AB161" s="190"/>
      <c r="AC161" s="190"/>
      <c r="AD161" s="190"/>
      <c r="AE161" s="190"/>
      <c r="AF161" s="190"/>
      <c r="AG161" s="190"/>
      <c r="AH161" s="190"/>
      <c r="AI161" s="190"/>
      <c r="AJ161" s="190"/>
      <c r="AK161" s="190"/>
      <c r="AL161" s="190"/>
      <c r="AM161" s="190"/>
      <c r="AN161" s="190"/>
      <c r="AO161" s="190"/>
      <c r="AP161" s="190"/>
      <c r="AQ161" s="190"/>
      <c r="AR161" s="190"/>
    </row>
    <row r="162" spans="2:44" x14ac:dyDescent="0.2">
      <c r="B162" s="70" t="s">
        <v>242</v>
      </c>
      <c r="C162" s="57" t="s">
        <v>37</v>
      </c>
      <c r="D162" s="136" t="s">
        <v>114</v>
      </c>
      <c r="E162" s="190"/>
      <c r="F162" s="210"/>
      <c r="G162" s="190"/>
      <c r="H162" s="190"/>
      <c r="I162" s="190"/>
      <c r="J162" s="190"/>
      <c r="K162" s="190"/>
      <c r="L162" s="190"/>
      <c r="M162" s="190"/>
      <c r="N162" s="190"/>
      <c r="O162" s="190"/>
      <c r="P162" s="190"/>
      <c r="Q162" s="190"/>
      <c r="R162" s="190"/>
      <c r="S162" s="190"/>
      <c r="T162" s="190"/>
      <c r="U162" s="190"/>
      <c r="V162" s="190"/>
      <c r="W162" s="190"/>
      <c r="X162" s="190"/>
      <c r="Y162" s="190"/>
      <c r="Z162" s="190"/>
      <c r="AA162" s="190"/>
      <c r="AB162" s="190"/>
      <c r="AC162" s="190"/>
      <c r="AD162" s="190"/>
      <c r="AE162" s="190"/>
      <c r="AF162" s="190"/>
      <c r="AG162" s="190"/>
      <c r="AH162" s="190"/>
      <c r="AI162" s="190"/>
      <c r="AJ162" s="190"/>
      <c r="AK162" s="190"/>
      <c r="AL162" s="190"/>
      <c r="AM162" s="190"/>
      <c r="AN162" s="190"/>
      <c r="AO162" s="190"/>
      <c r="AP162" s="190"/>
      <c r="AQ162" s="190"/>
      <c r="AR162" s="190"/>
    </row>
    <row r="163" spans="2:44" ht="14.85" customHeight="1" x14ac:dyDescent="0.2">
      <c r="B163" s="50" t="s">
        <v>29</v>
      </c>
      <c r="C163" s="222">
        <f>IF(C15&gt;0,ROUND(INDEX(Correcties!$A$1:$I$3,MATCH(C15,Correcties!$A$1:$A$3,0),8),4),_xlfn.XLOOKUP($C12,Correcties!$A$3:$A$3,Correcties!$H$3:$H$3,"n.v.t"))</f>
        <v>3.7693825023999997E-2</v>
      </c>
      <c r="D163" s="219" t="str">
        <f t="shared" ref="D163:D169" si="32">CONCATENATE("Euro/",$C$7)</f>
        <v>Euro/kWh</v>
      </c>
    </row>
    <row r="164" spans="2:44" s="6" customFormat="1" x14ac:dyDescent="0.2">
      <c r="B164" s="224" t="s">
        <v>33</v>
      </c>
      <c r="C164" s="211">
        <f>IF(C15&gt;0,IFERROR(_xlfn.XLOOKUP(C15,Correcties!A3:A3,Correcties!F3:F3),"n.v.t."),_xlfn.XLOOKUP($C12,Correcties!$A$3:$A$3,Correcties!$F$3:$F$3,"n.v.t."))</f>
        <v>5.6540737536000002E-2</v>
      </c>
      <c r="D164" s="229" t="str">
        <f t="shared" si="32"/>
        <v>Euro/kWh</v>
      </c>
    </row>
    <row r="165" spans="2:44" s="6" customFormat="1" x14ac:dyDescent="0.2">
      <c r="B165" s="50" t="str">
        <f>"Voorlopig correctiebedrag "&amp;Colofon!$C$29</f>
        <v>Voorlopig correctiebedrag 2026</v>
      </c>
      <c r="C165" s="225">
        <f>IF(C15&gt;0,IFERROR(ROUND(INDEX(Correcties!$A$1:$I$3,MATCH(C15,Correcties!$A$1:$A$3,0),4),4),"n.v.t."),_xlfn.XLOOKUP($C12,Correcties!$A$3:$A$3,Correcties!$D$3:$D$3,"n.v.t."))</f>
        <v>7.425000000000001E-2</v>
      </c>
      <c r="D165" s="219" t="str">
        <f t="shared" si="32"/>
        <v>Euro/kWh</v>
      </c>
      <c r="F165" s="190"/>
      <c r="G165" s="190"/>
      <c r="H165" s="190"/>
      <c r="I165" s="190"/>
      <c r="J165" s="190"/>
      <c r="K165" s="190"/>
      <c r="L165" s="190"/>
      <c r="M165" s="190"/>
      <c r="N165" s="190"/>
      <c r="O165" s="190"/>
      <c r="P165" s="190"/>
      <c r="Q165" s="190"/>
      <c r="R165" s="190"/>
      <c r="S165" s="190"/>
      <c r="T165" s="190"/>
      <c r="U165" s="190"/>
      <c r="V165" s="190"/>
      <c r="W165" s="190"/>
      <c r="X165" s="190"/>
      <c r="Y165" s="190"/>
      <c r="Z165" s="190"/>
      <c r="AA165" s="190"/>
      <c r="AB165" s="190"/>
      <c r="AC165" s="190"/>
      <c r="AD165" s="190"/>
      <c r="AE165" s="190"/>
      <c r="AF165" s="190"/>
      <c r="AG165" s="190"/>
      <c r="AH165" s="190"/>
      <c r="AI165" s="190"/>
      <c r="AJ165" s="190"/>
      <c r="AK165" s="190"/>
      <c r="AL165" s="190"/>
      <c r="AM165" s="190"/>
      <c r="AN165" s="190"/>
      <c r="AO165" s="190"/>
      <c r="AP165" s="190"/>
      <c r="AQ165" s="190"/>
      <c r="AR165" s="190"/>
    </row>
    <row r="166" spans="2:44" s="6" customFormat="1" x14ac:dyDescent="0.2">
      <c r="B166" s="224" t="str">
        <f>"Voorlopige GvO-waarde "&amp;Colofon!$C$29</f>
        <v>Voorlopige GvO-waarde 2026</v>
      </c>
      <c r="C166" s="211">
        <f>IF(C15&gt;0,_xlfn.XLOOKUP(C15,Correcties!A7:A7,Correcties!D7:D7,0), _xlfn.XLOOKUP(C12,Correcties!A7:A7,Correcties!D7:D7,0))</f>
        <v>2E-3</v>
      </c>
      <c r="D166" s="229" t="str">
        <f t="shared" si="32"/>
        <v>Euro/kWh</v>
      </c>
    </row>
    <row r="167" spans="2:44" s="6" customFormat="1" x14ac:dyDescent="0.2">
      <c r="B167" s="50"/>
      <c r="C167" s="222"/>
      <c r="D167" s="219"/>
      <c r="F167" s="37"/>
      <c r="G167" s="37"/>
      <c r="H167" s="37"/>
      <c r="I167" s="37"/>
      <c r="J167" s="37"/>
      <c r="K167" s="37"/>
      <c r="L167" s="37"/>
      <c r="M167" s="37"/>
      <c r="N167" s="37"/>
      <c r="O167" s="37"/>
      <c r="P167" s="37"/>
    </row>
    <row r="168" spans="2:44" s="6" customFormat="1" x14ac:dyDescent="0.2">
      <c r="B168" s="58" t="s">
        <v>30</v>
      </c>
      <c r="C168" s="223">
        <f>_xlfn.XLOOKUP($C$13,Correcties!A14:A14,Correcties!D14:D14,"foutmelding")</f>
        <v>0</v>
      </c>
      <c r="D168" s="230" t="str">
        <f t="shared" si="32"/>
        <v>Euro/kWh</v>
      </c>
      <c r="F168" s="37"/>
      <c r="G168" s="37"/>
      <c r="H168" s="37"/>
      <c r="I168" s="37"/>
      <c r="J168" s="37"/>
      <c r="K168" s="37"/>
      <c r="L168" s="37"/>
      <c r="M168" s="37"/>
      <c r="N168" s="37"/>
      <c r="O168" s="37"/>
      <c r="P168" s="37"/>
    </row>
    <row r="169" spans="2:44" s="6" customFormat="1" ht="13.5" customHeight="1" x14ac:dyDescent="0.2">
      <c r="B169" s="51" t="s">
        <v>243</v>
      </c>
      <c r="C169" s="212">
        <f>IF(C14="Nee",0,_xlfn.XLOOKUP($C$13,Correcties!A14:A14,Correcties!F14:F14,"foutmelding"))</f>
        <v>0</v>
      </c>
      <c r="D169" s="221" t="str">
        <f t="shared" si="32"/>
        <v>Euro/kWh</v>
      </c>
      <c r="F169" s="37"/>
      <c r="G169" s="37"/>
      <c r="H169" s="37"/>
      <c r="I169" s="37"/>
      <c r="J169" s="37"/>
      <c r="K169" s="37"/>
      <c r="L169" s="37"/>
      <c r="M169" s="37"/>
      <c r="N169" s="37"/>
      <c r="O169" s="37"/>
      <c r="P169" s="37"/>
    </row>
    <row r="170" spans="2:44" s="6" customFormat="1" x14ac:dyDescent="0.2">
      <c r="E170" s="37"/>
      <c r="F170" s="37"/>
      <c r="G170" s="37"/>
      <c r="H170" s="37"/>
      <c r="I170" s="37"/>
      <c r="J170" s="37"/>
      <c r="K170" s="37"/>
      <c r="L170" s="37"/>
      <c r="M170" s="37"/>
      <c r="N170" s="37"/>
      <c r="O170" s="37"/>
      <c r="P170" s="37"/>
    </row>
    <row r="171" spans="2:44" s="6" customFormat="1" x14ac:dyDescent="0.2">
      <c r="B171" s="56" t="s">
        <v>244</v>
      </c>
      <c r="C171" s="57" t="s">
        <v>37</v>
      </c>
      <c r="D171" s="136" t="s">
        <v>114</v>
      </c>
    </row>
    <row r="172" spans="2:44" s="6" customFormat="1" x14ac:dyDescent="0.2">
      <c r="B172" s="50" t="s">
        <v>245</v>
      </c>
      <c r="C172" s="220">
        <v>35.799999999999997</v>
      </c>
      <c r="D172" s="219" t="s">
        <v>246</v>
      </c>
    </row>
    <row r="173" spans="2:44" s="6" customFormat="1" x14ac:dyDescent="0.2">
      <c r="B173" s="50" t="s">
        <v>247</v>
      </c>
      <c r="C173" s="220">
        <v>31.65</v>
      </c>
      <c r="D173" s="219" t="s">
        <v>246</v>
      </c>
    </row>
    <row r="174" spans="2:44" s="6" customFormat="1" x14ac:dyDescent="0.2">
      <c r="B174" s="50" t="s">
        <v>248</v>
      </c>
      <c r="C174" s="220">
        <v>35.17</v>
      </c>
      <c r="D174" s="219" t="s">
        <v>246</v>
      </c>
    </row>
    <row r="175" spans="2:44" s="6" customFormat="1" x14ac:dyDescent="0.2">
      <c r="B175" s="51" t="s">
        <v>249</v>
      </c>
      <c r="C175" s="213">
        <v>3.6</v>
      </c>
      <c r="D175" s="221" t="s">
        <v>250</v>
      </c>
    </row>
    <row r="176" spans="2:44" s="6" customFormat="1" x14ac:dyDescent="0.2">
      <c r="E176" s="38"/>
    </row>
    <row r="177" spans="5:8" s="6" customFormat="1" x14ac:dyDescent="0.2"/>
    <row r="178" spans="5:8" x14ac:dyDescent="0.2">
      <c r="E178" s="6"/>
      <c r="F178" s="6"/>
      <c r="H178" s="6"/>
    </row>
    <row r="179" spans="5:8" x14ac:dyDescent="0.2">
      <c r="E179" s="6"/>
      <c r="F179" s="6"/>
      <c r="H179" s="6"/>
    </row>
    <row r="180" spans="5:8" x14ac:dyDescent="0.2">
      <c r="E180" s="6"/>
      <c r="F180" s="6"/>
      <c r="H180" s="6"/>
    </row>
    <row r="181" spans="5:8" x14ac:dyDescent="0.2">
      <c r="H181" s="6"/>
    </row>
    <row r="182" spans="5:8" x14ac:dyDescent="0.2">
      <c r="H182" s="6"/>
    </row>
    <row r="183" spans="5:8" x14ac:dyDescent="0.2">
      <c r="H183" s="6"/>
    </row>
    <row r="184" spans="5:8" x14ac:dyDescent="0.2">
      <c r="H184" s="6"/>
    </row>
    <row r="185" spans="5:8" x14ac:dyDescent="0.2">
      <c r="H185" s="6"/>
    </row>
    <row r="186" spans="5:8" x14ac:dyDescent="0.2">
      <c r="H186" s="6"/>
    </row>
    <row r="187" spans="5:8" x14ac:dyDescent="0.2">
      <c r="H187" s="6"/>
    </row>
    <row r="188" spans="5:8" x14ac:dyDescent="0.2">
      <c r="H188" s="6"/>
    </row>
    <row r="189" spans="5:8" x14ac:dyDescent="0.2">
      <c r="H189" s="6"/>
    </row>
    <row r="190" spans="5:8" x14ac:dyDescent="0.2">
      <c r="H190" s="6"/>
    </row>
  </sheetData>
  <mergeCells count="88">
    <mergeCell ref="E20:M20"/>
    <mergeCell ref="E4:M4"/>
    <mergeCell ref="E5:M5"/>
    <mergeCell ref="E6:M6"/>
    <mergeCell ref="E8:M8"/>
    <mergeCell ref="E11:M11"/>
    <mergeCell ref="E12:M12"/>
    <mergeCell ref="E13:M13"/>
    <mergeCell ref="E15:M15"/>
    <mergeCell ref="E16:M16"/>
    <mergeCell ref="E17:M17"/>
    <mergeCell ref="E18:M18"/>
    <mergeCell ref="E34:M34"/>
    <mergeCell ref="E21:M21"/>
    <mergeCell ref="E22:M22"/>
    <mergeCell ref="E24:M24"/>
    <mergeCell ref="E25:M25"/>
    <mergeCell ref="E26:M26"/>
    <mergeCell ref="E27:M27"/>
    <mergeCell ref="E28:M28"/>
    <mergeCell ref="E29:M29"/>
    <mergeCell ref="E30:M30"/>
    <mergeCell ref="E32:M32"/>
    <mergeCell ref="E33:M33"/>
    <mergeCell ref="E47:M47"/>
    <mergeCell ref="E35:M35"/>
    <mergeCell ref="E36:M36"/>
    <mergeCell ref="E38:M38"/>
    <mergeCell ref="E39:M39"/>
    <mergeCell ref="E40:M40"/>
    <mergeCell ref="E41:M41"/>
    <mergeCell ref="E42:M42"/>
    <mergeCell ref="E43:M43"/>
    <mergeCell ref="E44:M44"/>
    <mergeCell ref="E45:M45"/>
    <mergeCell ref="E46:M46"/>
    <mergeCell ref="E60:M60"/>
    <mergeCell ref="E49:M49"/>
    <mergeCell ref="E51:M51"/>
    <mergeCell ref="E52:M52"/>
    <mergeCell ref="E53:M53"/>
    <mergeCell ref="E54:M54"/>
    <mergeCell ref="E55:M55"/>
    <mergeCell ref="E56:M56"/>
    <mergeCell ref="E57:M57"/>
    <mergeCell ref="E58:M58"/>
    <mergeCell ref="E59:M59"/>
    <mergeCell ref="E74:M74"/>
    <mergeCell ref="E62:M62"/>
    <mergeCell ref="E63:M63"/>
    <mergeCell ref="E64:M64"/>
    <mergeCell ref="E65:M65"/>
    <mergeCell ref="E66:M66"/>
    <mergeCell ref="E67:M67"/>
    <mergeCell ref="E68:M68"/>
    <mergeCell ref="E69:M69"/>
    <mergeCell ref="E70:M70"/>
    <mergeCell ref="E72:M72"/>
    <mergeCell ref="E73:M73"/>
    <mergeCell ref="E88:M88"/>
    <mergeCell ref="E75:M75"/>
    <mergeCell ref="E76:M76"/>
    <mergeCell ref="E77:M77"/>
    <mergeCell ref="E79:M79"/>
    <mergeCell ref="E80:M80"/>
    <mergeCell ref="E81:M81"/>
    <mergeCell ref="E82:M82"/>
    <mergeCell ref="E83:M83"/>
    <mergeCell ref="E84:M84"/>
    <mergeCell ref="E85:M85"/>
    <mergeCell ref="E86:M86"/>
    <mergeCell ref="E102:M102"/>
    <mergeCell ref="E89:M89"/>
    <mergeCell ref="E90:M90"/>
    <mergeCell ref="E91:M91"/>
    <mergeCell ref="E92:M92"/>
    <mergeCell ref="E93:M93"/>
    <mergeCell ref="E94:M94"/>
    <mergeCell ref="E96:M96"/>
    <mergeCell ref="E97:M97"/>
    <mergeCell ref="E98:M98"/>
    <mergeCell ref="E100:M100"/>
    <mergeCell ref="E101:M101"/>
    <mergeCell ref="E103:M103"/>
    <mergeCell ref="B106:C106"/>
    <mergeCell ref="B107:C107"/>
    <mergeCell ref="B110:M110"/>
    <mergeCell ref="C160:D160"/>
  </mergeCells>
  <conditionalFormatting sqref="G1:G3 G19 G109:G113 G148:G159 G163:G164 G166">
    <cfRule type="containsText" dxfId="17" priority="3" operator="containsText" text="Pas op">
      <formula>NOT(ISERROR(SEARCH("Pas op",G1)))</formula>
    </cfRule>
  </conditionalFormatting>
  <conditionalFormatting sqref="G104">
    <cfRule type="containsText" dxfId="16" priority="1" operator="containsText" text="Pas op">
      <formula>NOT(ISERROR(SEARCH("Pas op",G104)))</formula>
    </cfRule>
  </conditionalFormatting>
  <conditionalFormatting sqref="G176:G1048576">
    <cfRule type="containsText" dxfId="15" priority="2" operator="containsText" text="Pas op">
      <formula>NOT(ISERROR(SEARCH("Pas op",G176)))</formula>
    </cfRule>
  </conditionalFormatting>
  <dataValidations count="3">
    <dataValidation type="list" allowBlank="1" showInputMessage="1" showErrorMessage="1" sqref="C37353 C102889 C168425 C233961 C299497 C365033 C430569 C496105 C561641 C627177 C692713 C758249 C823785 C889321 C954857" xr:uid="{A582314B-C0BE-45AB-8EC2-97C2DB2B2A1C}">
      <formula1>"ja,nee"</formula1>
    </dataValidation>
    <dataValidation type="list" allowBlank="1" showInputMessage="1" showErrorMessage="1" sqref="C7" xr:uid="{8B7564B0-AF94-4489-B4C8-3681FA7DB193}">
      <formula1>"t CO2,kWh"</formula1>
    </dataValidation>
    <dataValidation type="list" allowBlank="1" showInputMessage="1" showErrorMessage="1" sqref="C14" xr:uid="{9DAEA234-091B-4045-BF97-ADAD8AC09FC4}">
      <formula1>"Nee,Ja,Geen warmte"</formula1>
    </dataValidation>
  </dataValidations>
  <pageMargins left="0.7" right="0.7" top="0.75" bottom="0.75" header="0.3" footer="0.3"/>
  <pageSetup paperSize="9" scale="14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32D065-1AF4-4D12-A8CB-50803D9BE907}">
  <sheetPr>
    <pageSetUpPr fitToPage="1"/>
  </sheetPr>
  <dimension ref="A1:AR190"/>
  <sheetViews>
    <sheetView showGridLines="0" zoomScaleNormal="100" workbookViewId="0"/>
  </sheetViews>
  <sheetFormatPr defaultColWidth="12.5703125" defaultRowHeight="12.75" x14ac:dyDescent="0.2"/>
  <cols>
    <col min="1" max="1" width="1.42578125" style="244" customWidth="1"/>
    <col min="2" max="2" width="53.42578125" style="244" customWidth="1"/>
    <col min="3" max="3" width="17.5703125" style="17" customWidth="1"/>
    <col min="4" max="4" width="29.42578125" style="17" bestFit="1" customWidth="1"/>
    <col min="5" max="5" width="20.42578125" style="244" customWidth="1"/>
    <col min="6" max="12" width="12.5703125" style="244" customWidth="1"/>
    <col min="13" max="13" width="15.42578125" style="244" customWidth="1"/>
    <col min="14" max="43" width="12.5703125" style="244" customWidth="1"/>
    <col min="44" max="16384" width="12.5703125" style="244"/>
  </cols>
  <sheetData>
    <row r="1" spans="1:44" ht="20.100000000000001" customHeight="1" x14ac:dyDescent="0.3">
      <c r="A1" s="16" t="str">
        <f>CONCATENATE("Berekening basisbedragen: ", Colofon!C16)</f>
        <v>Berekening basisbedragen: Advies TOWOZ 2026</v>
      </c>
    </row>
    <row r="2" spans="1:44" s="18" customFormat="1" ht="20.100000000000001" customHeight="1" x14ac:dyDescent="0.3">
      <c r="A2" s="142" t="s">
        <v>270</v>
      </c>
      <c r="C2" s="19"/>
      <c r="D2" s="19"/>
      <c r="G2" s="20"/>
    </row>
    <row r="4" spans="1:44" ht="15" customHeight="1" x14ac:dyDescent="0.25">
      <c r="B4" s="56" t="s">
        <v>124</v>
      </c>
      <c r="C4" s="57" t="s">
        <v>37</v>
      </c>
      <c r="D4" s="57" t="s">
        <v>114</v>
      </c>
      <c r="E4" s="262" t="s">
        <v>31</v>
      </c>
      <c r="F4" s="263"/>
      <c r="G4" s="263"/>
      <c r="H4" s="263"/>
      <c r="I4" s="263"/>
      <c r="J4" s="263"/>
      <c r="K4" s="263"/>
      <c r="L4" s="263"/>
      <c r="M4" s="255"/>
    </row>
    <row r="5" spans="1:44" ht="12.95" customHeight="1" x14ac:dyDescent="0.25">
      <c r="B5" s="50" t="s">
        <v>28</v>
      </c>
      <c r="C5" s="281">
        <f>ROUND((C157-C149)/C150,4)</f>
        <v>0.104</v>
      </c>
      <c r="D5" s="52" t="str">
        <f>CONCATENATE("Euro/",$C$7)</f>
        <v>Euro/kWh</v>
      </c>
      <c r="E5" s="264" t="s">
        <v>125</v>
      </c>
      <c r="F5" s="265"/>
      <c r="G5" s="265"/>
      <c r="H5" s="265"/>
      <c r="I5" s="265"/>
      <c r="J5" s="265"/>
      <c r="K5" s="265"/>
      <c r="L5" s="265"/>
      <c r="M5" s="266"/>
    </row>
    <row r="6" spans="1:44" ht="12.95" customHeight="1" x14ac:dyDescent="0.25">
      <c r="B6" s="50" t="s">
        <v>27</v>
      </c>
      <c r="C6" s="71">
        <f>(ROUND(C5,4)-(ROUND(C164,4)+ROUND(C166,4)+ROUND(C167,4)+ROUND(C169,4)))/ROUND(C70,4)*1000</f>
        <v>216.25475285171098</v>
      </c>
      <c r="D6" s="53" t="s">
        <v>126</v>
      </c>
      <c r="E6" s="264" t="s">
        <v>127</v>
      </c>
      <c r="F6" s="265"/>
      <c r="G6" s="265"/>
      <c r="H6" s="265"/>
      <c r="I6" s="265"/>
      <c r="J6" s="265"/>
      <c r="K6" s="265"/>
      <c r="L6" s="265"/>
      <c r="M6" s="266"/>
    </row>
    <row r="7" spans="1:44" ht="12.95" customHeight="1" x14ac:dyDescent="0.2">
      <c r="B7" s="50" t="s">
        <v>34</v>
      </c>
      <c r="C7" s="79" t="s">
        <v>35</v>
      </c>
      <c r="D7" s="54"/>
      <c r="E7" s="137" t="s">
        <v>128</v>
      </c>
      <c r="F7" s="137"/>
      <c r="G7" s="137"/>
      <c r="H7" s="137"/>
      <c r="I7" s="137"/>
      <c r="J7" s="137"/>
      <c r="K7" s="137"/>
      <c r="L7" s="137"/>
      <c r="M7" s="243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</row>
    <row r="8" spans="1:44" ht="12.95" customHeight="1" x14ac:dyDescent="0.25">
      <c r="B8" s="50" t="s">
        <v>36</v>
      </c>
      <c r="C8" s="72" t="str">
        <f>IF(C7="kWh","kW",IF(C7="t CO2","t CO2/uur","foutmelding"))</f>
        <v>kW</v>
      </c>
      <c r="D8" s="54"/>
      <c r="E8" s="264"/>
      <c r="F8" s="265"/>
      <c r="G8" s="265"/>
      <c r="H8" s="265"/>
      <c r="I8" s="265"/>
      <c r="J8" s="265"/>
      <c r="K8" s="265"/>
      <c r="L8" s="265"/>
      <c r="M8" s="266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/>
      <c r="AO8" s="21"/>
      <c r="AP8" s="21"/>
      <c r="AQ8" s="21"/>
      <c r="AR8" s="21"/>
    </row>
    <row r="9" spans="1:44" ht="12.95" customHeight="1" x14ac:dyDescent="0.2">
      <c r="B9" s="51" t="s">
        <v>18</v>
      </c>
      <c r="C9" s="80" t="s">
        <v>21</v>
      </c>
      <c r="D9" s="55"/>
      <c r="E9" s="138" t="s">
        <v>129</v>
      </c>
      <c r="F9" s="138"/>
      <c r="G9" s="138"/>
      <c r="H9" s="138"/>
      <c r="I9" s="138"/>
      <c r="J9" s="138"/>
      <c r="K9" s="138"/>
      <c r="L9" s="138"/>
      <c r="M9" s="246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</row>
    <row r="10" spans="1:44" s="22" customFormat="1" ht="12.95" customHeight="1" x14ac:dyDescent="0.2">
      <c r="B10" s="21"/>
      <c r="C10" s="21"/>
      <c r="D10" s="21"/>
      <c r="E10" s="23"/>
      <c r="F10" s="23"/>
      <c r="G10" s="23"/>
      <c r="H10" s="23"/>
      <c r="I10" s="23"/>
      <c r="J10" s="23"/>
      <c r="K10" s="23"/>
      <c r="L10" s="23"/>
      <c r="M10" s="23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/>
      <c r="AP10" s="21"/>
      <c r="AQ10" s="21"/>
      <c r="AR10" s="21"/>
    </row>
    <row r="11" spans="1:44" ht="12.95" customHeight="1" x14ac:dyDescent="0.25">
      <c r="B11" s="56" t="s">
        <v>130</v>
      </c>
      <c r="C11" s="57" t="s">
        <v>37</v>
      </c>
      <c r="D11" s="57" t="s">
        <v>131</v>
      </c>
      <c r="E11" s="262" t="s">
        <v>31</v>
      </c>
      <c r="F11" s="263"/>
      <c r="G11" s="263"/>
      <c r="H11" s="263"/>
      <c r="I11" s="263"/>
      <c r="J11" s="263"/>
      <c r="K11" s="263"/>
      <c r="L11" s="263"/>
      <c r="M11" s="255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</row>
    <row r="12" spans="1:44" ht="12.95" customHeight="1" x14ac:dyDescent="0.25">
      <c r="B12" s="58" t="s">
        <v>38</v>
      </c>
      <c r="C12" s="140" t="s">
        <v>253</v>
      </c>
      <c r="D12" s="59" t="str">
        <f>_xlfn.XLOOKUP(C12,Correcties!A3:A3,Correcties!B3:B3,"")</f>
        <v>Elektriciteiit-WOZ (vanaf 2025)</v>
      </c>
      <c r="E12" s="267" t="str">
        <f>IFERROR(INDEX(Correcties!$A$1:$I$244,MATCH('IJv-g (a)'!C12,Correcties!$A$1:$A$244,0),5),"")</f>
        <v>EPEX2 x PF_WOZ</v>
      </c>
      <c r="F12" s="263"/>
      <c r="G12" s="263"/>
      <c r="H12" s="263"/>
      <c r="I12" s="263"/>
      <c r="J12" s="263"/>
      <c r="K12" s="263"/>
      <c r="L12" s="263"/>
      <c r="M12" s="255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</row>
    <row r="13" spans="1:44" ht="12.95" customHeight="1" x14ac:dyDescent="0.25">
      <c r="B13" s="50" t="s">
        <v>39</v>
      </c>
      <c r="C13" s="140">
        <v>0</v>
      </c>
      <c r="D13" s="60" t="str">
        <f>_xlfn.XLOOKUP(C13,Correcties!A14:A14,Correcties!B14:B14)</f>
        <v>Geen ETS-correctie</v>
      </c>
      <c r="E13" s="264">
        <f>_xlfn.XLOOKUP(C13,Correcties!A14:A14,Correcties!E14:E14)</f>
        <v>0</v>
      </c>
      <c r="F13" s="265"/>
      <c r="G13" s="265"/>
      <c r="H13" s="265"/>
      <c r="I13" s="265"/>
      <c r="J13" s="265"/>
      <c r="K13" s="265"/>
      <c r="L13" s="265"/>
      <c r="M13" s="266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</row>
    <row r="14" spans="1:44" ht="12.95" customHeight="1" x14ac:dyDescent="0.2">
      <c r="B14" s="50" t="s">
        <v>132</v>
      </c>
      <c r="C14" s="79" t="s">
        <v>40</v>
      </c>
      <c r="D14" s="60" t="s">
        <v>133</v>
      </c>
      <c r="E14" s="137" t="s">
        <v>134</v>
      </c>
      <c r="F14" s="137"/>
      <c r="G14" s="137"/>
      <c r="H14" s="137"/>
      <c r="I14" s="137"/>
      <c r="J14" s="137"/>
      <c r="K14" s="137"/>
      <c r="L14" s="137"/>
      <c r="M14" s="243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</row>
    <row r="15" spans="1:44" ht="15" customHeight="1" x14ac:dyDescent="0.25">
      <c r="B15" s="50" t="s">
        <v>41</v>
      </c>
      <c r="C15" s="140"/>
      <c r="D15" s="53" t="str">
        <f>_xlfn.XLOOKUP(C15,Correcties!A3:A3,Correcties!B3:B3,"")</f>
        <v/>
      </c>
      <c r="E15" s="264" t="str">
        <f>"Enkel relevant voor zon-pv. "&amp;_xlfn.XLOOKUP(C15,Correcties!A3:A3,Correcties!E3:E3,"")</f>
        <v xml:space="preserve">Enkel relevant voor zon-pv. </v>
      </c>
      <c r="F15" s="265"/>
      <c r="G15" s="265"/>
      <c r="H15" s="265"/>
      <c r="I15" s="265"/>
      <c r="J15" s="265"/>
      <c r="K15" s="265"/>
      <c r="L15" s="265"/>
      <c r="M15" s="266"/>
    </row>
    <row r="16" spans="1:44" ht="15" customHeight="1" x14ac:dyDescent="0.25">
      <c r="B16" s="50" t="s">
        <v>42</v>
      </c>
      <c r="C16" s="140"/>
      <c r="D16" s="53" t="str">
        <f>_xlfn.XLOOKUP(C16,Correcties!A3:A3,Correcties!B3:B3,"")</f>
        <v/>
      </c>
      <c r="E16" s="264" t="str">
        <f>"Enkel relevant voor zon-pv. "&amp;_xlfn.XLOOKUP(C16,Correcties!A3:A3,Correcties!E3:E3,"")</f>
        <v xml:space="preserve">Enkel relevant voor zon-pv. </v>
      </c>
      <c r="F16" s="265"/>
      <c r="G16" s="265"/>
      <c r="H16" s="265"/>
      <c r="I16" s="265"/>
      <c r="J16" s="265"/>
      <c r="K16" s="265"/>
      <c r="L16" s="265"/>
      <c r="M16" s="266"/>
    </row>
    <row r="17" spans="2:13" ht="15" customHeight="1" x14ac:dyDescent="0.25">
      <c r="B17" s="50" t="s">
        <v>43</v>
      </c>
      <c r="C17" s="81"/>
      <c r="D17" s="53"/>
      <c r="E17" s="264" t="s">
        <v>135</v>
      </c>
      <c r="F17" s="265"/>
      <c r="G17" s="265"/>
      <c r="H17" s="265"/>
      <c r="I17" s="265"/>
      <c r="J17" s="265"/>
      <c r="K17" s="265"/>
      <c r="L17" s="265"/>
      <c r="M17" s="266"/>
    </row>
    <row r="18" spans="2:13" ht="15" customHeight="1" x14ac:dyDescent="0.25">
      <c r="B18" s="51" t="s">
        <v>44</v>
      </c>
      <c r="C18" s="82"/>
      <c r="D18" s="61"/>
      <c r="E18" s="268" t="s">
        <v>136</v>
      </c>
      <c r="F18" s="269"/>
      <c r="G18" s="269"/>
      <c r="H18" s="269"/>
      <c r="I18" s="269"/>
      <c r="J18" s="269"/>
      <c r="K18" s="269"/>
      <c r="L18" s="269"/>
      <c r="M18" s="270"/>
    </row>
    <row r="19" spans="2:13" x14ac:dyDescent="0.2">
      <c r="C19" s="24"/>
    </row>
    <row r="20" spans="2:13" ht="15" customHeight="1" x14ac:dyDescent="0.25">
      <c r="B20" s="56" t="s">
        <v>137</v>
      </c>
      <c r="C20" s="57" t="s">
        <v>37</v>
      </c>
      <c r="D20" s="57" t="s">
        <v>114</v>
      </c>
      <c r="E20" s="262" t="s">
        <v>31</v>
      </c>
      <c r="F20" s="263"/>
      <c r="G20" s="263"/>
      <c r="H20" s="263"/>
      <c r="I20" s="263"/>
      <c r="J20" s="263"/>
      <c r="K20" s="263"/>
      <c r="L20" s="263"/>
      <c r="M20" s="255"/>
    </row>
    <row r="21" spans="2:13" ht="15" customHeight="1" x14ac:dyDescent="0.25">
      <c r="B21" s="50" t="s">
        <v>45</v>
      </c>
      <c r="C21" s="79"/>
      <c r="D21" s="52" t="str">
        <f>C8</f>
        <v>kW</v>
      </c>
      <c r="E21" s="264"/>
      <c r="F21" s="265"/>
      <c r="G21" s="265"/>
      <c r="H21" s="265"/>
      <c r="I21" s="265"/>
      <c r="J21" s="265"/>
      <c r="K21" s="265"/>
      <c r="L21" s="265"/>
      <c r="M21" s="266"/>
    </row>
    <row r="22" spans="2:13" ht="12.95" customHeight="1" x14ac:dyDescent="0.25">
      <c r="B22" s="50" t="s">
        <v>46</v>
      </c>
      <c r="C22" s="178"/>
      <c r="D22" s="52"/>
      <c r="E22" s="264" t="s">
        <v>138</v>
      </c>
      <c r="F22" s="265"/>
      <c r="G22" s="265"/>
      <c r="H22" s="265"/>
      <c r="I22" s="265"/>
      <c r="J22" s="265"/>
      <c r="K22" s="265"/>
      <c r="L22" s="265"/>
      <c r="M22" s="266"/>
    </row>
    <row r="23" spans="2:13" x14ac:dyDescent="0.2">
      <c r="B23" s="50" t="s">
        <v>47</v>
      </c>
      <c r="C23" s="79"/>
      <c r="D23" s="53"/>
      <c r="E23" s="137" t="s">
        <v>139</v>
      </c>
      <c r="F23" s="137"/>
      <c r="G23" s="137"/>
      <c r="H23" s="137"/>
      <c r="I23" s="137"/>
      <c r="J23" s="137"/>
      <c r="K23" s="137"/>
      <c r="L23" s="137"/>
      <c r="M23" s="243"/>
    </row>
    <row r="24" spans="2:13" ht="15" customHeight="1" x14ac:dyDescent="0.25">
      <c r="B24" s="62" t="s">
        <v>140</v>
      </c>
      <c r="C24" s="83"/>
      <c r="D24" s="53"/>
      <c r="E24" s="264" t="s">
        <v>141</v>
      </c>
      <c r="F24" s="265"/>
      <c r="G24" s="265"/>
      <c r="H24" s="265"/>
      <c r="I24" s="265"/>
      <c r="J24" s="265"/>
      <c r="K24" s="265"/>
      <c r="L24" s="265"/>
      <c r="M24" s="266"/>
    </row>
    <row r="25" spans="2:13" ht="15" customHeight="1" x14ac:dyDescent="0.25">
      <c r="B25" s="62" t="s">
        <v>142</v>
      </c>
      <c r="C25" s="179">
        <f>IF(C23="JA",IF(C24&lt;&gt;"",C21*C175/C172/C24,0),0)</f>
        <v>0</v>
      </c>
      <c r="D25" s="53" t="s">
        <v>143</v>
      </c>
      <c r="E25" s="264"/>
      <c r="F25" s="265"/>
      <c r="G25" s="265"/>
      <c r="H25" s="265"/>
      <c r="I25" s="265"/>
      <c r="J25" s="265"/>
      <c r="K25" s="265"/>
      <c r="L25" s="265"/>
      <c r="M25" s="266"/>
    </row>
    <row r="26" spans="2:13" ht="15" customHeight="1" x14ac:dyDescent="0.25">
      <c r="B26" s="50" t="s">
        <v>48</v>
      </c>
      <c r="C26" s="79"/>
      <c r="D26" s="52" t="str">
        <f>C8</f>
        <v>kW</v>
      </c>
      <c r="E26" s="264" t="s">
        <v>144</v>
      </c>
      <c r="F26" s="265"/>
      <c r="G26" s="265"/>
      <c r="H26" s="265"/>
      <c r="I26" s="265"/>
      <c r="J26" s="265"/>
      <c r="K26" s="265"/>
      <c r="L26" s="265"/>
      <c r="M26" s="266"/>
    </row>
    <row r="27" spans="2:13" ht="15" customHeight="1" x14ac:dyDescent="0.25">
      <c r="B27" s="62" t="s">
        <v>145</v>
      </c>
      <c r="C27" s="179">
        <f>IF(C23="JA",IF(C26=0,,C26*C175/C173),0)</f>
        <v>0</v>
      </c>
      <c r="D27" s="53" t="s">
        <v>143</v>
      </c>
      <c r="E27" s="264"/>
      <c r="F27" s="265"/>
      <c r="G27" s="265"/>
      <c r="H27" s="265"/>
      <c r="I27" s="265"/>
      <c r="J27" s="265"/>
      <c r="K27" s="265"/>
      <c r="L27" s="265"/>
      <c r="M27" s="266"/>
    </row>
    <row r="28" spans="2:13" ht="15" customHeight="1" x14ac:dyDescent="0.25">
      <c r="B28" s="50" t="s">
        <v>49</v>
      </c>
      <c r="C28" s="84">
        <v>1000000</v>
      </c>
      <c r="D28" s="52" t="str">
        <f>C8</f>
        <v>kW</v>
      </c>
      <c r="E28" s="264" t="s">
        <v>146</v>
      </c>
      <c r="F28" s="265"/>
      <c r="G28" s="265"/>
      <c r="H28" s="265"/>
      <c r="I28" s="265"/>
      <c r="J28" s="265"/>
      <c r="K28" s="265"/>
      <c r="L28" s="265"/>
      <c r="M28" s="266"/>
    </row>
    <row r="29" spans="2:13" ht="15" customHeight="1" x14ac:dyDescent="0.25">
      <c r="B29" s="50" t="s">
        <v>50</v>
      </c>
      <c r="C29" s="84"/>
      <c r="D29" s="53" t="s">
        <v>147</v>
      </c>
      <c r="E29" s="264" t="s">
        <v>148</v>
      </c>
      <c r="F29" s="265"/>
      <c r="G29" s="265"/>
      <c r="H29" s="265"/>
      <c r="I29" s="265"/>
      <c r="J29" s="265"/>
      <c r="K29" s="265"/>
      <c r="L29" s="265"/>
      <c r="M29" s="266"/>
    </row>
    <row r="30" spans="2:13" ht="15" customHeight="1" x14ac:dyDescent="0.25">
      <c r="B30" s="51" t="s">
        <v>51</v>
      </c>
      <c r="C30" s="80">
        <v>3703.16</v>
      </c>
      <c r="D30" s="61" t="s">
        <v>147</v>
      </c>
      <c r="E30" s="268" t="s">
        <v>148</v>
      </c>
      <c r="F30" s="269"/>
      <c r="G30" s="269"/>
      <c r="H30" s="269"/>
      <c r="I30" s="269"/>
      <c r="J30" s="269"/>
      <c r="K30" s="269"/>
      <c r="L30" s="269"/>
      <c r="M30" s="270"/>
    </row>
    <row r="31" spans="2:13" x14ac:dyDescent="0.2">
      <c r="C31" s="25"/>
      <c r="E31" s="141"/>
      <c r="F31" s="141"/>
      <c r="G31" s="141"/>
      <c r="H31" s="141"/>
      <c r="I31" s="141"/>
      <c r="J31" s="141"/>
      <c r="K31" s="141"/>
      <c r="L31" s="141"/>
      <c r="M31" s="141"/>
    </row>
    <row r="32" spans="2:13" ht="15" customHeight="1" x14ac:dyDescent="0.25">
      <c r="B32" s="56" t="s">
        <v>149</v>
      </c>
      <c r="C32" s="57" t="s">
        <v>37</v>
      </c>
      <c r="D32" s="57" t="s">
        <v>114</v>
      </c>
      <c r="E32" s="262" t="s">
        <v>31</v>
      </c>
      <c r="F32" s="263"/>
      <c r="G32" s="263"/>
      <c r="H32" s="263"/>
      <c r="I32" s="263"/>
      <c r="J32" s="263"/>
      <c r="K32" s="263"/>
      <c r="L32" s="263"/>
      <c r="M32" s="255"/>
    </row>
    <row r="33" spans="2:13" ht="15" customHeight="1" x14ac:dyDescent="0.25">
      <c r="B33" s="50" t="s">
        <v>52</v>
      </c>
      <c r="C33" s="180">
        <f>IF(C21&gt;0,C28/C21,IF(C28&gt;0,1,0))</f>
        <v>1</v>
      </c>
      <c r="D33" s="53"/>
      <c r="E33" s="264"/>
      <c r="F33" s="265"/>
      <c r="G33" s="265"/>
      <c r="H33" s="265"/>
      <c r="I33" s="265"/>
      <c r="J33" s="265"/>
      <c r="K33" s="265"/>
      <c r="L33" s="265"/>
      <c r="M33" s="266"/>
    </row>
    <row r="34" spans="2:13" ht="15" customHeight="1" x14ac:dyDescent="0.25">
      <c r="B34" s="50" t="s">
        <v>53</v>
      </c>
      <c r="C34" s="180">
        <f>IF(C28&gt;0,C33-C36*C33*(C26*C29)/(C28*C30),)</f>
        <v>1</v>
      </c>
      <c r="D34" s="53"/>
      <c r="E34" s="264"/>
      <c r="F34" s="265"/>
      <c r="G34" s="265"/>
      <c r="H34" s="265"/>
      <c r="I34" s="265"/>
      <c r="J34" s="265"/>
      <c r="K34" s="265"/>
      <c r="L34" s="265"/>
      <c r="M34" s="266"/>
    </row>
    <row r="35" spans="2:13" ht="15" customHeight="1" x14ac:dyDescent="0.25">
      <c r="B35" s="50" t="s">
        <v>54</v>
      </c>
      <c r="C35" s="73">
        <f>IF(C21&gt;0,C26/C21,0)</f>
        <v>0</v>
      </c>
      <c r="D35" s="53"/>
      <c r="E35" s="264"/>
      <c r="F35" s="265"/>
      <c r="G35" s="265"/>
      <c r="H35" s="265"/>
      <c r="I35" s="265"/>
      <c r="J35" s="265"/>
      <c r="K35" s="265"/>
      <c r="L35" s="265"/>
      <c r="M35" s="266"/>
    </row>
    <row r="36" spans="2:13" ht="15" customHeight="1" x14ac:dyDescent="0.25">
      <c r="B36" s="51" t="s">
        <v>55</v>
      </c>
      <c r="C36" s="86"/>
      <c r="D36" s="61" t="s">
        <v>150</v>
      </c>
      <c r="E36" s="268" t="s">
        <v>151</v>
      </c>
      <c r="F36" s="269"/>
      <c r="G36" s="269"/>
      <c r="H36" s="269"/>
      <c r="I36" s="269"/>
      <c r="J36" s="269"/>
      <c r="K36" s="269"/>
      <c r="L36" s="269"/>
      <c r="M36" s="270"/>
    </row>
    <row r="37" spans="2:13" x14ac:dyDescent="0.2">
      <c r="C37" s="26"/>
      <c r="E37" s="141"/>
      <c r="F37" s="141"/>
      <c r="G37" s="141"/>
      <c r="H37" s="141"/>
      <c r="I37" s="141"/>
      <c r="J37" s="141"/>
      <c r="K37" s="141"/>
      <c r="L37" s="141"/>
      <c r="M37" s="141"/>
    </row>
    <row r="38" spans="2:13" ht="15" customHeight="1" x14ac:dyDescent="0.25">
      <c r="B38" s="56" t="s">
        <v>56</v>
      </c>
      <c r="C38" s="57" t="s">
        <v>37</v>
      </c>
      <c r="D38" s="57" t="s">
        <v>114</v>
      </c>
      <c r="E38" s="262" t="s">
        <v>31</v>
      </c>
      <c r="F38" s="263"/>
      <c r="G38" s="263"/>
      <c r="H38" s="263"/>
      <c r="I38" s="263"/>
      <c r="J38" s="263"/>
      <c r="K38" s="263"/>
      <c r="L38" s="263"/>
      <c r="M38" s="255"/>
    </row>
    <row r="39" spans="2:13" ht="15" customHeight="1" x14ac:dyDescent="0.25">
      <c r="B39" s="63" t="s">
        <v>152</v>
      </c>
      <c r="C39" s="84"/>
      <c r="D39" s="53" t="str">
        <f>CONCATENATE("Euro/",$C$8)</f>
        <v>Euro/kW</v>
      </c>
      <c r="E39" s="264" t="s">
        <v>153</v>
      </c>
      <c r="F39" s="265"/>
      <c r="G39" s="265"/>
      <c r="H39" s="265"/>
      <c r="I39" s="265"/>
      <c r="J39" s="265"/>
      <c r="K39" s="265"/>
      <c r="L39" s="265"/>
      <c r="M39" s="266"/>
    </row>
    <row r="40" spans="2:13" ht="15" customHeight="1" x14ac:dyDescent="0.25">
      <c r="B40" s="63" t="s">
        <v>154</v>
      </c>
      <c r="C40" s="79">
        <v>2994.7801478292399</v>
      </c>
      <c r="D40" s="53" t="str">
        <f>CONCATENATE("Euro/",$C$8)</f>
        <v>Euro/kW</v>
      </c>
      <c r="E40" s="264" t="s">
        <v>277</v>
      </c>
      <c r="F40" s="265"/>
      <c r="G40" s="265"/>
      <c r="H40" s="265"/>
      <c r="I40" s="265"/>
      <c r="J40" s="265"/>
      <c r="K40" s="265"/>
      <c r="L40" s="265"/>
      <c r="M40" s="266"/>
    </row>
    <row r="41" spans="2:13" ht="15" customHeight="1" x14ac:dyDescent="0.25">
      <c r="B41" s="50" t="s">
        <v>57</v>
      </c>
      <c r="C41" s="181">
        <f>((C21*C39+SUM(C26,C28)*C40)*(1+D103*C92))/1000000</f>
        <v>3017.2409989379594</v>
      </c>
      <c r="D41" s="53" t="s">
        <v>155</v>
      </c>
      <c r="E41" s="271"/>
      <c r="F41" s="265"/>
      <c r="G41" s="265"/>
      <c r="H41" s="265"/>
      <c r="I41" s="265"/>
      <c r="J41" s="265"/>
      <c r="K41" s="265"/>
      <c r="L41" s="265"/>
      <c r="M41" s="266"/>
    </row>
    <row r="42" spans="2:13" ht="15" customHeight="1" x14ac:dyDescent="0.25">
      <c r="B42" s="63" t="s">
        <v>156</v>
      </c>
      <c r="C42" s="178"/>
      <c r="D42" s="53" t="str">
        <f>CONCATENATE("Euro/",$C$8,"/jaar")</f>
        <v>Euro/kW/jaar</v>
      </c>
      <c r="E42" s="264" t="s">
        <v>157</v>
      </c>
      <c r="F42" s="265"/>
      <c r="G42" s="265"/>
      <c r="H42" s="265"/>
      <c r="I42" s="265"/>
      <c r="J42" s="265"/>
      <c r="K42" s="265"/>
      <c r="L42" s="265"/>
      <c r="M42" s="266"/>
    </row>
    <row r="43" spans="2:13" ht="15" customHeight="1" x14ac:dyDescent="0.25">
      <c r="B43" s="63" t="s">
        <v>158</v>
      </c>
      <c r="C43" s="178">
        <v>51.238265321447997</v>
      </c>
      <c r="D43" s="53" t="str">
        <f>CONCATENATE("Euro/",$C$8,"/jaar")</f>
        <v>Euro/kW/jaar</v>
      </c>
      <c r="E43" s="264" t="s">
        <v>157</v>
      </c>
      <c r="F43" s="265"/>
      <c r="G43" s="265"/>
      <c r="H43" s="265"/>
      <c r="I43" s="265"/>
      <c r="J43" s="265"/>
      <c r="K43" s="265"/>
      <c r="L43" s="265"/>
      <c r="M43" s="266"/>
    </row>
    <row r="44" spans="2:13" ht="15" customHeight="1" x14ac:dyDescent="0.25">
      <c r="B44" s="50" t="s">
        <v>58</v>
      </c>
      <c r="C44" s="74">
        <f>(C42*C21+C43*SUM(C26,C28))/1000</f>
        <v>51238.265321448001</v>
      </c>
      <c r="D44" s="53" t="s">
        <v>159</v>
      </c>
      <c r="E44" s="271" t="s">
        <v>160</v>
      </c>
      <c r="F44" s="265"/>
      <c r="G44" s="265"/>
      <c r="H44" s="265"/>
      <c r="I44" s="265"/>
      <c r="J44" s="265"/>
      <c r="K44" s="265"/>
      <c r="L44" s="265"/>
      <c r="M44" s="266"/>
    </row>
    <row r="45" spans="2:13" ht="15" customHeight="1" x14ac:dyDescent="0.25">
      <c r="B45" s="50" t="s">
        <v>161</v>
      </c>
      <c r="C45" s="182"/>
      <c r="D45" s="53" t="str">
        <f>CONCATENATE("Euro/",$C$7)</f>
        <v>Euro/kWh</v>
      </c>
      <c r="E45" s="264" t="str">
        <f>CONCATENATE("Het betreft de inkoopkosten voor elektriciteit, per ", $C$7," output")</f>
        <v>Het betreft de inkoopkosten voor elektriciteit, per kWh output</v>
      </c>
      <c r="F45" s="265"/>
      <c r="G45" s="265"/>
      <c r="H45" s="265"/>
      <c r="I45" s="265"/>
      <c r="J45" s="265"/>
      <c r="K45" s="265"/>
      <c r="L45" s="265"/>
      <c r="M45" s="266"/>
    </row>
    <row r="46" spans="2:13" ht="15" customHeight="1" x14ac:dyDescent="0.25">
      <c r="B46" s="50" t="s">
        <v>162</v>
      </c>
      <c r="C46" s="182"/>
      <c r="D46" s="53" t="str">
        <f>CONCATENATE("Euro/",$C$7)</f>
        <v>Euro/kWh</v>
      </c>
      <c r="E46" s="264" t="str">
        <f>CONCATENATE("Het betreft de inkoopkosten voor gas, per ", $C$7," output")</f>
        <v>Het betreft de inkoopkosten voor gas, per kWh output</v>
      </c>
      <c r="F46" s="265"/>
      <c r="G46" s="265"/>
      <c r="H46" s="265"/>
      <c r="I46" s="265"/>
      <c r="J46" s="265"/>
      <c r="K46" s="265"/>
      <c r="L46" s="265"/>
      <c r="M46" s="266"/>
    </row>
    <row r="47" spans="2:13" ht="15" customHeight="1" x14ac:dyDescent="0.25">
      <c r="B47" s="50" t="s">
        <v>163</v>
      </c>
      <c r="C47" s="182"/>
      <c r="D47" s="53" t="str">
        <f>CONCATENATE("Euro/",$C$7)</f>
        <v>Euro/kWh</v>
      </c>
      <c r="E47" s="264" t="str">
        <f>CONCATENATE("Het betreft de inkoopkosten voor warmte, per ", $C$7," output")</f>
        <v>Het betreft de inkoopkosten voor warmte, per kWh output</v>
      </c>
      <c r="F47" s="265"/>
      <c r="G47" s="265"/>
      <c r="H47" s="265"/>
      <c r="I47" s="265"/>
      <c r="J47" s="265"/>
      <c r="K47" s="265"/>
      <c r="L47" s="265"/>
      <c r="M47" s="266"/>
    </row>
    <row r="48" spans="2:13" ht="15" customHeight="1" x14ac:dyDescent="0.25">
      <c r="B48" s="50" t="s">
        <v>59</v>
      </c>
      <c r="C48" s="182">
        <v>0.01</v>
      </c>
      <c r="D48" s="53" t="str">
        <f>CONCATENATE("Euro/",$C$7)</f>
        <v>Euro/kWh</v>
      </c>
      <c r="E48" s="243" t="s">
        <v>275</v>
      </c>
      <c r="M48" s="245"/>
    </row>
    <row r="49" spans="2:13" ht="15" customHeight="1" x14ac:dyDescent="0.25">
      <c r="B49" s="51" t="s">
        <v>164</v>
      </c>
      <c r="C49" s="183">
        <f>SUM(C45:C48)</f>
        <v>0.01</v>
      </c>
      <c r="D49" s="61" t="str">
        <f>CONCATENATE("Euro/",$C$7)</f>
        <v>Euro/kWh</v>
      </c>
      <c r="E49" s="272"/>
      <c r="F49" s="269"/>
      <c r="G49" s="269"/>
      <c r="H49" s="269"/>
      <c r="I49" s="269"/>
      <c r="J49" s="269"/>
      <c r="K49" s="269"/>
      <c r="L49" s="269"/>
      <c r="M49" s="270"/>
    </row>
    <row r="50" spans="2:13" x14ac:dyDescent="0.2">
      <c r="C50" s="26"/>
      <c r="E50" s="141"/>
      <c r="F50" s="141"/>
      <c r="G50" s="141"/>
      <c r="H50" s="141"/>
      <c r="I50" s="141"/>
      <c r="J50" s="141"/>
      <c r="K50" s="141"/>
      <c r="L50" s="141"/>
      <c r="M50" s="141"/>
    </row>
    <row r="51" spans="2:13" ht="15" customHeight="1" x14ac:dyDescent="0.25">
      <c r="B51" s="64" t="s">
        <v>60</v>
      </c>
      <c r="C51" s="57" t="s">
        <v>37</v>
      </c>
      <c r="D51" s="57" t="s">
        <v>114</v>
      </c>
      <c r="E51" s="262" t="s">
        <v>31</v>
      </c>
      <c r="F51" s="263"/>
      <c r="G51" s="263"/>
      <c r="H51" s="263"/>
      <c r="I51" s="263"/>
      <c r="J51" s="263"/>
      <c r="K51" s="263"/>
      <c r="L51" s="263"/>
      <c r="M51" s="255"/>
    </row>
    <row r="52" spans="2:13" ht="15" customHeight="1" x14ac:dyDescent="0.25">
      <c r="B52" s="50" t="s">
        <v>61</v>
      </c>
      <c r="C52" s="81"/>
      <c r="D52" s="53" t="s">
        <v>165</v>
      </c>
      <c r="E52" s="264"/>
      <c r="F52" s="265"/>
      <c r="G52" s="265"/>
      <c r="H52" s="265"/>
      <c r="I52" s="265"/>
      <c r="J52" s="265"/>
      <c r="K52" s="265"/>
      <c r="L52" s="265"/>
      <c r="M52" s="266"/>
    </row>
    <row r="53" spans="2:13" ht="15" customHeight="1" x14ac:dyDescent="0.25">
      <c r="B53" s="50" t="s">
        <v>62</v>
      </c>
      <c r="C53" s="179">
        <f>IF(C52=0,,C21*MAX(C29,C30)*C175/C52/1000)</f>
        <v>0</v>
      </c>
      <c r="D53" s="53" t="s">
        <v>166</v>
      </c>
      <c r="E53" s="273"/>
      <c r="F53" s="265"/>
      <c r="G53" s="265"/>
      <c r="H53" s="265"/>
      <c r="I53" s="265"/>
      <c r="J53" s="265"/>
      <c r="K53" s="265"/>
      <c r="L53" s="265"/>
      <c r="M53" s="266"/>
    </row>
    <row r="54" spans="2:13" ht="15" customHeight="1" x14ac:dyDescent="0.25">
      <c r="B54" s="50" t="s">
        <v>63</v>
      </c>
      <c r="C54" s="87"/>
      <c r="D54" s="53" t="s">
        <v>167</v>
      </c>
      <c r="E54" s="264" t="s">
        <v>168</v>
      </c>
      <c r="F54" s="265"/>
      <c r="G54" s="265"/>
      <c r="H54" s="265"/>
      <c r="I54" s="265"/>
      <c r="J54" s="265"/>
      <c r="K54" s="265"/>
      <c r="L54" s="265"/>
      <c r="M54" s="266"/>
    </row>
    <row r="55" spans="2:13" ht="15" customHeight="1" x14ac:dyDescent="0.25">
      <c r="B55" s="50" t="s">
        <v>64</v>
      </c>
      <c r="C55" s="87"/>
      <c r="D55" s="53" t="str">
        <f>CONCATENATE("kWh/",$C$7)</f>
        <v>kWh/kWh</v>
      </c>
      <c r="E55" s="264"/>
      <c r="F55" s="265"/>
      <c r="G55" s="265"/>
      <c r="H55" s="265"/>
      <c r="I55" s="265"/>
      <c r="J55" s="265"/>
      <c r="K55" s="265"/>
      <c r="L55" s="265"/>
      <c r="M55" s="266"/>
    </row>
    <row r="56" spans="2:13" ht="15" customHeight="1" x14ac:dyDescent="0.25">
      <c r="B56" s="50" t="s">
        <v>65</v>
      </c>
      <c r="C56" s="179">
        <f>IF(C55=0,,MAX(C26,C28)*MAX(C29,C30)*C55*10^(-3))</f>
        <v>0</v>
      </c>
      <c r="D56" s="53" t="s">
        <v>169</v>
      </c>
      <c r="E56" s="264"/>
      <c r="F56" s="265"/>
      <c r="G56" s="265"/>
      <c r="H56" s="265"/>
      <c r="I56" s="265"/>
      <c r="J56" s="265"/>
      <c r="K56" s="265"/>
      <c r="L56" s="265"/>
      <c r="M56" s="266"/>
    </row>
    <row r="57" spans="2:13" ht="15" customHeight="1" x14ac:dyDescent="0.25">
      <c r="B57" s="50" t="s">
        <v>66</v>
      </c>
      <c r="C57" s="87"/>
      <c r="D57" s="53" t="str">
        <f>CONCATENATE("kWh/",$C$7)</f>
        <v>kWh/kWh</v>
      </c>
      <c r="E57" s="264"/>
      <c r="F57" s="265"/>
      <c r="G57" s="265"/>
      <c r="H57" s="265"/>
      <c r="I57" s="265"/>
      <c r="J57" s="265"/>
      <c r="K57" s="265"/>
      <c r="L57" s="265"/>
      <c r="M57" s="266"/>
    </row>
    <row r="58" spans="2:13" ht="15" customHeight="1" x14ac:dyDescent="0.25">
      <c r="B58" s="50" t="s">
        <v>67</v>
      </c>
      <c r="C58" s="179">
        <f>IF(C57=0,,MAX($C$26,$C$28)*MAX($C$29,$C$30)*C57/1000)</f>
        <v>0</v>
      </c>
      <c r="D58" s="53" t="s">
        <v>169</v>
      </c>
      <c r="E58" s="264"/>
      <c r="F58" s="265"/>
      <c r="G58" s="265"/>
      <c r="H58" s="265"/>
      <c r="I58" s="265"/>
      <c r="J58" s="265"/>
      <c r="K58" s="265"/>
      <c r="L58" s="265"/>
      <c r="M58" s="266"/>
    </row>
    <row r="59" spans="2:13" ht="15" customHeight="1" x14ac:dyDescent="0.25">
      <c r="B59" s="50" t="s">
        <v>68</v>
      </c>
      <c r="C59" s="87"/>
      <c r="D59" s="53" t="str">
        <f>CONCATENATE("kWh/",$C$7)</f>
        <v>kWh/kWh</v>
      </c>
      <c r="E59" s="264"/>
      <c r="F59" s="265"/>
      <c r="G59" s="265"/>
      <c r="H59" s="265"/>
      <c r="I59" s="265"/>
      <c r="J59" s="265"/>
      <c r="K59" s="265"/>
      <c r="L59" s="265"/>
      <c r="M59" s="266"/>
    </row>
    <row r="60" spans="2:13" ht="15" customHeight="1" x14ac:dyDescent="0.25">
      <c r="B60" s="51" t="s">
        <v>69</v>
      </c>
      <c r="C60" s="184">
        <f>IF(C59=0,,MAX($C$26,$C$28)*MAX($C$29,$C$30)*C59/1000)</f>
        <v>0</v>
      </c>
      <c r="D60" s="61" t="s">
        <v>169</v>
      </c>
      <c r="E60" s="268"/>
      <c r="F60" s="269"/>
      <c r="G60" s="269"/>
      <c r="H60" s="269"/>
      <c r="I60" s="269"/>
      <c r="J60" s="269"/>
      <c r="K60" s="269"/>
      <c r="L60" s="269"/>
      <c r="M60" s="270"/>
    </row>
    <row r="61" spans="2:13" x14ac:dyDescent="0.2">
      <c r="C61" s="26"/>
      <c r="E61" s="141"/>
      <c r="F61" s="141"/>
      <c r="G61" s="141"/>
      <c r="H61" s="141"/>
      <c r="I61" s="141"/>
      <c r="J61" s="141"/>
      <c r="K61" s="141"/>
      <c r="L61" s="141"/>
      <c r="M61" s="141"/>
    </row>
    <row r="62" spans="2:13" ht="15" customHeight="1" x14ac:dyDescent="0.25">
      <c r="B62" s="64" t="s">
        <v>70</v>
      </c>
      <c r="C62" s="57" t="s">
        <v>37</v>
      </c>
      <c r="D62" s="57" t="s">
        <v>114</v>
      </c>
      <c r="E62" s="262" t="s">
        <v>31</v>
      </c>
      <c r="F62" s="263"/>
      <c r="G62" s="263"/>
      <c r="H62" s="263"/>
      <c r="I62" s="263"/>
      <c r="J62" s="263"/>
      <c r="K62" s="263"/>
      <c r="L62" s="263"/>
      <c r="M62" s="255"/>
    </row>
    <row r="63" spans="2:13" ht="15" customHeight="1" x14ac:dyDescent="0.25">
      <c r="B63" s="50" t="s">
        <v>71</v>
      </c>
      <c r="C63" s="94"/>
      <c r="D63" s="53" t="str">
        <f>IF(AND(C26&gt;0,C23=""),CONCATENATE("kg CO2/",$C$7),"kg CO2/kWh")</f>
        <v>kg CO2/kWh</v>
      </c>
      <c r="E63" s="264"/>
      <c r="F63" s="265"/>
      <c r="G63" s="265"/>
      <c r="H63" s="265"/>
      <c r="I63" s="265"/>
      <c r="J63" s="265"/>
      <c r="K63" s="265"/>
      <c r="L63" s="265"/>
      <c r="M63" s="266"/>
    </row>
    <row r="64" spans="2:13" ht="15" customHeight="1" x14ac:dyDescent="0.25">
      <c r="B64" s="50" t="s">
        <v>72</v>
      </c>
      <c r="C64" s="94">
        <v>8.7999999999999995E-2</v>
      </c>
      <c r="D64" s="53" t="str">
        <f>IF(C28&gt;0,CONCATENATE("kg CO2/",$C$7),"kg CO2/kWh")</f>
        <v>kg CO2/kWh</v>
      </c>
      <c r="E64" s="264"/>
      <c r="F64" s="265"/>
      <c r="G64" s="265"/>
      <c r="H64" s="265"/>
      <c r="I64" s="265"/>
      <c r="J64" s="265"/>
      <c r="K64" s="265"/>
      <c r="L64" s="265"/>
      <c r="M64" s="266"/>
    </row>
    <row r="65" spans="2:13" ht="15" customHeight="1" x14ac:dyDescent="0.25">
      <c r="B65" s="50" t="s">
        <v>73</v>
      </c>
      <c r="C65" s="94"/>
      <c r="D65" s="53" t="str">
        <f>IF(C23="Ja",CONCATENATE("kg CO2/",$C$7),"kg CO2/kWh")</f>
        <v>kg CO2/kWh</v>
      </c>
      <c r="E65" s="264"/>
      <c r="F65" s="265"/>
      <c r="G65" s="265"/>
      <c r="H65" s="265"/>
      <c r="I65" s="265"/>
      <c r="J65" s="265"/>
      <c r="K65" s="265"/>
      <c r="L65" s="265"/>
      <c r="M65" s="266"/>
    </row>
    <row r="66" spans="2:13" ht="15" customHeight="1" x14ac:dyDescent="0.25">
      <c r="B66" s="50" t="s">
        <v>74</v>
      </c>
      <c r="C66" s="87"/>
      <c r="D66" s="53" t="s">
        <v>170</v>
      </c>
      <c r="E66" s="264" t="s">
        <v>171</v>
      </c>
      <c r="F66" s="265"/>
      <c r="G66" s="265"/>
      <c r="H66" s="265"/>
      <c r="I66" s="265"/>
      <c r="J66" s="265"/>
      <c r="K66" s="265"/>
      <c r="L66" s="265"/>
      <c r="M66" s="266"/>
    </row>
    <row r="67" spans="2:13" ht="15" customHeight="1" x14ac:dyDescent="0.25">
      <c r="B67" s="50" t="s">
        <v>75</v>
      </c>
      <c r="C67" s="185"/>
      <c r="D67" s="53" t="s">
        <v>172</v>
      </c>
      <c r="E67" s="264"/>
      <c r="F67" s="265"/>
      <c r="G67" s="265"/>
      <c r="H67" s="265"/>
      <c r="I67" s="265"/>
      <c r="J67" s="265"/>
      <c r="K67" s="265"/>
      <c r="L67" s="265"/>
      <c r="M67" s="266"/>
    </row>
    <row r="68" spans="2:13" ht="15" customHeight="1" x14ac:dyDescent="0.25">
      <c r="B68" s="50" t="s">
        <v>76</v>
      </c>
      <c r="C68" s="185"/>
      <c r="D68" s="53" t="s">
        <v>172</v>
      </c>
      <c r="E68" s="264"/>
      <c r="F68" s="265"/>
      <c r="G68" s="265"/>
      <c r="H68" s="265"/>
      <c r="I68" s="265"/>
      <c r="J68" s="265"/>
      <c r="K68" s="265"/>
      <c r="L68" s="265"/>
      <c r="M68" s="266"/>
    </row>
    <row r="69" spans="2:13" ht="15" customHeight="1" x14ac:dyDescent="0.25">
      <c r="B69" s="50" t="s">
        <v>77</v>
      </c>
      <c r="C69" s="185"/>
      <c r="D69" s="53" t="s">
        <v>172</v>
      </c>
      <c r="E69" s="264"/>
      <c r="F69" s="265"/>
      <c r="G69" s="265"/>
      <c r="H69" s="265"/>
      <c r="I69" s="265"/>
      <c r="J69" s="265"/>
      <c r="K69" s="265"/>
      <c r="L69" s="265"/>
      <c r="M69" s="266"/>
    </row>
    <row r="70" spans="2:13" ht="15" customHeight="1" x14ac:dyDescent="0.25">
      <c r="B70" s="65" t="s">
        <v>173</v>
      </c>
      <c r="C70" s="75">
        <f>ROUND((IF($C$23="Ja",$C$65,($C$64*IF($C$17&gt;0,1/$C$17,1)*$C$28*$C$30+$C$63*$C$26*$C$29)/($C$28*$C$30+$C$26*$C$29))-$C$55*$C$68-$C$57*$C$67-$C$69*$C$59+(-$C$53*$C$66)/(($C$28*$C$30)+($C$26*$C$29)))*C86,4)</f>
        <v>0.2104</v>
      </c>
      <c r="D70" s="61" t="str">
        <f>CONCATENATE("kg CO2/",$C$7)</f>
        <v>kg CO2/kWh</v>
      </c>
      <c r="E70" s="268"/>
      <c r="F70" s="269"/>
      <c r="G70" s="269"/>
      <c r="H70" s="269"/>
      <c r="I70" s="269"/>
      <c r="J70" s="269"/>
      <c r="K70" s="269"/>
      <c r="L70" s="269"/>
      <c r="M70" s="270"/>
    </row>
    <row r="71" spans="2:13" x14ac:dyDescent="0.2">
      <c r="C71" s="26"/>
      <c r="E71" s="141"/>
      <c r="F71" s="141"/>
      <c r="G71" s="141"/>
      <c r="H71" s="141"/>
      <c r="I71" s="141"/>
      <c r="J71" s="141"/>
      <c r="K71" s="141"/>
      <c r="L71" s="141"/>
      <c r="M71" s="141"/>
    </row>
    <row r="72" spans="2:13" ht="15" customHeight="1" x14ac:dyDescent="0.25">
      <c r="B72" s="64" t="s">
        <v>78</v>
      </c>
      <c r="C72" s="57" t="s">
        <v>37</v>
      </c>
      <c r="D72" s="57" t="s">
        <v>114</v>
      </c>
      <c r="E72" s="262" t="s">
        <v>31</v>
      </c>
      <c r="F72" s="263"/>
      <c r="G72" s="263"/>
      <c r="H72" s="263"/>
      <c r="I72" s="263"/>
      <c r="J72" s="263"/>
      <c r="K72" s="263"/>
      <c r="L72" s="263"/>
      <c r="M72" s="255"/>
    </row>
    <row r="73" spans="2:13" ht="15" customHeight="1" x14ac:dyDescent="0.25">
      <c r="B73" s="50" t="s">
        <v>79</v>
      </c>
      <c r="C73" s="88">
        <v>35</v>
      </c>
      <c r="D73" s="53" t="s">
        <v>174</v>
      </c>
      <c r="E73" s="264" t="s">
        <v>175</v>
      </c>
      <c r="F73" s="265"/>
      <c r="G73" s="265"/>
      <c r="H73" s="265"/>
      <c r="I73" s="265"/>
      <c r="J73" s="265"/>
      <c r="K73" s="265"/>
      <c r="L73" s="265"/>
      <c r="M73" s="266"/>
    </row>
    <row r="74" spans="2:13" ht="15" customHeight="1" x14ac:dyDescent="0.25">
      <c r="B74" s="66" t="s">
        <v>80</v>
      </c>
      <c r="C74" s="95">
        <v>15</v>
      </c>
      <c r="D74" s="53" t="s">
        <v>174</v>
      </c>
      <c r="E74" s="264"/>
      <c r="F74" s="265"/>
      <c r="G74" s="265"/>
      <c r="H74" s="265"/>
      <c r="I74" s="265"/>
      <c r="J74" s="265"/>
      <c r="K74" s="265"/>
      <c r="L74" s="265"/>
      <c r="M74" s="266"/>
    </row>
    <row r="75" spans="2:13" ht="15" customHeight="1" x14ac:dyDescent="0.25">
      <c r="B75" s="66" t="s">
        <v>81</v>
      </c>
      <c r="C75" s="95">
        <v>20</v>
      </c>
      <c r="D75" s="53" t="s">
        <v>174</v>
      </c>
      <c r="E75" s="264"/>
      <c r="F75" s="265"/>
      <c r="G75" s="265"/>
      <c r="H75" s="265"/>
      <c r="I75" s="265"/>
      <c r="J75" s="265"/>
      <c r="K75" s="265"/>
      <c r="L75" s="265"/>
      <c r="M75" s="266"/>
    </row>
    <row r="76" spans="2:13" ht="15" customHeight="1" x14ac:dyDescent="0.25">
      <c r="B76" s="66" t="s">
        <v>82</v>
      </c>
      <c r="C76" s="95">
        <v>15</v>
      </c>
      <c r="D76" s="53" t="s">
        <v>174</v>
      </c>
      <c r="E76" s="264"/>
      <c r="F76" s="265"/>
      <c r="G76" s="265"/>
      <c r="H76" s="265"/>
      <c r="I76" s="265"/>
      <c r="J76" s="265"/>
      <c r="K76" s="265"/>
      <c r="L76" s="265"/>
      <c r="M76" s="266"/>
    </row>
    <row r="77" spans="2:13" ht="15" customHeight="1" x14ac:dyDescent="0.25">
      <c r="B77" s="51" t="s">
        <v>176</v>
      </c>
      <c r="C77" s="85"/>
      <c r="D77" s="61" t="s">
        <v>174</v>
      </c>
      <c r="E77" s="268" t="s">
        <v>177</v>
      </c>
      <c r="F77" s="269"/>
      <c r="G77" s="269"/>
      <c r="H77" s="269"/>
      <c r="I77" s="269"/>
      <c r="J77" s="269"/>
      <c r="K77" s="269"/>
      <c r="L77" s="269"/>
      <c r="M77" s="270"/>
    </row>
    <row r="78" spans="2:13" x14ac:dyDescent="0.2">
      <c r="C78" s="26"/>
      <c r="E78" s="141"/>
      <c r="F78" s="141"/>
      <c r="G78" s="141"/>
      <c r="H78" s="141"/>
      <c r="I78" s="141"/>
      <c r="J78" s="141"/>
      <c r="K78" s="141"/>
      <c r="L78" s="141"/>
      <c r="M78" s="141"/>
    </row>
    <row r="79" spans="2:13" ht="15" customHeight="1" x14ac:dyDescent="0.25">
      <c r="B79" s="64" t="s">
        <v>83</v>
      </c>
      <c r="C79" s="57" t="s">
        <v>37</v>
      </c>
      <c r="D79" s="57" t="s">
        <v>114</v>
      </c>
      <c r="E79" s="262" t="s">
        <v>31</v>
      </c>
      <c r="F79" s="263"/>
      <c r="G79" s="263"/>
      <c r="H79" s="263"/>
      <c r="I79" s="263"/>
      <c r="J79" s="263"/>
      <c r="K79" s="263"/>
      <c r="L79" s="263"/>
      <c r="M79" s="255"/>
    </row>
    <row r="80" spans="2:13" ht="15" customHeight="1" x14ac:dyDescent="0.25">
      <c r="B80" s="50" t="s">
        <v>84</v>
      </c>
      <c r="C80" s="249">
        <f>C164</f>
        <v>5.6540737536000002E-2</v>
      </c>
      <c r="D80" s="53" t="s">
        <v>178</v>
      </c>
      <c r="E80" s="264" t="s">
        <v>251</v>
      </c>
      <c r="F80" s="265"/>
      <c r="G80" s="265"/>
      <c r="H80" s="265"/>
      <c r="I80" s="265"/>
      <c r="J80" s="265"/>
      <c r="K80" s="265"/>
      <c r="L80" s="265"/>
      <c r="M80" s="266"/>
    </row>
    <row r="81" spans="2:13" ht="15" customHeight="1" x14ac:dyDescent="0.25">
      <c r="B81" s="50" t="s">
        <v>85</v>
      </c>
      <c r="C81" s="88">
        <v>3863.16</v>
      </c>
      <c r="D81" s="53" t="s">
        <v>147</v>
      </c>
      <c r="E81" s="264"/>
      <c r="F81" s="265"/>
      <c r="G81" s="265"/>
      <c r="H81" s="265"/>
      <c r="I81" s="265"/>
      <c r="J81" s="265"/>
      <c r="K81" s="265"/>
      <c r="L81" s="265"/>
      <c r="M81" s="266"/>
    </row>
    <row r="82" spans="2:13" ht="15" customHeight="1" x14ac:dyDescent="0.25">
      <c r="B82" s="50" t="s">
        <v>86</v>
      </c>
      <c r="C82" s="27"/>
      <c r="D82" s="53" t="s">
        <v>178</v>
      </c>
      <c r="E82" s="264"/>
      <c r="F82" s="265"/>
      <c r="G82" s="265"/>
      <c r="H82" s="265"/>
      <c r="I82" s="265"/>
      <c r="J82" s="265"/>
      <c r="K82" s="265"/>
      <c r="L82" s="265"/>
      <c r="M82" s="266"/>
    </row>
    <row r="83" spans="2:13" ht="15" customHeight="1" x14ac:dyDescent="0.25">
      <c r="B83" s="50" t="s">
        <v>87</v>
      </c>
      <c r="C83" s="87"/>
      <c r="D83" s="53" t="s">
        <v>147</v>
      </c>
      <c r="E83" s="264"/>
      <c r="F83" s="265"/>
      <c r="G83" s="265"/>
      <c r="H83" s="265"/>
      <c r="I83" s="265"/>
      <c r="J83" s="265"/>
      <c r="K83" s="265"/>
      <c r="L83" s="265"/>
      <c r="M83" s="266"/>
    </row>
    <row r="84" spans="2:13" ht="15" customHeight="1" x14ac:dyDescent="0.25">
      <c r="B84" s="50" t="s">
        <v>179</v>
      </c>
      <c r="C84" s="76">
        <f>SUM(E117:INDEX(E117:AR117,1,C76))</f>
        <v>55547400000</v>
      </c>
      <c r="D84" s="52" t="str">
        <f>C7</f>
        <v>kWh</v>
      </c>
      <c r="E84" s="264"/>
      <c r="F84" s="265"/>
      <c r="G84" s="265"/>
      <c r="H84" s="265"/>
      <c r="I84" s="265"/>
      <c r="J84" s="265"/>
      <c r="K84" s="265"/>
      <c r="L84" s="265"/>
      <c r="M84" s="266"/>
    </row>
    <row r="85" spans="2:13" ht="15" customHeight="1" x14ac:dyDescent="0.25">
      <c r="B85" s="67" t="s">
        <v>180</v>
      </c>
      <c r="C85" s="76">
        <f>IF(C77=0,SUM(E117:INDEX(E117:AR117,1,C73)),SUM(E117:INDEX(E117:AR117,1,C77)))</f>
        <v>132810600000</v>
      </c>
      <c r="D85" s="52" t="str">
        <f>C7</f>
        <v>kWh</v>
      </c>
      <c r="E85" s="264"/>
      <c r="F85" s="265"/>
      <c r="G85" s="265"/>
      <c r="H85" s="265"/>
      <c r="I85" s="265"/>
      <c r="J85" s="265"/>
      <c r="K85" s="265"/>
      <c r="L85" s="265"/>
      <c r="M85" s="266"/>
    </row>
    <row r="86" spans="2:13" ht="15" customHeight="1" x14ac:dyDescent="0.25">
      <c r="B86" s="68" t="s">
        <v>181</v>
      </c>
      <c r="C86" s="186">
        <f>C85/C84</f>
        <v>2.3909417902548094</v>
      </c>
      <c r="D86" s="61"/>
      <c r="E86" s="268"/>
      <c r="F86" s="269"/>
      <c r="G86" s="269"/>
      <c r="H86" s="269"/>
      <c r="I86" s="269"/>
      <c r="J86" s="269"/>
      <c r="K86" s="269"/>
      <c r="L86" s="269"/>
      <c r="M86" s="270"/>
    </row>
    <row r="87" spans="2:13" x14ac:dyDescent="0.2">
      <c r="C87" s="26"/>
      <c r="E87" s="141"/>
      <c r="F87" s="141"/>
      <c r="G87" s="141"/>
      <c r="H87" s="141"/>
      <c r="I87" s="141"/>
      <c r="J87" s="141"/>
      <c r="K87" s="141"/>
      <c r="L87" s="141"/>
      <c r="M87" s="141"/>
    </row>
    <row r="88" spans="2:13" ht="15" customHeight="1" x14ac:dyDescent="0.25">
      <c r="B88" s="64" t="s">
        <v>182</v>
      </c>
      <c r="C88" s="57" t="s">
        <v>37</v>
      </c>
      <c r="D88" s="57" t="s">
        <v>114</v>
      </c>
      <c r="E88" s="262" t="s">
        <v>31</v>
      </c>
      <c r="F88" s="263"/>
      <c r="G88" s="263"/>
      <c r="H88" s="263"/>
      <c r="I88" s="263"/>
      <c r="J88" s="263"/>
      <c r="K88" s="263"/>
      <c r="L88" s="263"/>
      <c r="M88" s="255"/>
    </row>
    <row r="89" spans="2:13" ht="15" customHeight="1" x14ac:dyDescent="0.25">
      <c r="B89" s="50" t="s">
        <v>88</v>
      </c>
      <c r="C89" s="187">
        <v>0.02</v>
      </c>
      <c r="D89" s="53"/>
      <c r="E89" s="264"/>
      <c r="F89" s="265"/>
      <c r="G89" s="265"/>
      <c r="H89" s="265"/>
      <c r="I89" s="265"/>
      <c r="J89" s="265"/>
      <c r="K89" s="265"/>
      <c r="L89" s="265"/>
      <c r="M89" s="266"/>
    </row>
    <row r="90" spans="2:13" ht="15" customHeight="1" x14ac:dyDescent="0.25">
      <c r="B90" s="50" t="s">
        <v>89</v>
      </c>
      <c r="C90" s="188">
        <v>4.4999999999999998E-2</v>
      </c>
      <c r="D90" s="53"/>
      <c r="E90" s="264"/>
      <c r="F90" s="265"/>
      <c r="G90" s="265"/>
      <c r="H90" s="265"/>
      <c r="I90" s="265"/>
      <c r="J90" s="265"/>
      <c r="K90" s="265"/>
      <c r="L90" s="265"/>
      <c r="M90" s="266"/>
    </row>
    <row r="91" spans="2:13" ht="15" customHeight="1" x14ac:dyDescent="0.25">
      <c r="B91" s="50" t="s">
        <v>90</v>
      </c>
      <c r="C91" s="188">
        <v>0.1</v>
      </c>
      <c r="D91" s="53"/>
      <c r="E91" s="264"/>
      <c r="F91" s="265"/>
      <c r="G91" s="265"/>
      <c r="H91" s="265"/>
      <c r="I91" s="265"/>
      <c r="J91" s="265"/>
      <c r="K91" s="265"/>
      <c r="L91" s="265"/>
      <c r="M91" s="266"/>
    </row>
    <row r="92" spans="2:13" ht="15" customHeight="1" x14ac:dyDescent="0.25">
      <c r="B92" s="66" t="s">
        <v>91</v>
      </c>
      <c r="C92" s="73">
        <v>0.75</v>
      </c>
      <c r="D92" s="53"/>
      <c r="E92" s="264"/>
      <c r="F92" s="265"/>
      <c r="G92" s="265"/>
      <c r="H92" s="265"/>
      <c r="I92" s="265"/>
      <c r="J92" s="265"/>
      <c r="K92" s="265"/>
      <c r="L92" s="265"/>
      <c r="M92" s="266"/>
    </row>
    <row r="93" spans="2:13" ht="15" customHeight="1" x14ac:dyDescent="0.25">
      <c r="B93" s="50" t="s">
        <v>92</v>
      </c>
      <c r="C93" s="28">
        <v>0.25</v>
      </c>
      <c r="D93" s="53"/>
      <c r="E93" s="264"/>
      <c r="F93" s="265"/>
      <c r="G93" s="265"/>
      <c r="H93" s="265"/>
      <c r="I93" s="265"/>
      <c r="J93" s="265"/>
      <c r="K93" s="265"/>
      <c r="L93" s="265"/>
      <c r="M93" s="266"/>
    </row>
    <row r="94" spans="2:13" ht="15" customHeight="1" x14ac:dyDescent="0.25">
      <c r="B94" s="68" t="s">
        <v>93</v>
      </c>
      <c r="C94" s="189">
        <v>0.25800000000000001</v>
      </c>
      <c r="D94" s="61"/>
      <c r="E94" s="268"/>
      <c r="F94" s="269"/>
      <c r="G94" s="269"/>
      <c r="H94" s="269"/>
      <c r="I94" s="269"/>
      <c r="J94" s="269"/>
      <c r="K94" s="269"/>
      <c r="L94" s="269"/>
      <c r="M94" s="270"/>
    </row>
    <row r="95" spans="2:13" x14ac:dyDescent="0.2">
      <c r="C95" s="26"/>
      <c r="E95" s="141"/>
      <c r="F95" s="141"/>
      <c r="G95" s="141"/>
      <c r="H95" s="141"/>
      <c r="I95" s="141"/>
      <c r="J95" s="141"/>
      <c r="K95" s="141"/>
      <c r="L95" s="141"/>
      <c r="M95" s="141"/>
    </row>
    <row r="96" spans="2:13" ht="15" customHeight="1" x14ac:dyDescent="0.25">
      <c r="B96" s="64" t="s">
        <v>94</v>
      </c>
      <c r="C96" s="57" t="s">
        <v>37</v>
      </c>
      <c r="D96" s="57" t="s">
        <v>114</v>
      </c>
      <c r="E96" s="262" t="s">
        <v>31</v>
      </c>
      <c r="F96" s="263"/>
      <c r="G96" s="263"/>
      <c r="H96" s="263"/>
      <c r="I96" s="263"/>
      <c r="J96" s="263"/>
      <c r="K96" s="263"/>
      <c r="L96" s="263"/>
      <c r="M96" s="255"/>
    </row>
    <row r="97" spans="1:44" ht="15" customHeight="1" x14ac:dyDescent="0.25">
      <c r="B97" s="50" t="s">
        <v>95</v>
      </c>
      <c r="C97" s="29"/>
      <c r="D97" s="53" t="s">
        <v>183</v>
      </c>
      <c r="E97" s="264"/>
      <c r="F97" s="265"/>
      <c r="G97" s="265"/>
      <c r="H97" s="265"/>
      <c r="I97" s="265"/>
      <c r="J97" s="265"/>
      <c r="K97" s="265"/>
      <c r="L97" s="265"/>
      <c r="M97" s="266"/>
    </row>
    <row r="98" spans="1:44" ht="15" customHeight="1" x14ac:dyDescent="0.25">
      <c r="B98" s="51" t="s">
        <v>96</v>
      </c>
      <c r="C98" s="30"/>
      <c r="D98" s="61" t="s">
        <v>183</v>
      </c>
      <c r="E98" s="268"/>
      <c r="F98" s="269"/>
      <c r="G98" s="269"/>
      <c r="H98" s="269"/>
      <c r="I98" s="269"/>
      <c r="J98" s="269"/>
      <c r="K98" s="269"/>
      <c r="L98" s="269"/>
      <c r="M98" s="270"/>
    </row>
    <row r="99" spans="1:44" x14ac:dyDescent="0.2">
      <c r="C99" s="26"/>
      <c r="E99" s="141"/>
      <c r="F99" s="141"/>
      <c r="G99" s="141"/>
      <c r="H99" s="141"/>
      <c r="I99" s="141"/>
      <c r="J99" s="141"/>
      <c r="K99" s="141"/>
      <c r="L99" s="141"/>
      <c r="M99" s="141"/>
    </row>
    <row r="100" spans="1:44" ht="15" customHeight="1" x14ac:dyDescent="0.25">
      <c r="B100" s="56" t="s">
        <v>97</v>
      </c>
      <c r="C100" s="57" t="s">
        <v>15</v>
      </c>
      <c r="D100" s="57" t="s">
        <v>37</v>
      </c>
      <c r="E100" s="262" t="s">
        <v>31</v>
      </c>
      <c r="F100" s="263"/>
      <c r="G100" s="263"/>
      <c r="H100" s="263"/>
      <c r="I100" s="263"/>
      <c r="J100" s="263"/>
      <c r="K100" s="263"/>
      <c r="L100" s="263"/>
      <c r="M100" s="255"/>
    </row>
    <row r="101" spans="1:44" ht="15" customHeight="1" x14ac:dyDescent="0.25">
      <c r="B101" s="66"/>
      <c r="C101" s="89">
        <v>16</v>
      </c>
      <c r="D101" s="90">
        <f>-283000000/2</f>
        <v>-141500000</v>
      </c>
      <c r="E101" s="264" t="s">
        <v>184</v>
      </c>
      <c r="F101" s="265"/>
      <c r="G101" s="265"/>
      <c r="H101" s="265"/>
      <c r="I101" s="265"/>
      <c r="J101" s="265"/>
      <c r="K101" s="265"/>
      <c r="L101" s="265"/>
      <c r="M101" s="266"/>
    </row>
    <row r="102" spans="1:44" ht="15" customHeight="1" x14ac:dyDescent="0.25">
      <c r="B102" s="69"/>
      <c r="C102" s="91"/>
      <c r="D102" s="92"/>
      <c r="E102" s="268" t="str">
        <f>"De waarde als reële kosten is gedefinieerd in euro van het jaar "&amp;E105&amp;"."</f>
        <v>De waarde als reële kosten is gedefinieerd in euro van het jaar 2026.</v>
      </c>
      <c r="F102" s="269"/>
      <c r="G102" s="269"/>
      <c r="H102" s="269"/>
      <c r="I102" s="269"/>
      <c r="J102" s="269"/>
      <c r="K102" s="269"/>
      <c r="L102" s="269"/>
      <c r="M102" s="270"/>
    </row>
    <row r="103" spans="1:44" ht="15" customHeight="1" x14ac:dyDescent="0.25">
      <c r="B103" s="51" t="s">
        <v>98</v>
      </c>
      <c r="C103" s="31">
        <v>0</v>
      </c>
      <c r="D103" s="164">
        <v>0.01</v>
      </c>
      <c r="E103" s="268" t="s">
        <v>185</v>
      </c>
      <c r="F103" s="269"/>
      <c r="G103" s="269"/>
      <c r="H103" s="269"/>
      <c r="I103" s="269"/>
      <c r="J103" s="269"/>
      <c r="K103" s="269"/>
      <c r="L103" s="269"/>
      <c r="M103" s="270"/>
    </row>
    <row r="104" spans="1:44" x14ac:dyDescent="0.2">
      <c r="E104" s="190"/>
    </row>
    <row r="105" spans="1:44" s="32" customFormat="1" x14ac:dyDescent="0.2">
      <c r="A105" s="244"/>
      <c r="B105" s="56" t="s">
        <v>186</v>
      </c>
      <c r="C105" s="57"/>
      <c r="D105" s="57" t="s">
        <v>114</v>
      </c>
      <c r="E105" s="57">
        <f>Colofon!C29</f>
        <v>2026</v>
      </c>
      <c r="F105" s="57">
        <f t="shared" ref="F105:AR105" si="0">E105+1</f>
        <v>2027</v>
      </c>
      <c r="G105" s="57">
        <f t="shared" si="0"/>
        <v>2028</v>
      </c>
      <c r="H105" s="57">
        <f t="shared" si="0"/>
        <v>2029</v>
      </c>
      <c r="I105" s="57">
        <f t="shared" si="0"/>
        <v>2030</v>
      </c>
      <c r="J105" s="57">
        <f t="shared" si="0"/>
        <v>2031</v>
      </c>
      <c r="K105" s="57">
        <f t="shared" si="0"/>
        <v>2032</v>
      </c>
      <c r="L105" s="57">
        <f t="shared" si="0"/>
        <v>2033</v>
      </c>
      <c r="M105" s="57">
        <f t="shared" si="0"/>
        <v>2034</v>
      </c>
      <c r="N105" s="57">
        <f t="shared" si="0"/>
        <v>2035</v>
      </c>
      <c r="O105" s="57">
        <f t="shared" si="0"/>
        <v>2036</v>
      </c>
      <c r="P105" s="57">
        <f t="shared" si="0"/>
        <v>2037</v>
      </c>
      <c r="Q105" s="57">
        <f t="shared" si="0"/>
        <v>2038</v>
      </c>
      <c r="R105" s="57">
        <f t="shared" si="0"/>
        <v>2039</v>
      </c>
      <c r="S105" s="57">
        <f t="shared" si="0"/>
        <v>2040</v>
      </c>
      <c r="T105" s="57">
        <f t="shared" si="0"/>
        <v>2041</v>
      </c>
      <c r="U105" s="57">
        <f t="shared" si="0"/>
        <v>2042</v>
      </c>
      <c r="V105" s="57">
        <f t="shared" si="0"/>
        <v>2043</v>
      </c>
      <c r="W105" s="57">
        <f t="shared" si="0"/>
        <v>2044</v>
      </c>
      <c r="X105" s="57">
        <f t="shared" si="0"/>
        <v>2045</v>
      </c>
      <c r="Y105" s="57">
        <f t="shared" si="0"/>
        <v>2046</v>
      </c>
      <c r="Z105" s="57">
        <f t="shared" si="0"/>
        <v>2047</v>
      </c>
      <c r="AA105" s="57">
        <f t="shared" si="0"/>
        <v>2048</v>
      </c>
      <c r="AB105" s="57">
        <f t="shared" si="0"/>
        <v>2049</v>
      </c>
      <c r="AC105" s="57">
        <f t="shared" si="0"/>
        <v>2050</v>
      </c>
      <c r="AD105" s="57">
        <f t="shared" si="0"/>
        <v>2051</v>
      </c>
      <c r="AE105" s="57">
        <f t="shared" si="0"/>
        <v>2052</v>
      </c>
      <c r="AF105" s="57">
        <f t="shared" si="0"/>
        <v>2053</v>
      </c>
      <c r="AG105" s="57">
        <f t="shared" si="0"/>
        <v>2054</v>
      </c>
      <c r="AH105" s="57">
        <f t="shared" si="0"/>
        <v>2055</v>
      </c>
      <c r="AI105" s="57">
        <f t="shared" si="0"/>
        <v>2056</v>
      </c>
      <c r="AJ105" s="57">
        <f t="shared" si="0"/>
        <v>2057</v>
      </c>
      <c r="AK105" s="57">
        <f t="shared" si="0"/>
        <v>2058</v>
      </c>
      <c r="AL105" s="57">
        <f t="shared" si="0"/>
        <v>2059</v>
      </c>
      <c r="AM105" s="57">
        <f t="shared" si="0"/>
        <v>2060</v>
      </c>
      <c r="AN105" s="57">
        <f t="shared" si="0"/>
        <v>2061</v>
      </c>
      <c r="AO105" s="57">
        <f t="shared" si="0"/>
        <v>2062</v>
      </c>
      <c r="AP105" s="57">
        <f t="shared" si="0"/>
        <v>2063</v>
      </c>
      <c r="AQ105" s="57">
        <f t="shared" si="0"/>
        <v>2064</v>
      </c>
      <c r="AR105" s="136">
        <f t="shared" si="0"/>
        <v>2065</v>
      </c>
    </row>
    <row r="106" spans="1:44" s="247" customFormat="1" ht="13.5" customHeight="1" x14ac:dyDescent="0.25">
      <c r="B106" s="274" t="s">
        <v>187</v>
      </c>
      <c r="C106" s="275"/>
      <c r="D106" s="191" t="str">
        <f>CONCATENATE("Euro/",$C$7)</f>
        <v>Euro/kWh</v>
      </c>
      <c r="E106" s="93"/>
      <c r="F106" s="192">
        <f t="shared" ref="F106:AR106" si="1">IF(F$111&lt;=$C76,$E$106,)</f>
        <v>0</v>
      </c>
      <c r="G106" s="192">
        <f t="shared" si="1"/>
        <v>0</v>
      </c>
      <c r="H106" s="192">
        <f t="shared" si="1"/>
        <v>0</v>
      </c>
      <c r="I106" s="192">
        <f t="shared" si="1"/>
        <v>0</v>
      </c>
      <c r="J106" s="192">
        <f t="shared" si="1"/>
        <v>0</v>
      </c>
      <c r="K106" s="192">
        <f t="shared" si="1"/>
        <v>0</v>
      </c>
      <c r="L106" s="192">
        <f t="shared" si="1"/>
        <v>0</v>
      </c>
      <c r="M106" s="192">
        <f t="shared" si="1"/>
        <v>0</v>
      </c>
      <c r="N106" s="192">
        <f t="shared" si="1"/>
        <v>0</v>
      </c>
      <c r="O106" s="192">
        <f t="shared" si="1"/>
        <v>0</v>
      </c>
      <c r="P106" s="192">
        <f t="shared" si="1"/>
        <v>0</v>
      </c>
      <c r="Q106" s="192">
        <f t="shared" si="1"/>
        <v>0</v>
      </c>
      <c r="R106" s="192">
        <f t="shared" si="1"/>
        <v>0</v>
      </c>
      <c r="S106" s="192">
        <f t="shared" si="1"/>
        <v>0</v>
      </c>
      <c r="T106" s="192">
        <f t="shared" si="1"/>
        <v>0</v>
      </c>
      <c r="U106" s="192">
        <f t="shared" si="1"/>
        <v>0</v>
      </c>
      <c r="V106" s="192">
        <f t="shared" si="1"/>
        <v>0</v>
      </c>
      <c r="W106" s="192">
        <f t="shared" si="1"/>
        <v>0</v>
      </c>
      <c r="X106" s="192">
        <f t="shared" si="1"/>
        <v>0</v>
      </c>
      <c r="Y106" s="192">
        <f t="shared" si="1"/>
        <v>0</v>
      </c>
      <c r="Z106" s="192">
        <f t="shared" si="1"/>
        <v>0</v>
      </c>
      <c r="AA106" s="192">
        <f t="shared" si="1"/>
        <v>0</v>
      </c>
      <c r="AB106" s="192">
        <f t="shared" si="1"/>
        <v>0</v>
      </c>
      <c r="AC106" s="192">
        <f t="shared" si="1"/>
        <v>0</v>
      </c>
      <c r="AD106" s="192">
        <f t="shared" si="1"/>
        <v>0</v>
      </c>
      <c r="AE106" s="192">
        <f t="shared" si="1"/>
        <v>0</v>
      </c>
      <c r="AF106" s="192">
        <f t="shared" si="1"/>
        <v>0</v>
      </c>
      <c r="AG106" s="192">
        <f t="shared" si="1"/>
        <v>0</v>
      </c>
      <c r="AH106" s="192">
        <f t="shared" si="1"/>
        <v>0</v>
      </c>
      <c r="AI106" s="192">
        <f t="shared" si="1"/>
        <v>0</v>
      </c>
      <c r="AJ106" s="192">
        <f t="shared" si="1"/>
        <v>0</v>
      </c>
      <c r="AK106" s="192">
        <f t="shared" si="1"/>
        <v>0</v>
      </c>
      <c r="AL106" s="192">
        <f t="shared" si="1"/>
        <v>0</v>
      </c>
      <c r="AM106" s="192">
        <f t="shared" si="1"/>
        <v>0</v>
      </c>
      <c r="AN106" s="192">
        <f t="shared" si="1"/>
        <v>0</v>
      </c>
      <c r="AO106" s="192">
        <f t="shared" si="1"/>
        <v>0</v>
      </c>
      <c r="AP106" s="192">
        <f t="shared" si="1"/>
        <v>0</v>
      </c>
      <c r="AQ106" s="192">
        <f t="shared" si="1"/>
        <v>0</v>
      </c>
      <c r="AR106" s="192">
        <f t="shared" si="1"/>
        <v>0</v>
      </c>
    </row>
    <row r="107" spans="1:44" s="247" customFormat="1" ht="13.5" customHeight="1" x14ac:dyDescent="0.25">
      <c r="B107" s="274" t="s">
        <v>188</v>
      </c>
      <c r="C107" s="275"/>
      <c r="D107" s="191" t="str">
        <f>CONCATENATE("Euro/",$C$7)</f>
        <v>Euro/kWh</v>
      </c>
      <c r="E107" s="93"/>
      <c r="F107" s="192">
        <f t="shared" ref="F107:AR107" si="2">IF(F$111&lt;=$C73,$E$107*F108,)</f>
        <v>0</v>
      </c>
      <c r="G107" s="192">
        <f t="shared" si="2"/>
        <v>0</v>
      </c>
      <c r="H107" s="192">
        <f t="shared" si="2"/>
        <v>0</v>
      </c>
      <c r="I107" s="192">
        <f t="shared" si="2"/>
        <v>0</v>
      </c>
      <c r="J107" s="192">
        <f t="shared" si="2"/>
        <v>0</v>
      </c>
      <c r="K107" s="192">
        <f t="shared" si="2"/>
        <v>0</v>
      </c>
      <c r="L107" s="192">
        <f t="shared" si="2"/>
        <v>0</v>
      </c>
      <c r="M107" s="192">
        <f t="shared" si="2"/>
        <v>0</v>
      </c>
      <c r="N107" s="192">
        <f t="shared" si="2"/>
        <v>0</v>
      </c>
      <c r="O107" s="192">
        <f t="shared" si="2"/>
        <v>0</v>
      </c>
      <c r="P107" s="192">
        <f t="shared" si="2"/>
        <v>0</v>
      </c>
      <c r="Q107" s="192">
        <f t="shared" si="2"/>
        <v>0</v>
      </c>
      <c r="R107" s="192">
        <f t="shared" si="2"/>
        <v>0</v>
      </c>
      <c r="S107" s="192">
        <f t="shared" si="2"/>
        <v>0</v>
      </c>
      <c r="T107" s="192">
        <f t="shared" si="2"/>
        <v>0</v>
      </c>
      <c r="U107" s="192">
        <f t="shared" si="2"/>
        <v>0</v>
      </c>
      <c r="V107" s="192">
        <f t="shared" si="2"/>
        <v>0</v>
      </c>
      <c r="W107" s="192">
        <f t="shared" si="2"/>
        <v>0</v>
      </c>
      <c r="X107" s="192">
        <f t="shared" si="2"/>
        <v>0</v>
      </c>
      <c r="Y107" s="192">
        <f t="shared" si="2"/>
        <v>0</v>
      </c>
      <c r="Z107" s="192">
        <f t="shared" si="2"/>
        <v>0</v>
      </c>
      <c r="AA107" s="192">
        <f t="shared" si="2"/>
        <v>0</v>
      </c>
      <c r="AB107" s="192">
        <f t="shared" si="2"/>
        <v>0</v>
      </c>
      <c r="AC107" s="192">
        <f t="shared" si="2"/>
        <v>0</v>
      </c>
      <c r="AD107" s="192">
        <f t="shared" si="2"/>
        <v>0</v>
      </c>
      <c r="AE107" s="192">
        <f t="shared" si="2"/>
        <v>0</v>
      </c>
      <c r="AF107" s="192">
        <f t="shared" si="2"/>
        <v>0</v>
      </c>
      <c r="AG107" s="192">
        <f t="shared" si="2"/>
        <v>0</v>
      </c>
      <c r="AH107" s="192">
        <f t="shared" si="2"/>
        <v>0</v>
      </c>
      <c r="AI107" s="192">
        <f t="shared" si="2"/>
        <v>0</v>
      </c>
      <c r="AJ107" s="192">
        <f t="shared" si="2"/>
        <v>0</v>
      </c>
      <c r="AK107" s="192">
        <f t="shared" si="2"/>
        <v>0</v>
      </c>
      <c r="AL107" s="192">
        <f t="shared" si="2"/>
        <v>0</v>
      </c>
      <c r="AM107" s="192">
        <f t="shared" si="2"/>
        <v>0</v>
      </c>
      <c r="AN107" s="192">
        <f t="shared" si="2"/>
        <v>0</v>
      </c>
      <c r="AO107" s="192">
        <f t="shared" si="2"/>
        <v>0</v>
      </c>
      <c r="AP107" s="192">
        <f t="shared" si="2"/>
        <v>0</v>
      </c>
      <c r="AQ107" s="192">
        <f t="shared" si="2"/>
        <v>0</v>
      </c>
      <c r="AR107" s="192">
        <f t="shared" si="2"/>
        <v>0</v>
      </c>
    </row>
    <row r="108" spans="1:44" x14ac:dyDescent="0.2">
      <c r="B108" s="69" t="s">
        <v>189</v>
      </c>
      <c r="C108" s="193"/>
      <c r="D108" s="193" t="s">
        <v>190</v>
      </c>
      <c r="E108" s="77">
        <f t="shared" ref="E108:AR108" si="3">POWER(1+$C$89,E111-$E$111)</f>
        <v>1</v>
      </c>
      <c r="F108" s="77">
        <f t="shared" si="3"/>
        <v>1.02</v>
      </c>
      <c r="G108" s="77">
        <f t="shared" si="3"/>
        <v>1.0404</v>
      </c>
      <c r="H108" s="77">
        <f t="shared" si="3"/>
        <v>1.0612079999999999</v>
      </c>
      <c r="I108" s="77">
        <f t="shared" si="3"/>
        <v>1.08243216</v>
      </c>
      <c r="J108" s="77">
        <f t="shared" si="3"/>
        <v>1.1040808032</v>
      </c>
      <c r="K108" s="77">
        <f t="shared" si="3"/>
        <v>1.1261624192640001</v>
      </c>
      <c r="L108" s="77">
        <f t="shared" si="3"/>
        <v>1.1486856676492798</v>
      </c>
      <c r="M108" s="77">
        <f t="shared" si="3"/>
        <v>1.1716593810022655</v>
      </c>
      <c r="N108" s="77">
        <f t="shared" si="3"/>
        <v>1.1950925686223108</v>
      </c>
      <c r="O108" s="77">
        <f t="shared" si="3"/>
        <v>1.2189944199947571</v>
      </c>
      <c r="P108" s="77">
        <f t="shared" si="3"/>
        <v>1.243374308394652</v>
      </c>
      <c r="Q108" s="77">
        <f t="shared" si="3"/>
        <v>1.2682417945625453</v>
      </c>
      <c r="R108" s="77">
        <f t="shared" si="3"/>
        <v>1.2936066304537961</v>
      </c>
      <c r="S108" s="77">
        <f t="shared" si="3"/>
        <v>1.3194787630628722</v>
      </c>
      <c r="T108" s="77">
        <f t="shared" si="3"/>
        <v>1.3458683383241292</v>
      </c>
      <c r="U108" s="77">
        <f t="shared" si="3"/>
        <v>1.372785705090612</v>
      </c>
      <c r="V108" s="77">
        <f t="shared" si="3"/>
        <v>1.4002414191924244</v>
      </c>
      <c r="W108" s="77">
        <f t="shared" si="3"/>
        <v>1.4282462475762727</v>
      </c>
      <c r="X108" s="77">
        <f t="shared" si="3"/>
        <v>1.4568111725277981</v>
      </c>
      <c r="Y108" s="77">
        <f t="shared" si="3"/>
        <v>1.4859473959783542</v>
      </c>
      <c r="Z108" s="77">
        <f t="shared" si="3"/>
        <v>1.5156663438979212</v>
      </c>
      <c r="AA108" s="77">
        <f t="shared" si="3"/>
        <v>1.5459796707758797</v>
      </c>
      <c r="AB108" s="77">
        <f t="shared" si="3"/>
        <v>1.576899264191397</v>
      </c>
      <c r="AC108" s="77">
        <f t="shared" si="3"/>
        <v>1.608437249475225</v>
      </c>
      <c r="AD108" s="77">
        <f t="shared" si="3"/>
        <v>1.6406059944647295</v>
      </c>
      <c r="AE108" s="77">
        <f t="shared" si="3"/>
        <v>1.6734181143540243</v>
      </c>
      <c r="AF108" s="77">
        <f t="shared" si="3"/>
        <v>1.7068864766411045</v>
      </c>
      <c r="AG108" s="77">
        <f t="shared" si="3"/>
        <v>1.7410242061739269</v>
      </c>
      <c r="AH108" s="77">
        <f t="shared" si="3"/>
        <v>1.7758446902974052</v>
      </c>
      <c r="AI108" s="77">
        <f t="shared" si="3"/>
        <v>1.8113615841033535</v>
      </c>
      <c r="AJ108" s="77">
        <f t="shared" si="3"/>
        <v>1.8475888157854201</v>
      </c>
      <c r="AK108" s="77">
        <f t="shared" si="3"/>
        <v>1.8845405921011289</v>
      </c>
      <c r="AL108" s="77">
        <f t="shared" si="3"/>
        <v>1.9222314039431516</v>
      </c>
      <c r="AM108" s="77">
        <f t="shared" si="3"/>
        <v>1.9606760320220145</v>
      </c>
      <c r="AN108" s="77">
        <f t="shared" si="3"/>
        <v>1.9998895526624547</v>
      </c>
      <c r="AO108" s="77">
        <f t="shared" si="3"/>
        <v>2.0398873437157037</v>
      </c>
      <c r="AP108" s="77">
        <f t="shared" si="3"/>
        <v>2.080685090590018</v>
      </c>
      <c r="AQ108" s="77">
        <f t="shared" si="3"/>
        <v>2.1222987924018186</v>
      </c>
      <c r="AR108" s="78">
        <f t="shared" si="3"/>
        <v>2.1647447682498542</v>
      </c>
    </row>
    <row r="109" spans="1:44" ht="12.95" customHeight="1" x14ac:dyDescent="0.2"/>
    <row r="110" spans="1:44" ht="12.95" customHeight="1" x14ac:dyDescent="0.25">
      <c r="B110" s="276" t="s">
        <v>191</v>
      </c>
      <c r="C110" s="263"/>
      <c r="D110" s="263"/>
      <c r="E110" s="263"/>
      <c r="F110" s="263"/>
      <c r="G110" s="263"/>
      <c r="H110" s="263"/>
      <c r="I110" s="263"/>
      <c r="J110" s="263"/>
      <c r="K110" s="263"/>
      <c r="L110" s="263"/>
      <c r="M110" s="263"/>
      <c r="N110" s="155"/>
      <c r="O110" s="155"/>
      <c r="P110" s="155"/>
      <c r="Q110" s="155"/>
      <c r="R110" s="155"/>
      <c r="S110" s="155"/>
      <c r="T110" s="155"/>
      <c r="U110" s="155"/>
      <c r="V110" s="155"/>
      <c r="W110" s="155"/>
      <c r="X110" s="155"/>
      <c r="Y110" s="155"/>
      <c r="Z110" s="155"/>
      <c r="AA110" s="155"/>
      <c r="AB110" s="155"/>
      <c r="AC110" s="155"/>
      <c r="AD110" s="155"/>
      <c r="AE110" s="155"/>
      <c r="AF110" s="155"/>
      <c r="AG110" s="155"/>
      <c r="AH110" s="155"/>
      <c r="AI110" s="155"/>
      <c r="AJ110" s="155"/>
      <c r="AK110" s="155"/>
      <c r="AL110" s="155"/>
      <c r="AM110" s="155"/>
      <c r="AN110" s="155"/>
      <c r="AO110" s="155"/>
      <c r="AP110" s="155"/>
      <c r="AQ110" s="155"/>
      <c r="AR110" s="156"/>
    </row>
    <row r="111" spans="1:44" ht="12.95" customHeight="1" x14ac:dyDescent="0.2">
      <c r="B111" s="157" t="s">
        <v>192</v>
      </c>
      <c r="C111" s="143"/>
      <c r="D111" s="144">
        <v>0</v>
      </c>
      <c r="E111" s="144">
        <v>1</v>
      </c>
      <c r="F111" s="144">
        <v>2</v>
      </c>
      <c r="G111" s="144">
        <v>3</v>
      </c>
      <c r="H111" s="144">
        <v>4</v>
      </c>
      <c r="I111" s="144">
        <v>5</v>
      </c>
      <c r="J111" s="144">
        <v>6</v>
      </c>
      <c r="K111" s="144">
        <v>7</v>
      </c>
      <c r="L111" s="144">
        <v>8</v>
      </c>
      <c r="M111" s="144">
        <v>9</v>
      </c>
      <c r="N111" s="144">
        <v>10</v>
      </c>
      <c r="O111" s="144">
        <v>11</v>
      </c>
      <c r="P111" s="144">
        <v>12</v>
      </c>
      <c r="Q111" s="144">
        <v>13</v>
      </c>
      <c r="R111" s="144">
        <v>14</v>
      </c>
      <c r="S111" s="144">
        <v>15</v>
      </c>
      <c r="T111" s="144">
        <v>16</v>
      </c>
      <c r="U111" s="144">
        <v>17</v>
      </c>
      <c r="V111" s="144">
        <v>18</v>
      </c>
      <c r="W111" s="144">
        <v>19</v>
      </c>
      <c r="X111" s="144">
        <v>20</v>
      </c>
      <c r="Y111" s="144">
        <v>21</v>
      </c>
      <c r="Z111" s="144">
        <v>22</v>
      </c>
      <c r="AA111" s="144">
        <v>23</v>
      </c>
      <c r="AB111" s="144">
        <v>24</v>
      </c>
      <c r="AC111" s="144">
        <v>25</v>
      </c>
      <c r="AD111" s="144">
        <v>26</v>
      </c>
      <c r="AE111" s="144">
        <v>27</v>
      </c>
      <c r="AF111" s="144">
        <v>28</v>
      </c>
      <c r="AG111" s="144">
        <v>29</v>
      </c>
      <c r="AH111" s="144">
        <v>30</v>
      </c>
      <c r="AI111" s="144">
        <v>31</v>
      </c>
      <c r="AJ111" s="144">
        <v>32</v>
      </c>
      <c r="AK111" s="144">
        <v>33</v>
      </c>
      <c r="AL111" s="144">
        <v>34</v>
      </c>
      <c r="AM111" s="144">
        <v>35</v>
      </c>
      <c r="AN111" s="144">
        <v>36</v>
      </c>
      <c r="AO111" s="144">
        <v>37</v>
      </c>
      <c r="AP111" s="144">
        <v>38</v>
      </c>
      <c r="AQ111" s="144">
        <v>39</v>
      </c>
      <c r="AR111" s="158">
        <v>40</v>
      </c>
    </row>
    <row r="112" spans="1:44" ht="12.95" customHeight="1" x14ac:dyDescent="0.2">
      <c r="B112" s="50" t="s">
        <v>193</v>
      </c>
      <c r="C112" s="145" t="s">
        <v>183</v>
      </c>
      <c r="D112" s="146">
        <f>-C151</f>
        <v>-3017240998.9379592</v>
      </c>
      <c r="E112" s="147"/>
      <c r="F112" s="147"/>
      <c r="G112" s="147"/>
      <c r="H112" s="147"/>
      <c r="I112" s="147"/>
      <c r="J112" s="147"/>
      <c r="K112" s="147"/>
      <c r="L112" s="147"/>
      <c r="M112" s="147"/>
      <c r="N112" s="147"/>
      <c r="O112" s="147"/>
      <c r="P112" s="147"/>
      <c r="Q112" s="147"/>
      <c r="R112" s="147"/>
      <c r="S112" s="147"/>
      <c r="T112" s="147"/>
      <c r="U112" s="147"/>
      <c r="V112" s="147"/>
      <c r="W112" s="147"/>
      <c r="X112" s="147"/>
      <c r="Y112" s="147"/>
      <c r="Z112" s="147"/>
      <c r="AA112" s="147"/>
      <c r="AB112" s="147"/>
      <c r="AC112" s="147"/>
      <c r="AD112" s="147"/>
      <c r="AE112" s="147"/>
      <c r="AF112" s="147"/>
      <c r="AG112" s="147"/>
      <c r="AH112" s="147"/>
      <c r="AI112" s="147"/>
      <c r="AJ112" s="147"/>
      <c r="AK112" s="147"/>
      <c r="AL112" s="147"/>
      <c r="AM112" s="147"/>
      <c r="AN112" s="147"/>
      <c r="AO112" s="147"/>
      <c r="AP112" s="147"/>
      <c r="AQ112" s="147"/>
      <c r="AR112" s="159"/>
    </row>
    <row r="113" spans="2:44" ht="12.95" customHeight="1" x14ac:dyDescent="0.2">
      <c r="B113" s="157" t="s">
        <v>194</v>
      </c>
      <c r="C113" s="148"/>
      <c r="D113" s="149"/>
      <c r="E113" s="149"/>
      <c r="F113" s="149"/>
      <c r="G113" s="149"/>
      <c r="H113" s="149"/>
      <c r="I113" s="149"/>
      <c r="J113" s="149"/>
      <c r="K113" s="149"/>
      <c r="L113" s="149"/>
      <c r="M113" s="149"/>
      <c r="N113" s="149"/>
      <c r="O113" s="149"/>
      <c r="P113" s="149"/>
      <c r="Q113" s="149"/>
      <c r="R113" s="149"/>
      <c r="S113" s="149"/>
      <c r="T113" s="149"/>
      <c r="U113" s="149"/>
      <c r="V113" s="149"/>
      <c r="W113" s="149"/>
      <c r="X113" s="149"/>
      <c r="Y113" s="149"/>
      <c r="Z113" s="149"/>
      <c r="AA113" s="149"/>
      <c r="AB113" s="149"/>
      <c r="AC113" s="149"/>
      <c r="AD113" s="149"/>
      <c r="AE113" s="149"/>
      <c r="AF113" s="149"/>
      <c r="AG113" s="149"/>
      <c r="AH113" s="149"/>
      <c r="AI113" s="149"/>
      <c r="AJ113" s="149"/>
      <c r="AK113" s="149"/>
      <c r="AL113" s="149"/>
      <c r="AM113" s="149"/>
      <c r="AN113" s="149"/>
      <c r="AO113" s="149"/>
      <c r="AP113" s="149"/>
      <c r="AQ113" s="149"/>
      <c r="AR113" s="160"/>
    </row>
    <row r="114" spans="2:44" x14ac:dyDescent="0.2">
      <c r="B114" s="50" t="s">
        <v>195</v>
      </c>
      <c r="C114" s="150" t="str">
        <f>$C$7</f>
        <v>kWh</v>
      </c>
      <c r="D114" s="145"/>
      <c r="E114" s="194">
        <f t="shared" ref="E114:AR114" si="4">IF(E111&lt;=$C$76,$C$28*$C$30,IF(AND(E111&gt;$C$76,E111&lt;=$C$73),$C$28*$C$81,0))*IF($C$33=0,1,$C$34/$C$33)</f>
        <v>3703160000</v>
      </c>
      <c r="F114" s="194">
        <f t="shared" si="4"/>
        <v>3703160000</v>
      </c>
      <c r="G114" s="194">
        <f t="shared" si="4"/>
        <v>3703160000</v>
      </c>
      <c r="H114" s="194">
        <f t="shared" si="4"/>
        <v>3703160000</v>
      </c>
      <c r="I114" s="194">
        <f t="shared" si="4"/>
        <v>3703160000</v>
      </c>
      <c r="J114" s="194">
        <f t="shared" si="4"/>
        <v>3703160000</v>
      </c>
      <c r="K114" s="194">
        <f t="shared" si="4"/>
        <v>3703160000</v>
      </c>
      <c r="L114" s="194">
        <f t="shared" si="4"/>
        <v>3703160000</v>
      </c>
      <c r="M114" s="194">
        <f t="shared" si="4"/>
        <v>3703160000</v>
      </c>
      <c r="N114" s="194">
        <f t="shared" si="4"/>
        <v>3703160000</v>
      </c>
      <c r="O114" s="194">
        <f t="shared" si="4"/>
        <v>3703160000</v>
      </c>
      <c r="P114" s="194">
        <f t="shared" si="4"/>
        <v>3703160000</v>
      </c>
      <c r="Q114" s="194">
        <f t="shared" si="4"/>
        <v>3703160000</v>
      </c>
      <c r="R114" s="194">
        <f t="shared" si="4"/>
        <v>3703160000</v>
      </c>
      <c r="S114" s="194">
        <f t="shared" si="4"/>
        <v>3703160000</v>
      </c>
      <c r="T114" s="194">
        <f t="shared" si="4"/>
        <v>3863160000</v>
      </c>
      <c r="U114" s="194">
        <f t="shared" si="4"/>
        <v>3863160000</v>
      </c>
      <c r="V114" s="194">
        <f t="shared" si="4"/>
        <v>3863160000</v>
      </c>
      <c r="W114" s="194">
        <f t="shared" si="4"/>
        <v>3863160000</v>
      </c>
      <c r="X114" s="194">
        <f t="shared" si="4"/>
        <v>3863160000</v>
      </c>
      <c r="Y114" s="194">
        <f t="shared" si="4"/>
        <v>3863160000</v>
      </c>
      <c r="Z114" s="194">
        <f t="shared" si="4"/>
        <v>3863160000</v>
      </c>
      <c r="AA114" s="194">
        <f t="shared" si="4"/>
        <v>3863160000</v>
      </c>
      <c r="AB114" s="194">
        <f t="shared" si="4"/>
        <v>3863160000</v>
      </c>
      <c r="AC114" s="194">
        <f t="shared" si="4"/>
        <v>3863160000</v>
      </c>
      <c r="AD114" s="194">
        <f t="shared" si="4"/>
        <v>3863160000</v>
      </c>
      <c r="AE114" s="194">
        <f t="shared" si="4"/>
        <v>3863160000</v>
      </c>
      <c r="AF114" s="194">
        <f t="shared" si="4"/>
        <v>3863160000</v>
      </c>
      <c r="AG114" s="194">
        <f t="shared" si="4"/>
        <v>3863160000</v>
      </c>
      <c r="AH114" s="194">
        <f t="shared" si="4"/>
        <v>3863160000</v>
      </c>
      <c r="AI114" s="194">
        <f t="shared" si="4"/>
        <v>3863160000</v>
      </c>
      <c r="AJ114" s="194">
        <f t="shared" si="4"/>
        <v>3863160000</v>
      </c>
      <c r="AK114" s="194">
        <f t="shared" si="4"/>
        <v>3863160000</v>
      </c>
      <c r="AL114" s="194">
        <f t="shared" si="4"/>
        <v>3863160000</v>
      </c>
      <c r="AM114" s="194">
        <f t="shared" si="4"/>
        <v>3863160000</v>
      </c>
      <c r="AN114" s="194">
        <f t="shared" si="4"/>
        <v>0</v>
      </c>
      <c r="AO114" s="194">
        <f t="shared" si="4"/>
        <v>0</v>
      </c>
      <c r="AP114" s="194">
        <f t="shared" si="4"/>
        <v>0</v>
      </c>
      <c r="AQ114" s="194">
        <f t="shared" si="4"/>
        <v>0</v>
      </c>
      <c r="AR114" s="195">
        <f t="shared" si="4"/>
        <v>0</v>
      </c>
    </row>
    <row r="115" spans="2:44" x14ac:dyDescent="0.2">
      <c r="B115" s="50" t="s">
        <v>196</v>
      </c>
      <c r="C115" s="150" t="str">
        <f>$C$7</f>
        <v>kWh</v>
      </c>
      <c r="D115" s="145"/>
      <c r="E115" s="194">
        <f t="shared" ref="E115:AR115" si="5">IF($C$23="Ja",0,IF(E111&lt;=$C$76,$C$26*$C$29,IF(AND(E111&gt;$C$76,E111&lt;=$C$73),$C$26*$C$83,0)))</f>
        <v>0</v>
      </c>
      <c r="F115" s="194">
        <f t="shared" si="5"/>
        <v>0</v>
      </c>
      <c r="G115" s="194">
        <f t="shared" si="5"/>
        <v>0</v>
      </c>
      <c r="H115" s="194">
        <f t="shared" si="5"/>
        <v>0</v>
      </c>
      <c r="I115" s="194">
        <f t="shared" si="5"/>
        <v>0</v>
      </c>
      <c r="J115" s="194">
        <f t="shared" si="5"/>
        <v>0</v>
      </c>
      <c r="K115" s="194">
        <f t="shared" si="5"/>
        <v>0</v>
      </c>
      <c r="L115" s="194">
        <f t="shared" si="5"/>
        <v>0</v>
      </c>
      <c r="M115" s="194">
        <f t="shared" si="5"/>
        <v>0</v>
      </c>
      <c r="N115" s="194">
        <f t="shared" si="5"/>
        <v>0</v>
      </c>
      <c r="O115" s="194">
        <f t="shared" si="5"/>
        <v>0</v>
      </c>
      <c r="P115" s="194">
        <f t="shared" si="5"/>
        <v>0</v>
      </c>
      <c r="Q115" s="194">
        <f t="shared" si="5"/>
        <v>0</v>
      </c>
      <c r="R115" s="194">
        <f t="shared" si="5"/>
        <v>0</v>
      </c>
      <c r="S115" s="194">
        <f t="shared" si="5"/>
        <v>0</v>
      </c>
      <c r="T115" s="194">
        <f t="shared" si="5"/>
        <v>0</v>
      </c>
      <c r="U115" s="194">
        <f t="shared" si="5"/>
        <v>0</v>
      </c>
      <c r="V115" s="194">
        <f t="shared" si="5"/>
        <v>0</v>
      </c>
      <c r="W115" s="194">
        <f t="shared" si="5"/>
        <v>0</v>
      </c>
      <c r="X115" s="194">
        <f t="shared" si="5"/>
        <v>0</v>
      </c>
      <c r="Y115" s="194">
        <f t="shared" si="5"/>
        <v>0</v>
      </c>
      <c r="Z115" s="194">
        <f t="shared" si="5"/>
        <v>0</v>
      </c>
      <c r="AA115" s="194">
        <f t="shared" si="5"/>
        <v>0</v>
      </c>
      <c r="AB115" s="194">
        <f t="shared" si="5"/>
        <v>0</v>
      </c>
      <c r="AC115" s="194">
        <f t="shared" si="5"/>
        <v>0</v>
      </c>
      <c r="AD115" s="194">
        <f t="shared" si="5"/>
        <v>0</v>
      </c>
      <c r="AE115" s="194">
        <f t="shared" si="5"/>
        <v>0</v>
      </c>
      <c r="AF115" s="194">
        <f t="shared" si="5"/>
        <v>0</v>
      </c>
      <c r="AG115" s="194">
        <f t="shared" si="5"/>
        <v>0</v>
      </c>
      <c r="AH115" s="194">
        <f t="shared" si="5"/>
        <v>0</v>
      </c>
      <c r="AI115" s="194">
        <f t="shared" si="5"/>
        <v>0</v>
      </c>
      <c r="AJ115" s="194">
        <f t="shared" si="5"/>
        <v>0</v>
      </c>
      <c r="AK115" s="194">
        <f t="shared" si="5"/>
        <v>0</v>
      </c>
      <c r="AL115" s="194">
        <f t="shared" si="5"/>
        <v>0</v>
      </c>
      <c r="AM115" s="194">
        <f t="shared" si="5"/>
        <v>0</v>
      </c>
      <c r="AN115" s="194">
        <f t="shared" si="5"/>
        <v>0</v>
      </c>
      <c r="AO115" s="194">
        <f t="shared" si="5"/>
        <v>0</v>
      </c>
      <c r="AP115" s="194">
        <f t="shared" si="5"/>
        <v>0</v>
      </c>
      <c r="AQ115" s="194">
        <f t="shared" si="5"/>
        <v>0</v>
      </c>
      <c r="AR115" s="195">
        <f t="shared" si="5"/>
        <v>0</v>
      </c>
    </row>
    <row r="116" spans="2:44" x14ac:dyDescent="0.2">
      <c r="B116" s="50" t="s">
        <v>197</v>
      </c>
      <c r="C116" s="145" t="s">
        <v>198</v>
      </c>
      <c r="D116" s="145"/>
      <c r="E116" s="194">
        <f t="shared" ref="E116:AR116" si="6">IF(OR(E111&gt;$C$73,$C$23&lt;&gt;"JA"),0,$C$26*$C$29*$C$174/$C$173)</f>
        <v>0</v>
      </c>
      <c r="F116" s="194">
        <f t="shared" si="6"/>
        <v>0</v>
      </c>
      <c r="G116" s="194">
        <f t="shared" si="6"/>
        <v>0</v>
      </c>
      <c r="H116" s="194">
        <f t="shared" si="6"/>
        <v>0</v>
      </c>
      <c r="I116" s="194">
        <f t="shared" si="6"/>
        <v>0</v>
      </c>
      <c r="J116" s="194">
        <f t="shared" si="6"/>
        <v>0</v>
      </c>
      <c r="K116" s="194">
        <f t="shared" si="6"/>
        <v>0</v>
      </c>
      <c r="L116" s="194">
        <f t="shared" si="6"/>
        <v>0</v>
      </c>
      <c r="M116" s="194">
        <f t="shared" si="6"/>
        <v>0</v>
      </c>
      <c r="N116" s="194">
        <f t="shared" si="6"/>
        <v>0</v>
      </c>
      <c r="O116" s="194">
        <f t="shared" si="6"/>
        <v>0</v>
      </c>
      <c r="P116" s="194">
        <f t="shared" si="6"/>
        <v>0</v>
      </c>
      <c r="Q116" s="194">
        <f t="shared" si="6"/>
        <v>0</v>
      </c>
      <c r="R116" s="194">
        <f t="shared" si="6"/>
        <v>0</v>
      </c>
      <c r="S116" s="194">
        <f t="shared" si="6"/>
        <v>0</v>
      </c>
      <c r="T116" s="194">
        <f t="shared" si="6"/>
        <v>0</v>
      </c>
      <c r="U116" s="194">
        <f t="shared" si="6"/>
        <v>0</v>
      </c>
      <c r="V116" s="194">
        <f t="shared" si="6"/>
        <v>0</v>
      </c>
      <c r="W116" s="194">
        <f t="shared" si="6"/>
        <v>0</v>
      </c>
      <c r="X116" s="194">
        <f t="shared" si="6"/>
        <v>0</v>
      </c>
      <c r="Y116" s="194">
        <f t="shared" si="6"/>
        <v>0</v>
      </c>
      <c r="Z116" s="194">
        <f t="shared" si="6"/>
        <v>0</v>
      </c>
      <c r="AA116" s="194">
        <f t="shared" si="6"/>
        <v>0</v>
      </c>
      <c r="AB116" s="194">
        <f t="shared" si="6"/>
        <v>0</v>
      </c>
      <c r="AC116" s="194">
        <f t="shared" si="6"/>
        <v>0</v>
      </c>
      <c r="AD116" s="194">
        <f t="shared" si="6"/>
        <v>0</v>
      </c>
      <c r="AE116" s="194">
        <f t="shared" si="6"/>
        <v>0</v>
      </c>
      <c r="AF116" s="194">
        <f t="shared" si="6"/>
        <v>0</v>
      </c>
      <c r="AG116" s="194">
        <f t="shared" si="6"/>
        <v>0</v>
      </c>
      <c r="AH116" s="194">
        <f t="shared" si="6"/>
        <v>0</v>
      </c>
      <c r="AI116" s="194">
        <f t="shared" si="6"/>
        <v>0</v>
      </c>
      <c r="AJ116" s="194">
        <f t="shared" si="6"/>
        <v>0</v>
      </c>
      <c r="AK116" s="194">
        <f t="shared" si="6"/>
        <v>0</v>
      </c>
      <c r="AL116" s="194">
        <f t="shared" si="6"/>
        <v>0</v>
      </c>
      <c r="AM116" s="194">
        <f t="shared" si="6"/>
        <v>0</v>
      </c>
      <c r="AN116" s="194">
        <f t="shared" si="6"/>
        <v>0</v>
      </c>
      <c r="AO116" s="194">
        <f t="shared" si="6"/>
        <v>0</v>
      </c>
      <c r="AP116" s="194">
        <f t="shared" si="6"/>
        <v>0</v>
      </c>
      <c r="AQ116" s="194">
        <f t="shared" si="6"/>
        <v>0</v>
      </c>
      <c r="AR116" s="195">
        <f t="shared" si="6"/>
        <v>0</v>
      </c>
    </row>
    <row r="117" spans="2:44" x14ac:dyDescent="0.2">
      <c r="B117" s="161" t="s">
        <v>199</v>
      </c>
      <c r="C117" s="151" t="str">
        <f>$C$7</f>
        <v>kWh</v>
      </c>
      <c r="D117" s="152"/>
      <c r="E117" s="196">
        <f t="shared" ref="E117:AR117" si="7">SUM(E114:E116)</f>
        <v>3703160000</v>
      </c>
      <c r="F117" s="196">
        <f t="shared" si="7"/>
        <v>3703160000</v>
      </c>
      <c r="G117" s="196">
        <f t="shared" si="7"/>
        <v>3703160000</v>
      </c>
      <c r="H117" s="196">
        <f t="shared" si="7"/>
        <v>3703160000</v>
      </c>
      <c r="I117" s="196">
        <f t="shared" si="7"/>
        <v>3703160000</v>
      </c>
      <c r="J117" s="196">
        <f t="shared" si="7"/>
        <v>3703160000</v>
      </c>
      <c r="K117" s="196">
        <f t="shared" si="7"/>
        <v>3703160000</v>
      </c>
      <c r="L117" s="196">
        <f t="shared" si="7"/>
        <v>3703160000</v>
      </c>
      <c r="M117" s="196">
        <f t="shared" si="7"/>
        <v>3703160000</v>
      </c>
      <c r="N117" s="196">
        <f t="shared" si="7"/>
        <v>3703160000</v>
      </c>
      <c r="O117" s="196">
        <f t="shared" si="7"/>
        <v>3703160000</v>
      </c>
      <c r="P117" s="196">
        <f t="shared" si="7"/>
        <v>3703160000</v>
      </c>
      <c r="Q117" s="196">
        <f t="shared" si="7"/>
        <v>3703160000</v>
      </c>
      <c r="R117" s="196">
        <f t="shared" si="7"/>
        <v>3703160000</v>
      </c>
      <c r="S117" s="196">
        <f t="shared" si="7"/>
        <v>3703160000</v>
      </c>
      <c r="T117" s="196">
        <f t="shared" si="7"/>
        <v>3863160000</v>
      </c>
      <c r="U117" s="196">
        <f t="shared" si="7"/>
        <v>3863160000</v>
      </c>
      <c r="V117" s="196">
        <f t="shared" si="7"/>
        <v>3863160000</v>
      </c>
      <c r="W117" s="196">
        <f t="shared" si="7"/>
        <v>3863160000</v>
      </c>
      <c r="X117" s="196">
        <f t="shared" si="7"/>
        <v>3863160000</v>
      </c>
      <c r="Y117" s="196">
        <f t="shared" si="7"/>
        <v>3863160000</v>
      </c>
      <c r="Z117" s="196">
        <f t="shared" si="7"/>
        <v>3863160000</v>
      </c>
      <c r="AA117" s="196">
        <f t="shared" si="7"/>
        <v>3863160000</v>
      </c>
      <c r="AB117" s="196">
        <f t="shared" si="7"/>
        <v>3863160000</v>
      </c>
      <c r="AC117" s="196">
        <f t="shared" si="7"/>
        <v>3863160000</v>
      </c>
      <c r="AD117" s="196">
        <f t="shared" si="7"/>
        <v>3863160000</v>
      </c>
      <c r="AE117" s="196">
        <f t="shared" si="7"/>
        <v>3863160000</v>
      </c>
      <c r="AF117" s="196">
        <f t="shared" si="7"/>
        <v>3863160000</v>
      </c>
      <c r="AG117" s="196">
        <f t="shared" si="7"/>
        <v>3863160000</v>
      </c>
      <c r="AH117" s="196">
        <f t="shared" si="7"/>
        <v>3863160000</v>
      </c>
      <c r="AI117" s="196">
        <f t="shared" si="7"/>
        <v>3863160000</v>
      </c>
      <c r="AJ117" s="196">
        <f t="shared" si="7"/>
        <v>3863160000</v>
      </c>
      <c r="AK117" s="196">
        <f t="shared" si="7"/>
        <v>3863160000</v>
      </c>
      <c r="AL117" s="196">
        <f t="shared" si="7"/>
        <v>3863160000</v>
      </c>
      <c r="AM117" s="196">
        <f t="shared" si="7"/>
        <v>3863160000</v>
      </c>
      <c r="AN117" s="196">
        <f t="shared" si="7"/>
        <v>0</v>
      </c>
      <c r="AO117" s="196">
        <f t="shared" si="7"/>
        <v>0</v>
      </c>
      <c r="AP117" s="196">
        <f t="shared" si="7"/>
        <v>0</v>
      </c>
      <c r="AQ117" s="196">
        <f t="shared" si="7"/>
        <v>0</v>
      </c>
      <c r="AR117" s="197">
        <f t="shared" si="7"/>
        <v>0</v>
      </c>
    </row>
    <row r="118" spans="2:44" ht="12.95" customHeight="1" x14ac:dyDescent="0.2">
      <c r="B118" s="157" t="s">
        <v>200</v>
      </c>
      <c r="C118" s="148"/>
      <c r="D118" s="149"/>
      <c r="E118" s="149"/>
      <c r="F118" s="149"/>
      <c r="G118" s="149"/>
      <c r="H118" s="149"/>
      <c r="I118" s="149"/>
      <c r="J118" s="149"/>
      <c r="K118" s="149"/>
      <c r="L118" s="149"/>
      <c r="M118" s="149"/>
      <c r="N118" s="149"/>
      <c r="O118" s="149"/>
      <c r="P118" s="149"/>
      <c r="Q118" s="149"/>
      <c r="R118" s="149"/>
      <c r="S118" s="149"/>
      <c r="T118" s="149"/>
      <c r="U118" s="149"/>
      <c r="V118" s="149"/>
      <c r="W118" s="149"/>
      <c r="X118" s="149"/>
      <c r="Y118" s="149"/>
      <c r="Z118" s="149"/>
      <c r="AA118" s="149"/>
      <c r="AB118" s="149"/>
      <c r="AC118" s="149"/>
      <c r="AD118" s="149"/>
      <c r="AE118" s="149"/>
      <c r="AF118" s="149"/>
      <c r="AG118" s="149"/>
      <c r="AH118" s="149"/>
      <c r="AI118" s="149"/>
      <c r="AJ118" s="149"/>
      <c r="AK118" s="149"/>
      <c r="AL118" s="149"/>
      <c r="AM118" s="149"/>
      <c r="AN118" s="149"/>
      <c r="AO118" s="149"/>
      <c r="AP118" s="149"/>
      <c r="AQ118" s="149"/>
      <c r="AR118" s="160"/>
    </row>
    <row r="119" spans="2:44" x14ac:dyDescent="0.2">
      <c r="B119" s="50" t="s">
        <v>201</v>
      </c>
      <c r="C119" s="145" t="s">
        <v>183</v>
      </c>
      <c r="D119" s="145"/>
      <c r="E119" s="194">
        <f t="shared" ref="E119:AR119" si="8">IF(E111&gt;$C$73,0,-E108*(($C$42*$C$21+$C$43*SUM($C$26,$C$28))+E117*$C$49))+IF($C$101=E111,$D$101*E108,0)+IF($C$102=E111,$D$102*E108,0)</f>
        <v>-88269865.321447998</v>
      </c>
      <c r="F119" s="194">
        <f t="shared" si="8"/>
        <v>-90035262.627876967</v>
      </c>
      <c r="G119" s="194">
        <f t="shared" si="8"/>
        <v>-91835967.880434498</v>
      </c>
      <c r="H119" s="194">
        <f t="shared" si="8"/>
        <v>-93672687.238043174</v>
      </c>
      <c r="I119" s="194">
        <f t="shared" si="8"/>
        <v>-95546140.982804045</v>
      </c>
      <c r="J119" s="194">
        <f t="shared" si="8"/>
        <v>-97457063.802460134</v>
      </c>
      <c r="K119" s="194">
        <f t="shared" si="8"/>
        <v>-99406205.078509346</v>
      </c>
      <c r="L119" s="194">
        <f t="shared" si="8"/>
        <v>-101394329.1800795</v>
      </c>
      <c r="M119" s="194">
        <f t="shared" si="8"/>
        <v>-103422215.7636811</v>
      </c>
      <c r="N119" s="194">
        <f t="shared" si="8"/>
        <v>-105490660.07895473</v>
      </c>
      <c r="O119" s="194">
        <f t="shared" si="8"/>
        <v>-107600473.28053382</v>
      </c>
      <c r="P119" s="194">
        <f t="shared" si="8"/>
        <v>-109752482.74614449</v>
      </c>
      <c r="Q119" s="194">
        <f t="shared" si="8"/>
        <v>-111947532.40106739</v>
      </c>
      <c r="R119" s="194">
        <f t="shared" si="8"/>
        <v>-114186483.04908873</v>
      </c>
      <c r="S119" s="194">
        <f t="shared" si="8"/>
        <v>-116470212.71007052</v>
      </c>
      <c r="T119" s="194">
        <f t="shared" si="8"/>
        <v>-311393376.17845476</v>
      </c>
      <c r="U119" s="194">
        <f t="shared" si="8"/>
        <v>-123372066.43170233</v>
      </c>
      <c r="V119" s="194">
        <f t="shared" si="8"/>
        <v>-125839507.76033638</v>
      </c>
      <c r="W119" s="194">
        <f t="shared" si="8"/>
        <v>-128356297.91554311</v>
      </c>
      <c r="X119" s="194">
        <f t="shared" si="8"/>
        <v>-130923423.87385397</v>
      </c>
      <c r="Y119" s="194">
        <f t="shared" si="8"/>
        <v>-133541892.35133106</v>
      </c>
      <c r="Z119" s="194">
        <f t="shared" si="8"/>
        <v>-136212730.19835767</v>
      </c>
      <c r="AA119" s="194">
        <f t="shared" si="8"/>
        <v>-138936984.80232483</v>
      </c>
      <c r="AB119" s="194">
        <f t="shared" si="8"/>
        <v>-141715724.4983713</v>
      </c>
      <c r="AC119" s="194">
        <f t="shared" si="8"/>
        <v>-144550038.98833874</v>
      </c>
      <c r="AD119" s="194">
        <f t="shared" si="8"/>
        <v>-147441039.76810551</v>
      </c>
      <c r="AE119" s="194">
        <f t="shared" si="8"/>
        <v>-150389860.56346762</v>
      </c>
      <c r="AF119" s="194">
        <f t="shared" si="8"/>
        <v>-153397657.77473694</v>
      </c>
      <c r="AG119" s="194">
        <f t="shared" si="8"/>
        <v>-156465610.93023172</v>
      </c>
      <c r="AH119" s="194">
        <f t="shared" si="8"/>
        <v>-159594923.14883634</v>
      </c>
      <c r="AI119" s="194">
        <f t="shared" si="8"/>
        <v>-162786821.61181307</v>
      </c>
      <c r="AJ119" s="194">
        <f t="shared" si="8"/>
        <v>-166042558.04404929</v>
      </c>
      <c r="AK119" s="194">
        <f t="shared" si="8"/>
        <v>-169363409.20493034</v>
      </c>
      <c r="AL119" s="194">
        <f t="shared" si="8"/>
        <v>-172750677.38902894</v>
      </c>
      <c r="AM119" s="194">
        <f t="shared" si="8"/>
        <v>-176205690.93680951</v>
      </c>
      <c r="AN119" s="194">
        <f t="shared" si="8"/>
        <v>0</v>
      </c>
      <c r="AO119" s="194">
        <f t="shared" si="8"/>
        <v>0</v>
      </c>
      <c r="AP119" s="194">
        <f t="shared" si="8"/>
        <v>0</v>
      </c>
      <c r="AQ119" s="194">
        <f t="shared" si="8"/>
        <v>0</v>
      </c>
      <c r="AR119" s="195">
        <f t="shared" si="8"/>
        <v>0</v>
      </c>
    </row>
    <row r="120" spans="2:44" x14ac:dyDescent="0.2">
      <c r="B120" s="50" t="s">
        <v>202</v>
      </c>
      <c r="C120" s="145" t="s">
        <v>183</v>
      </c>
      <c r="D120" s="145"/>
      <c r="E120" s="194">
        <f t="shared" ref="E120:AR120" si="9">IF(OR(E111&gt;$C$73, $C$52=0), 0, -E108*$C$54/$C$52*$C$21*MAX($C$29,$C$30)*$C$175/1000)</f>
        <v>0</v>
      </c>
      <c r="F120" s="194">
        <f t="shared" si="9"/>
        <v>0</v>
      </c>
      <c r="G120" s="194">
        <f t="shared" si="9"/>
        <v>0</v>
      </c>
      <c r="H120" s="194">
        <f t="shared" si="9"/>
        <v>0</v>
      </c>
      <c r="I120" s="194">
        <f t="shared" si="9"/>
        <v>0</v>
      </c>
      <c r="J120" s="194">
        <f t="shared" si="9"/>
        <v>0</v>
      </c>
      <c r="K120" s="194">
        <f t="shared" si="9"/>
        <v>0</v>
      </c>
      <c r="L120" s="194">
        <f t="shared" si="9"/>
        <v>0</v>
      </c>
      <c r="M120" s="194">
        <f t="shared" si="9"/>
        <v>0</v>
      </c>
      <c r="N120" s="194">
        <f t="shared" si="9"/>
        <v>0</v>
      </c>
      <c r="O120" s="194">
        <f t="shared" si="9"/>
        <v>0</v>
      </c>
      <c r="P120" s="194">
        <f t="shared" si="9"/>
        <v>0</v>
      </c>
      <c r="Q120" s="194">
        <f t="shared" si="9"/>
        <v>0</v>
      </c>
      <c r="R120" s="194">
        <f t="shared" si="9"/>
        <v>0</v>
      </c>
      <c r="S120" s="194">
        <f t="shared" si="9"/>
        <v>0</v>
      </c>
      <c r="T120" s="194">
        <f t="shared" si="9"/>
        <v>0</v>
      </c>
      <c r="U120" s="194">
        <f t="shared" si="9"/>
        <v>0</v>
      </c>
      <c r="V120" s="194">
        <f t="shared" si="9"/>
        <v>0</v>
      </c>
      <c r="W120" s="194">
        <f t="shared" si="9"/>
        <v>0</v>
      </c>
      <c r="X120" s="194">
        <f t="shared" si="9"/>
        <v>0</v>
      </c>
      <c r="Y120" s="194">
        <f t="shared" si="9"/>
        <v>0</v>
      </c>
      <c r="Z120" s="194">
        <f t="shared" si="9"/>
        <v>0</v>
      </c>
      <c r="AA120" s="194">
        <f t="shared" si="9"/>
        <v>0</v>
      </c>
      <c r="AB120" s="194">
        <f t="shared" si="9"/>
        <v>0</v>
      </c>
      <c r="AC120" s="194">
        <f t="shared" si="9"/>
        <v>0</v>
      </c>
      <c r="AD120" s="194">
        <f t="shared" si="9"/>
        <v>0</v>
      </c>
      <c r="AE120" s="194">
        <f t="shared" si="9"/>
        <v>0</v>
      </c>
      <c r="AF120" s="194">
        <f t="shared" si="9"/>
        <v>0</v>
      </c>
      <c r="AG120" s="194">
        <f t="shared" si="9"/>
        <v>0</v>
      </c>
      <c r="AH120" s="194">
        <f t="shared" si="9"/>
        <v>0</v>
      </c>
      <c r="AI120" s="194">
        <f t="shared" si="9"/>
        <v>0</v>
      </c>
      <c r="AJ120" s="194">
        <f t="shared" si="9"/>
        <v>0</v>
      </c>
      <c r="AK120" s="194">
        <f t="shared" si="9"/>
        <v>0</v>
      </c>
      <c r="AL120" s="194">
        <f t="shared" si="9"/>
        <v>0</v>
      </c>
      <c r="AM120" s="194">
        <f t="shared" si="9"/>
        <v>0</v>
      </c>
      <c r="AN120" s="194">
        <f t="shared" si="9"/>
        <v>0</v>
      </c>
      <c r="AO120" s="194">
        <f t="shared" si="9"/>
        <v>0</v>
      </c>
      <c r="AP120" s="194">
        <f t="shared" si="9"/>
        <v>0</v>
      </c>
      <c r="AQ120" s="194">
        <f t="shared" si="9"/>
        <v>0</v>
      </c>
      <c r="AR120" s="195">
        <f t="shared" si="9"/>
        <v>0</v>
      </c>
    </row>
    <row r="121" spans="2:44" x14ac:dyDescent="0.2">
      <c r="B121" s="50" t="s">
        <v>203</v>
      </c>
      <c r="C121" s="145" t="s">
        <v>178</v>
      </c>
      <c r="D121" s="145"/>
      <c r="E121" s="198">
        <f t="shared" ref="E121:AR121" si="10">IF(AND(E111&gt;$C$76,E111&lt;=$C$73),(IF($C$81&gt;0,$C$80*E108,0)), )</f>
        <v>0</v>
      </c>
      <c r="F121" s="198">
        <f t="shared" si="10"/>
        <v>0</v>
      </c>
      <c r="G121" s="198">
        <f t="shared" si="10"/>
        <v>0</v>
      </c>
      <c r="H121" s="198">
        <f t="shared" si="10"/>
        <v>0</v>
      </c>
      <c r="I121" s="198">
        <f t="shared" si="10"/>
        <v>0</v>
      </c>
      <c r="J121" s="198">
        <f t="shared" si="10"/>
        <v>0</v>
      </c>
      <c r="K121" s="198">
        <f t="shared" si="10"/>
        <v>0</v>
      </c>
      <c r="L121" s="198">
        <f t="shared" si="10"/>
        <v>0</v>
      </c>
      <c r="M121" s="198">
        <f t="shared" si="10"/>
        <v>0</v>
      </c>
      <c r="N121" s="198">
        <f t="shared" si="10"/>
        <v>0</v>
      </c>
      <c r="O121" s="198">
        <f t="shared" si="10"/>
        <v>0</v>
      </c>
      <c r="P121" s="198">
        <f t="shared" si="10"/>
        <v>0</v>
      </c>
      <c r="Q121" s="198">
        <f t="shared" si="10"/>
        <v>0</v>
      </c>
      <c r="R121" s="198">
        <f t="shared" si="10"/>
        <v>0</v>
      </c>
      <c r="S121" s="198">
        <f t="shared" si="10"/>
        <v>0</v>
      </c>
      <c r="T121" s="198">
        <f t="shared" si="10"/>
        <v>7.6096388475197049E-2</v>
      </c>
      <c r="U121" s="198">
        <f t="shared" si="10"/>
        <v>7.7618316244701002E-2</v>
      </c>
      <c r="V121" s="198">
        <f t="shared" si="10"/>
        <v>7.917068256959503E-2</v>
      </c>
      <c r="W121" s="198">
        <f t="shared" si="10"/>
        <v>8.0754096220986921E-2</v>
      </c>
      <c r="X121" s="198">
        <f t="shared" si="10"/>
        <v>8.2369178145406646E-2</v>
      </c>
      <c r="Y121" s="198">
        <f t="shared" si="10"/>
        <v>8.4016561708314785E-2</v>
      </c>
      <c r="Z121" s="198">
        <f t="shared" si="10"/>
        <v>8.5696892942481076E-2</v>
      </c>
      <c r="AA121" s="198">
        <f t="shared" si="10"/>
        <v>8.7410830801330705E-2</v>
      </c>
      <c r="AB121" s="198">
        <f t="shared" si="10"/>
        <v>8.9159047417357307E-2</v>
      </c>
      <c r="AC121" s="198">
        <f t="shared" si="10"/>
        <v>9.0942228365704453E-2</v>
      </c>
      <c r="AD121" s="198">
        <f t="shared" si="10"/>
        <v>9.2761072933018551E-2</v>
      </c>
      <c r="AE121" s="198">
        <f t="shared" si="10"/>
        <v>9.4616294391678929E-2</v>
      </c>
      <c r="AF121" s="198">
        <f t="shared" si="10"/>
        <v>9.6508620279512486E-2</v>
      </c>
      <c r="AG121" s="198">
        <f t="shared" si="10"/>
        <v>9.8438792685102763E-2</v>
      </c>
      <c r="AH121" s="198">
        <f t="shared" si="10"/>
        <v>0.1004075685388048</v>
      </c>
      <c r="AI121" s="198">
        <f t="shared" si="10"/>
        <v>0.1024157199095809</v>
      </c>
      <c r="AJ121" s="198">
        <f t="shared" si="10"/>
        <v>0.1044640343077725</v>
      </c>
      <c r="AK121" s="198">
        <f t="shared" si="10"/>
        <v>0.10655331499392796</v>
      </c>
      <c r="AL121" s="198">
        <f t="shared" si="10"/>
        <v>0.10868438129380653</v>
      </c>
      <c r="AM121" s="198">
        <f t="shared" si="10"/>
        <v>0.11085806891968265</v>
      </c>
      <c r="AN121" s="198">
        <f t="shared" si="10"/>
        <v>0</v>
      </c>
      <c r="AO121" s="198">
        <f t="shared" si="10"/>
        <v>0</v>
      </c>
      <c r="AP121" s="198">
        <f t="shared" si="10"/>
        <v>0</v>
      </c>
      <c r="AQ121" s="198">
        <f t="shared" si="10"/>
        <v>0</v>
      </c>
      <c r="AR121" s="199">
        <f t="shared" si="10"/>
        <v>0</v>
      </c>
    </row>
    <row r="122" spans="2:44" x14ac:dyDescent="0.2">
      <c r="B122" s="50" t="s">
        <v>204</v>
      </c>
      <c r="C122" s="145" t="s">
        <v>178</v>
      </c>
      <c r="D122" s="145"/>
      <c r="E122" s="198">
        <f t="shared" ref="E122:AR122" si="11">IF($C$23="Ja",0,IF(AND(E111&gt;$C$76,E111&lt;=$C$73),(IF($C$83&gt;0,$C$82*E108,0)), ))</f>
        <v>0</v>
      </c>
      <c r="F122" s="198">
        <f t="shared" si="11"/>
        <v>0</v>
      </c>
      <c r="G122" s="198">
        <f t="shared" si="11"/>
        <v>0</v>
      </c>
      <c r="H122" s="198">
        <f t="shared" si="11"/>
        <v>0</v>
      </c>
      <c r="I122" s="198">
        <f t="shared" si="11"/>
        <v>0</v>
      </c>
      <c r="J122" s="198">
        <f t="shared" si="11"/>
        <v>0</v>
      </c>
      <c r="K122" s="198">
        <f t="shared" si="11"/>
        <v>0</v>
      </c>
      <c r="L122" s="198">
        <f t="shared" si="11"/>
        <v>0</v>
      </c>
      <c r="M122" s="198">
        <f t="shared" si="11"/>
        <v>0</v>
      </c>
      <c r="N122" s="198">
        <f t="shared" si="11"/>
        <v>0</v>
      </c>
      <c r="O122" s="198">
        <f t="shared" si="11"/>
        <v>0</v>
      </c>
      <c r="P122" s="198">
        <f t="shared" si="11"/>
        <v>0</v>
      </c>
      <c r="Q122" s="198">
        <f t="shared" si="11"/>
        <v>0</v>
      </c>
      <c r="R122" s="198">
        <f t="shared" si="11"/>
        <v>0</v>
      </c>
      <c r="S122" s="198">
        <f t="shared" si="11"/>
        <v>0</v>
      </c>
      <c r="T122" s="198">
        <f t="shared" si="11"/>
        <v>0</v>
      </c>
      <c r="U122" s="198">
        <f t="shared" si="11"/>
        <v>0</v>
      </c>
      <c r="V122" s="198">
        <f t="shared" si="11"/>
        <v>0</v>
      </c>
      <c r="W122" s="198">
        <f t="shared" si="11"/>
        <v>0</v>
      </c>
      <c r="X122" s="198">
        <f t="shared" si="11"/>
        <v>0</v>
      </c>
      <c r="Y122" s="198">
        <f t="shared" si="11"/>
        <v>0</v>
      </c>
      <c r="Z122" s="198">
        <f t="shared" si="11"/>
        <v>0</v>
      </c>
      <c r="AA122" s="198">
        <f t="shared" si="11"/>
        <v>0</v>
      </c>
      <c r="AB122" s="198">
        <f t="shared" si="11"/>
        <v>0</v>
      </c>
      <c r="AC122" s="198">
        <f t="shared" si="11"/>
        <v>0</v>
      </c>
      <c r="AD122" s="198">
        <f t="shared" si="11"/>
        <v>0</v>
      </c>
      <c r="AE122" s="198">
        <f t="shared" si="11"/>
        <v>0</v>
      </c>
      <c r="AF122" s="198">
        <f t="shared" si="11"/>
        <v>0</v>
      </c>
      <c r="AG122" s="198">
        <f t="shared" si="11"/>
        <v>0</v>
      </c>
      <c r="AH122" s="198">
        <f t="shared" si="11"/>
        <v>0</v>
      </c>
      <c r="AI122" s="198">
        <f t="shared" si="11"/>
        <v>0</v>
      </c>
      <c r="AJ122" s="198">
        <f t="shared" si="11"/>
        <v>0</v>
      </c>
      <c r="AK122" s="198">
        <f t="shared" si="11"/>
        <v>0</v>
      </c>
      <c r="AL122" s="198">
        <f t="shared" si="11"/>
        <v>0</v>
      </c>
      <c r="AM122" s="198">
        <f t="shared" si="11"/>
        <v>0</v>
      </c>
      <c r="AN122" s="198">
        <f t="shared" si="11"/>
        <v>0</v>
      </c>
      <c r="AO122" s="198">
        <f t="shared" si="11"/>
        <v>0</v>
      </c>
      <c r="AP122" s="198">
        <f t="shared" si="11"/>
        <v>0</v>
      </c>
      <c r="AQ122" s="198">
        <f t="shared" si="11"/>
        <v>0</v>
      </c>
      <c r="AR122" s="199">
        <f t="shared" si="11"/>
        <v>0</v>
      </c>
    </row>
    <row r="123" spans="2:44" x14ac:dyDescent="0.2">
      <c r="B123" s="50" t="s">
        <v>205</v>
      </c>
      <c r="C123" s="145" t="str">
        <f>CONCATENATE("Euro/",$C$7)</f>
        <v>Euro/kWh</v>
      </c>
      <c r="D123" s="145"/>
      <c r="E123" s="198">
        <f t="shared" ref="E123:AR123" si="12">E107</f>
        <v>0</v>
      </c>
      <c r="F123" s="198">
        <f t="shared" si="12"/>
        <v>0</v>
      </c>
      <c r="G123" s="198">
        <f t="shared" si="12"/>
        <v>0</v>
      </c>
      <c r="H123" s="198">
        <f t="shared" si="12"/>
        <v>0</v>
      </c>
      <c r="I123" s="198">
        <f t="shared" si="12"/>
        <v>0</v>
      </c>
      <c r="J123" s="198">
        <f t="shared" si="12"/>
        <v>0</v>
      </c>
      <c r="K123" s="198">
        <f t="shared" si="12"/>
        <v>0</v>
      </c>
      <c r="L123" s="198">
        <f t="shared" si="12"/>
        <v>0</v>
      </c>
      <c r="M123" s="198">
        <f t="shared" si="12"/>
        <v>0</v>
      </c>
      <c r="N123" s="198">
        <f t="shared" si="12"/>
        <v>0</v>
      </c>
      <c r="O123" s="198">
        <f t="shared" si="12"/>
        <v>0</v>
      </c>
      <c r="P123" s="198">
        <f t="shared" si="12"/>
        <v>0</v>
      </c>
      <c r="Q123" s="198">
        <f t="shared" si="12"/>
        <v>0</v>
      </c>
      <c r="R123" s="198">
        <f t="shared" si="12"/>
        <v>0</v>
      </c>
      <c r="S123" s="198">
        <f t="shared" si="12"/>
        <v>0</v>
      </c>
      <c r="T123" s="198">
        <f t="shared" si="12"/>
        <v>0</v>
      </c>
      <c r="U123" s="198">
        <f t="shared" si="12"/>
        <v>0</v>
      </c>
      <c r="V123" s="198">
        <f t="shared" si="12"/>
        <v>0</v>
      </c>
      <c r="W123" s="198">
        <f t="shared" si="12"/>
        <v>0</v>
      </c>
      <c r="X123" s="198">
        <f t="shared" si="12"/>
        <v>0</v>
      </c>
      <c r="Y123" s="198">
        <f t="shared" si="12"/>
        <v>0</v>
      </c>
      <c r="Z123" s="198">
        <f t="shared" si="12"/>
        <v>0</v>
      </c>
      <c r="AA123" s="198">
        <f t="shared" si="12"/>
        <v>0</v>
      </c>
      <c r="AB123" s="198">
        <f t="shared" si="12"/>
        <v>0</v>
      </c>
      <c r="AC123" s="198">
        <f t="shared" si="12"/>
        <v>0</v>
      </c>
      <c r="AD123" s="198">
        <f t="shared" si="12"/>
        <v>0</v>
      </c>
      <c r="AE123" s="198">
        <f t="shared" si="12"/>
        <v>0</v>
      </c>
      <c r="AF123" s="198">
        <f t="shared" si="12"/>
        <v>0</v>
      </c>
      <c r="AG123" s="198">
        <f t="shared" si="12"/>
        <v>0</v>
      </c>
      <c r="AH123" s="198">
        <f t="shared" si="12"/>
        <v>0</v>
      </c>
      <c r="AI123" s="198">
        <f t="shared" si="12"/>
        <v>0</v>
      </c>
      <c r="AJ123" s="198">
        <f t="shared" si="12"/>
        <v>0</v>
      </c>
      <c r="AK123" s="198">
        <f t="shared" si="12"/>
        <v>0</v>
      </c>
      <c r="AL123" s="198">
        <f t="shared" si="12"/>
        <v>0</v>
      </c>
      <c r="AM123" s="198">
        <f t="shared" si="12"/>
        <v>0</v>
      </c>
      <c r="AN123" s="198">
        <f t="shared" si="12"/>
        <v>0</v>
      </c>
      <c r="AO123" s="198">
        <f t="shared" si="12"/>
        <v>0</v>
      </c>
      <c r="AP123" s="198">
        <f t="shared" si="12"/>
        <v>0</v>
      </c>
      <c r="AQ123" s="198">
        <f t="shared" si="12"/>
        <v>0</v>
      </c>
      <c r="AR123" s="199">
        <f t="shared" si="12"/>
        <v>0</v>
      </c>
    </row>
    <row r="124" spans="2:44" x14ac:dyDescent="0.2">
      <c r="B124" s="50" t="s">
        <v>28</v>
      </c>
      <c r="C124" s="145" t="str">
        <f>CONCATENATE("Euro/",$C$7)</f>
        <v>Euro/kWh</v>
      </c>
      <c r="D124" s="145"/>
      <c r="E124" s="198">
        <f t="shared" ref="E124:AR124" si="13">E106</f>
        <v>0</v>
      </c>
      <c r="F124" s="198">
        <f t="shared" si="13"/>
        <v>0</v>
      </c>
      <c r="G124" s="198">
        <f t="shared" si="13"/>
        <v>0</v>
      </c>
      <c r="H124" s="198">
        <f t="shared" si="13"/>
        <v>0</v>
      </c>
      <c r="I124" s="198">
        <f t="shared" si="13"/>
        <v>0</v>
      </c>
      <c r="J124" s="198">
        <f t="shared" si="13"/>
        <v>0</v>
      </c>
      <c r="K124" s="198">
        <f t="shared" si="13"/>
        <v>0</v>
      </c>
      <c r="L124" s="198">
        <f t="shared" si="13"/>
        <v>0</v>
      </c>
      <c r="M124" s="198">
        <f t="shared" si="13"/>
        <v>0</v>
      </c>
      <c r="N124" s="198">
        <f t="shared" si="13"/>
        <v>0</v>
      </c>
      <c r="O124" s="198">
        <f t="shared" si="13"/>
        <v>0</v>
      </c>
      <c r="P124" s="198">
        <f t="shared" si="13"/>
        <v>0</v>
      </c>
      <c r="Q124" s="198">
        <f t="shared" si="13"/>
        <v>0</v>
      </c>
      <c r="R124" s="198">
        <f t="shared" si="13"/>
        <v>0</v>
      </c>
      <c r="S124" s="198">
        <f t="shared" si="13"/>
        <v>0</v>
      </c>
      <c r="T124" s="198">
        <f t="shared" si="13"/>
        <v>0</v>
      </c>
      <c r="U124" s="198">
        <f t="shared" si="13"/>
        <v>0</v>
      </c>
      <c r="V124" s="198">
        <f t="shared" si="13"/>
        <v>0</v>
      </c>
      <c r="W124" s="198">
        <f t="shared" si="13"/>
        <v>0</v>
      </c>
      <c r="X124" s="198">
        <f t="shared" si="13"/>
        <v>0</v>
      </c>
      <c r="Y124" s="198">
        <f t="shared" si="13"/>
        <v>0</v>
      </c>
      <c r="Z124" s="198">
        <f t="shared" si="13"/>
        <v>0</v>
      </c>
      <c r="AA124" s="198">
        <f t="shared" si="13"/>
        <v>0</v>
      </c>
      <c r="AB124" s="198">
        <f t="shared" si="13"/>
        <v>0</v>
      </c>
      <c r="AC124" s="198">
        <f t="shared" si="13"/>
        <v>0</v>
      </c>
      <c r="AD124" s="198">
        <f t="shared" si="13"/>
        <v>0</v>
      </c>
      <c r="AE124" s="198">
        <f t="shared" si="13"/>
        <v>0</v>
      </c>
      <c r="AF124" s="198">
        <f t="shared" si="13"/>
        <v>0</v>
      </c>
      <c r="AG124" s="198">
        <f t="shared" si="13"/>
        <v>0</v>
      </c>
      <c r="AH124" s="198">
        <f t="shared" si="13"/>
        <v>0</v>
      </c>
      <c r="AI124" s="198">
        <f t="shared" si="13"/>
        <v>0</v>
      </c>
      <c r="AJ124" s="198">
        <f t="shared" si="13"/>
        <v>0</v>
      </c>
      <c r="AK124" s="198">
        <f t="shared" si="13"/>
        <v>0</v>
      </c>
      <c r="AL124" s="198">
        <f t="shared" si="13"/>
        <v>0</v>
      </c>
      <c r="AM124" s="198">
        <f t="shared" si="13"/>
        <v>0</v>
      </c>
      <c r="AN124" s="198">
        <f t="shared" si="13"/>
        <v>0</v>
      </c>
      <c r="AO124" s="198">
        <f t="shared" si="13"/>
        <v>0</v>
      </c>
      <c r="AP124" s="198">
        <f t="shared" si="13"/>
        <v>0</v>
      </c>
      <c r="AQ124" s="198">
        <f t="shared" si="13"/>
        <v>0</v>
      </c>
      <c r="AR124" s="199">
        <f t="shared" si="13"/>
        <v>0</v>
      </c>
    </row>
    <row r="125" spans="2:44" x14ac:dyDescent="0.2">
      <c r="B125" s="50" t="s">
        <v>206</v>
      </c>
      <c r="C125" s="145" t="s">
        <v>183</v>
      </c>
      <c r="D125" s="145"/>
      <c r="E125" s="194">
        <f t="shared" ref="E125:AR125" si="14">MAX(0,E124-E123)*E117</f>
        <v>0</v>
      </c>
      <c r="F125" s="194">
        <f t="shared" si="14"/>
        <v>0</v>
      </c>
      <c r="G125" s="194">
        <f t="shared" si="14"/>
        <v>0</v>
      </c>
      <c r="H125" s="194">
        <f t="shared" si="14"/>
        <v>0</v>
      </c>
      <c r="I125" s="194">
        <f t="shared" si="14"/>
        <v>0</v>
      </c>
      <c r="J125" s="194">
        <f t="shared" si="14"/>
        <v>0</v>
      </c>
      <c r="K125" s="194">
        <f t="shared" si="14"/>
        <v>0</v>
      </c>
      <c r="L125" s="194">
        <f t="shared" si="14"/>
        <v>0</v>
      </c>
      <c r="M125" s="194">
        <f t="shared" si="14"/>
        <v>0</v>
      </c>
      <c r="N125" s="194">
        <f t="shared" si="14"/>
        <v>0</v>
      </c>
      <c r="O125" s="194">
        <f t="shared" si="14"/>
        <v>0</v>
      </c>
      <c r="P125" s="194">
        <f t="shared" si="14"/>
        <v>0</v>
      </c>
      <c r="Q125" s="194">
        <f t="shared" si="14"/>
        <v>0</v>
      </c>
      <c r="R125" s="194">
        <f t="shared" si="14"/>
        <v>0</v>
      </c>
      <c r="S125" s="194">
        <f t="shared" si="14"/>
        <v>0</v>
      </c>
      <c r="T125" s="194">
        <f t="shared" si="14"/>
        <v>0</v>
      </c>
      <c r="U125" s="194">
        <f t="shared" si="14"/>
        <v>0</v>
      </c>
      <c r="V125" s="194">
        <f t="shared" si="14"/>
        <v>0</v>
      </c>
      <c r="W125" s="194">
        <f t="shared" si="14"/>
        <v>0</v>
      </c>
      <c r="X125" s="194">
        <f t="shared" si="14"/>
        <v>0</v>
      </c>
      <c r="Y125" s="194">
        <f t="shared" si="14"/>
        <v>0</v>
      </c>
      <c r="Z125" s="194">
        <f t="shared" si="14"/>
        <v>0</v>
      </c>
      <c r="AA125" s="194">
        <f t="shared" si="14"/>
        <v>0</v>
      </c>
      <c r="AB125" s="194">
        <f t="shared" si="14"/>
        <v>0</v>
      </c>
      <c r="AC125" s="194">
        <f t="shared" si="14"/>
        <v>0</v>
      </c>
      <c r="AD125" s="194">
        <f t="shared" si="14"/>
        <v>0</v>
      </c>
      <c r="AE125" s="194">
        <f t="shared" si="14"/>
        <v>0</v>
      </c>
      <c r="AF125" s="194">
        <f t="shared" si="14"/>
        <v>0</v>
      </c>
      <c r="AG125" s="194">
        <f t="shared" si="14"/>
        <v>0</v>
      </c>
      <c r="AH125" s="194">
        <f t="shared" si="14"/>
        <v>0</v>
      </c>
      <c r="AI125" s="194">
        <f t="shared" si="14"/>
        <v>0</v>
      </c>
      <c r="AJ125" s="194">
        <f t="shared" si="14"/>
        <v>0</v>
      </c>
      <c r="AK125" s="194">
        <f t="shared" si="14"/>
        <v>0</v>
      </c>
      <c r="AL125" s="194">
        <f t="shared" si="14"/>
        <v>0</v>
      </c>
      <c r="AM125" s="194">
        <f t="shared" si="14"/>
        <v>0</v>
      </c>
      <c r="AN125" s="194">
        <f t="shared" si="14"/>
        <v>0</v>
      </c>
      <c r="AO125" s="194">
        <f t="shared" si="14"/>
        <v>0</v>
      </c>
      <c r="AP125" s="194">
        <f t="shared" si="14"/>
        <v>0</v>
      </c>
      <c r="AQ125" s="194">
        <f t="shared" si="14"/>
        <v>0</v>
      </c>
      <c r="AR125" s="195">
        <f t="shared" si="14"/>
        <v>0</v>
      </c>
    </row>
    <row r="126" spans="2:44" x14ac:dyDescent="0.2">
      <c r="B126" s="50" t="s">
        <v>207</v>
      </c>
      <c r="C126" s="145" t="s">
        <v>183</v>
      </c>
      <c r="D126" s="145"/>
      <c r="E126" s="194">
        <f t="shared" ref="E126:AR126" si="15">IF(E107&gt;0,,E121*E114+E122*SUM(E115:E116))</f>
        <v>0</v>
      </c>
      <c r="F126" s="194">
        <f t="shared" si="15"/>
        <v>0</v>
      </c>
      <c r="G126" s="194">
        <f t="shared" si="15"/>
        <v>0</v>
      </c>
      <c r="H126" s="194">
        <f t="shared" si="15"/>
        <v>0</v>
      </c>
      <c r="I126" s="194">
        <f t="shared" si="15"/>
        <v>0</v>
      </c>
      <c r="J126" s="194">
        <f t="shared" si="15"/>
        <v>0</v>
      </c>
      <c r="K126" s="194">
        <f t="shared" si="15"/>
        <v>0</v>
      </c>
      <c r="L126" s="194">
        <f t="shared" si="15"/>
        <v>0</v>
      </c>
      <c r="M126" s="194">
        <f t="shared" si="15"/>
        <v>0</v>
      </c>
      <c r="N126" s="194">
        <f t="shared" si="15"/>
        <v>0</v>
      </c>
      <c r="O126" s="194">
        <f t="shared" si="15"/>
        <v>0</v>
      </c>
      <c r="P126" s="194">
        <f t="shared" si="15"/>
        <v>0</v>
      </c>
      <c r="Q126" s="194">
        <f t="shared" si="15"/>
        <v>0</v>
      </c>
      <c r="R126" s="194">
        <f t="shared" si="15"/>
        <v>0</v>
      </c>
      <c r="S126" s="194">
        <f t="shared" si="15"/>
        <v>0</v>
      </c>
      <c r="T126" s="194">
        <f t="shared" si="15"/>
        <v>293972524.10184222</v>
      </c>
      <c r="U126" s="194">
        <f t="shared" si="15"/>
        <v>299851974.58387911</v>
      </c>
      <c r="V126" s="194">
        <f t="shared" si="15"/>
        <v>305849014.07555676</v>
      </c>
      <c r="W126" s="194">
        <f t="shared" si="15"/>
        <v>311965994.35706782</v>
      </c>
      <c r="X126" s="194">
        <f t="shared" si="15"/>
        <v>318205314.24420911</v>
      </c>
      <c r="Y126" s="194">
        <f t="shared" si="15"/>
        <v>324569420.52909333</v>
      </c>
      <c r="Z126" s="194">
        <f t="shared" si="15"/>
        <v>331060808.93967521</v>
      </c>
      <c r="AA126" s="194">
        <f t="shared" si="15"/>
        <v>337682025.1184687</v>
      </c>
      <c r="AB126" s="194">
        <f t="shared" si="15"/>
        <v>344435665.62083805</v>
      </c>
      <c r="AC126" s="194">
        <f t="shared" si="15"/>
        <v>351324378.93325484</v>
      </c>
      <c r="AD126" s="194">
        <f t="shared" si="15"/>
        <v>358350866.51191998</v>
      </c>
      <c r="AE126" s="194">
        <f t="shared" si="15"/>
        <v>365517883.84215838</v>
      </c>
      <c r="AF126" s="194">
        <f t="shared" si="15"/>
        <v>372828241.51900148</v>
      </c>
      <c r="AG126" s="194">
        <f t="shared" si="15"/>
        <v>380284806.34938157</v>
      </c>
      <c r="AH126" s="194">
        <f t="shared" si="15"/>
        <v>387890502.47636914</v>
      </c>
      <c r="AI126" s="194">
        <f t="shared" si="15"/>
        <v>395648312.52589655</v>
      </c>
      <c r="AJ126" s="194">
        <f t="shared" si="15"/>
        <v>403561278.77641439</v>
      </c>
      <c r="AK126" s="194">
        <f t="shared" si="15"/>
        <v>411632504.35194278</v>
      </c>
      <c r="AL126" s="194">
        <f t="shared" si="15"/>
        <v>419865154.43898165</v>
      </c>
      <c r="AM126" s="194">
        <f t="shared" si="15"/>
        <v>428262457.52776122</v>
      </c>
      <c r="AN126" s="194">
        <f t="shared" si="15"/>
        <v>0</v>
      </c>
      <c r="AO126" s="194">
        <f t="shared" si="15"/>
        <v>0</v>
      </c>
      <c r="AP126" s="194">
        <f t="shared" si="15"/>
        <v>0</v>
      </c>
      <c r="AQ126" s="194">
        <f t="shared" si="15"/>
        <v>0</v>
      </c>
      <c r="AR126" s="195">
        <f t="shared" si="15"/>
        <v>0</v>
      </c>
    </row>
    <row r="127" spans="2:44" x14ac:dyDescent="0.2">
      <c r="B127" s="50" t="s">
        <v>208</v>
      </c>
      <c r="C127" s="145" t="s">
        <v>183</v>
      </c>
      <c r="D127" s="153"/>
      <c r="E127" s="194">
        <f t="shared" ref="E127:AR127" si="16">E123*E117</f>
        <v>0</v>
      </c>
      <c r="F127" s="194">
        <f t="shared" si="16"/>
        <v>0</v>
      </c>
      <c r="G127" s="194">
        <f t="shared" si="16"/>
        <v>0</v>
      </c>
      <c r="H127" s="194">
        <f t="shared" si="16"/>
        <v>0</v>
      </c>
      <c r="I127" s="194">
        <f t="shared" si="16"/>
        <v>0</v>
      </c>
      <c r="J127" s="194">
        <f t="shared" si="16"/>
        <v>0</v>
      </c>
      <c r="K127" s="194">
        <f t="shared" si="16"/>
        <v>0</v>
      </c>
      <c r="L127" s="194">
        <f t="shared" si="16"/>
        <v>0</v>
      </c>
      <c r="M127" s="194">
        <f t="shared" si="16"/>
        <v>0</v>
      </c>
      <c r="N127" s="194">
        <f t="shared" si="16"/>
        <v>0</v>
      </c>
      <c r="O127" s="194">
        <f t="shared" si="16"/>
        <v>0</v>
      </c>
      <c r="P127" s="194">
        <f t="shared" si="16"/>
        <v>0</v>
      </c>
      <c r="Q127" s="194">
        <f t="shared" si="16"/>
        <v>0</v>
      </c>
      <c r="R127" s="194">
        <f t="shared" si="16"/>
        <v>0</v>
      </c>
      <c r="S127" s="194">
        <f t="shared" si="16"/>
        <v>0</v>
      </c>
      <c r="T127" s="194">
        <f t="shared" si="16"/>
        <v>0</v>
      </c>
      <c r="U127" s="194">
        <f t="shared" si="16"/>
        <v>0</v>
      </c>
      <c r="V127" s="194">
        <f t="shared" si="16"/>
        <v>0</v>
      </c>
      <c r="W127" s="194">
        <f t="shared" si="16"/>
        <v>0</v>
      </c>
      <c r="X127" s="194">
        <f t="shared" si="16"/>
        <v>0</v>
      </c>
      <c r="Y127" s="194">
        <f t="shared" si="16"/>
        <v>0</v>
      </c>
      <c r="Z127" s="194">
        <f t="shared" si="16"/>
        <v>0</v>
      </c>
      <c r="AA127" s="194">
        <f t="shared" si="16"/>
        <v>0</v>
      </c>
      <c r="AB127" s="194">
        <f t="shared" si="16"/>
        <v>0</v>
      </c>
      <c r="AC127" s="194">
        <f t="shared" si="16"/>
        <v>0</v>
      </c>
      <c r="AD127" s="194">
        <f t="shared" si="16"/>
        <v>0</v>
      </c>
      <c r="AE127" s="194">
        <f t="shared" si="16"/>
        <v>0</v>
      </c>
      <c r="AF127" s="194">
        <f t="shared" si="16"/>
        <v>0</v>
      </c>
      <c r="AG127" s="194">
        <f t="shared" si="16"/>
        <v>0</v>
      </c>
      <c r="AH127" s="194">
        <f t="shared" si="16"/>
        <v>0</v>
      </c>
      <c r="AI127" s="194">
        <f t="shared" si="16"/>
        <v>0</v>
      </c>
      <c r="AJ127" s="194">
        <f t="shared" si="16"/>
        <v>0</v>
      </c>
      <c r="AK127" s="194">
        <f t="shared" si="16"/>
        <v>0</v>
      </c>
      <c r="AL127" s="194">
        <f t="shared" si="16"/>
        <v>0</v>
      </c>
      <c r="AM127" s="194">
        <f t="shared" si="16"/>
        <v>0</v>
      </c>
      <c r="AN127" s="194">
        <f t="shared" si="16"/>
        <v>0</v>
      </c>
      <c r="AO127" s="194">
        <f t="shared" si="16"/>
        <v>0</v>
      </c>
      <c r="AP127" s="194">
        <f t="shared" si="16"/>
        <v>0</v>
      </c>
      <c r="AQ127" s="194">
        <f t="shared" si="16"/>
        <v>0</v>
      </c>
      <c r="AR127" s="195">
        <f t="shared" si="16"/>
        <v>0</v>
      </c>
    </row>
    <row r="128" spans="2:44" ht="12.95" customHeight="1" x14ac:dyDescent="0.2">
      <c r="B128" s="157" t="s">
        <v>209</v>
      </c>
      <c r="C128" s="148"/>
      <c r="D128" s="149"/>
      <c r="E128" s="149"/>
      <c r="F128" s="149"/>
      <c r="G128" s="149"/>
      <c r="H128" s="149"/>
      <c r="I128" s="149"/>
      <c r="J128" s="149"/>
      <c r="K128" s="149"/>
      <c r="L128" s="149"/>
      <c r="M128" s="149"/>
      <c r="N128" s="149"/>
      <c r="O128" s="149"/>
      <c r="P128" s="149"/>
      <c r="Q128" s="149"/>
      <c r="R128" s="149"/>
      <c r="S128" s="149"/>
      <c r="T128" s="149"/>
      <c r="U128" s="149"/>
      <c r="V128" s="149"/>
      <c r="W128" s="149"/>
      <c r="X128" s="149"/>
      <c r="Y128" s="149"/>
      <c r="Z128" s="149"/>
      <c r="AA128" s="149"/>
      <c r="AB128" s="149"/>
      <c r="AC128" s="149"/>
      <c r="AD128" s="149"/>
      <c r="AE128" s="149"/>
      <c r="AF128" s="149"/>
      <c r="AG128" s="149"/>
      <c r="AH128" s="149"/>
      <c r="AI128" s="149"/>
      <c r="AJ128" s="149"/>
      <c r="AK128" s="149"/>
      <c r="AL128" s="149"/>
      <c r="AM128" s="149"/>
      <c r="AN128" s="149"/>
      <c r="AO128" s="149"/>
      <c r="AP128" s="149"/>
      <c r="AQ128" s="149"/>
      <c r="AR128" s="160"/>
    </row>
    <row r="129" spans="1:44" x14ac:dyDescent="0.2">
      <c r="B129" s="50" t="s">
        <v>210</v>
      </c>
      <c r="C129" s="145" t="s">
        <v>183</v>
      </c>
      <c r="D129" s="145"/>
      <c r="E129" s="194">
        <f t="shared" ref="E129:AR129" si="17">SUM(E125:E127)</f>
        <v>0</v>
      </c>
      <c r="F129" s="194">
        <f t="shared" si="17"/>
        <v>0</v>
      </c>
      <c r="G129" s="194">
        <f t="shared" si="17"/>
        <v>0</v>
      </c>
      <c r="H129" s="194">
        <f t="shared" si="17"/>
        <v>0</v>
      </c>
      <c r="I129" s="194">
        <f t="shared" si="17"/>
        <v>0</v>
      </c>
      <c r="J129" s="194">
        <f t="shared" si="17"/>
        <v>0</v>
      </c>
      <c r="K129" s="194">
        <f t="shared" si="17"/>
        <v>0</v>
      </c>
      <c r="L129" s="194">
        <f t="shared" si="17"/>
        <v>0</v>
      </c>
      <c r="M129" s="194">
        <f t="shared" si="17"/>
        <v>0</v>
      </c>
      <c r="N129" s="194">
        <f t="shared" si="17"/>
        <v>0</v>
      </c>
      <c r="O129" s="194">
        <f t="shared" si="17"/>
        <v>0</v>
      </c>
      <c r="P129" s="194">
        <f t="shared" si="17"/>
        <v>0</v>
      </c>
      <c r="Q129" s="194">
        <f t="shared" si="17"/>
        <v>0</v>
      </c>
      <c r="R129" s="194">
        <f t="shared" si="17"/>
        <v>0</v>
      </c>
      <c r="S129" s="194">
        <f t="shared" si="17"/>
        <v>0</v>
      </c>
      <c r="T129" s="194">
        <f t="shared" si="17"/>
        <v>293972524.10184222</v>
      </c>
      <c r="U129" s="194">
        <f t="shared" si="17"/>
        <v>299851974.58387911</v>
      </c>
      <c r="V129" s="194">
        <f t="shared" si="17"/>
        <v>305849014.07555676</v>
      </c>
      <c r="W129" s="194">
        <f t="shared" si="17"/>
        <v>311965994.35706782</v>
      </c>
      <c r="X129" s="194">
        <f t="shared" si="17"/>
        <v>318205314.24420911</v>
      </c>
      <c r="Y129" s="194">
        <f t="shared" si="17"/>
        <v>324569420.52909333</v>
      </c>
      <c r="Z129" s="194">
        <f t="shared" si="17"/>
        <v>331060808.93967521</v>
      </c>
      <c r="AA129" s="194">
        <f t="shared" si="17"/>
        <v>337682025.1184687</v>
      </c>
      <c r="AB129" s="194">
        <f t="shared" si="17"/>
        <v>344435665.62083805</v>
      </c>
      <c r="AC129" s="194">
        <f t="shared" si="17"/>
        <v>351324378.93325484</v>
      </c>
      <c r="AD129" s="194">
        <f t="shared" si="17"/>
        <v>358350866.51191998</v>
      </c>
      <c r="AE129" s="194">
        <f t="shared" si="17"/>
        <v>365517883.84215838</v>
      </c>
      <c r="AF129" s="194">
        <f t="shared" si="17"/>
        <v>372828241.51900148</v>
      </c>
      <c r="AG129" s="194">
        <f t="shared" si="17"/>
        <v>380284806.34938157</v>
      </c>
      <c r="AH129" s="194">
        <f t="shared" si="17"/>
        <v>387890502.47636914</v>
      </c>
      <c r="AI129" s="194">
        <f t="shared" si="17"/>
        <v>395648312.52589655</v>
      </c>
      <c r="AJ129" s="194">
        <f t="shared" si="17"/>
        <v>403561278.77641439</v>
      </c>
      <c r="AK129" s="194">
        <f t="shared" si="17"/>
        <v>411632504.35194278</v>
      </c>
      <c r="AL129" s="194">
        <f t="shared" si="17"/>
        <v>419865154.43898165</v>
      </c>
      <c r="AM129" s="194">
        <f t="shared" si="17"/>
        <v>428262457.52776122</v>
      </c>
      <c r="AN129" s="194">
        <f t="shared" si="17"/>
        <v>0</v>
      </c>
      <c r="AO129" s="194">
        <f t="shared" si="17"/>
        <v>0</v>
      </c>
      <c r="AP129" s="194">
        <f t="shared" si="17"/>
        <v>0</v>
      </c>
      <c r="AQ129" s="194">
        <f t="shared" si="17"/>
        <v>0</v>
      </c>
      <c r="AR129" s="195">
        <f t="shared" si="17"/>
        <v>0</v>
      </c>
    </row>
    <row r="130" spans="1:44" x14ac:dyDescent="0.2">
      <c r="B130" s="50" t="s">
        <v>211</v>
      </c>
      <c r="C130" s="145" t="s">
        <v>183</v>
      </c>
      <c r="D130" s="145"/>
      <c r="E130" s="194">
        <f t="shared" ref="E130:AR130" si="18">SUM(E119:E120)</f>
        <v>-88269865.321447998</v>
      </c>
      <c r="F130" s="194">
        <f t="shared" si="18"/>
        <v>-90035262.627876967</v>
      </c>
      <c r="G130" s="194">
        <f t="shared" si="18"/>
        <v>-91835967.880434498</v>
      </c>
      <c r="H130" s="194">
        <f t="shared" si="18"/>
        <v>-93672687.238043174</v>
      </c>
      <c r="I130" s="194">
        <f t="shared" si="18"/>
        <v>-95546140.982804045</v>
      </c>
      <c r="J130" s="194">
        <f t="shared" si="18"/>
        <v>-97457063.802460134</v>
      </c>
      <c r="K130" s="194">
        <f t="shared" si="18"/>
        <v>-99406205.078509346</v>
      </c>
      <c r="L130" s="194">
        <f t="shared" si="18"/>
        <v>-101394329.1800795</v>
      </c>
      <c r="M130" s="194">
        <f t="shared" si="18"/>
        <v>-103422215.7636811</v>
      </c>
      <c r="N130" s="194">
        <f t="shared" si="18"/>
        <v>-105490660.07895473</v>
      </c>
      <c r="O130" s="194">
        <f t="shared" si="18"/>
        <v>-107600473.28053382</v>
      </c>
      <c r="P130" s="194">
        <f t="shared" si="18"/>
        <v>-109752482.74614449</v>
      </c>
      <c r="Q130" s="194">
        <f t="shared" si="18"/>
        <v>-111947532.40106739</v>
      </c>
      <c r="R130" s="194">
        <f t="shared" si="18"/>
        <v>-114186483.04908873</v>
      </c>
      <c r="S130" s="194">
        <f t="shared" si="18"/>
        <v>-116470212.71007052</v>
      </c>
      <c r="T130" s="194">
        <f t="shared" si="18"/>
        <v>-311393376.17845476</v>
      </c>
      <c r="U130" s="194">
        <f t="shared" si="18"/>
        <v>-123372066.43170233</v>
      </c>
      <c r="V130" s="194">
        <f t="shared" si="18"/>
        <v>-125839507.76033638</v>
      </c>
      <c r="W130" s="194">
        <f t="shared" si="18"/>
        <v>-128356297.91554311</v>
      </c>
      <c r="X130" s="194">
        <f t="shared" si="18"/>
        <v>-130923423.87385397</v>
      </c>
      <c r="Y130" s="194">
        <f t="shared" si="18"/>
        <v>-133541892.35133106</v>
      </c>
      <c r="Z130" s="194">
        <f t="shared" si="18"/>
        <v>-136212730.19835767</v>
      </c>
      <c r="AA130" s="194">
        <f t="shared" si="18"/>
        <v>-138936984.80232483</v>
      </c>
      <c r="AB130" s="194">
        <f t="shared" si="18"/>
        <v>-141715724.4983713</v>
      </c>
      <c r="AC130" s="194">
        <f t="shared" si="18"/>
        <v>-144550038.98833874</v>
      </c>
      <c r="AD130" s="194">
        <f t="shared" si="18"/>
        <v>-147441039.76810551</v>
      </c>
      <c r="AE130" s="194">
        <f t="shared" si="18"/>
        <v>-150389860.56346762</v>
      </c>
      <c r="AF130" s="194">
        <f t="shared" si="18"/>
        <v>-153397657.77473694</v>
      </c>
      <c r="AG130" s="194">
        <f t="shared" si="18"/>
        <v>-156465610.93023172</v>
      </c>
      <c r="AH130" s="194">
        <f t="shared" si="18"/>
        <v>-159594923.14883634</v>
      </c>
      <c r="AI130" s="194">
        <f t="shared" si="18"/>
        <v>-162786821.61181307</v>
      </c>
      <c r="AJ130" s="194">
        <f t="shared" si="18"/>
        <v>-166042558.04404929</v>
      </c>
      <c r="AK130" s="194">
        <f t="shared" si="18"/>
        <v>-169363409.20493034</v>
      </c>
      <c r="AL130" s="194">
        <f t="shared" si="18"/>
        <v>-172750677.38902894</v>
      </c>
      <c r="AM130" s="194">
        <f t="shared" si="18"/>
        <v>-176205690.93680951</v>
      </c>
      <c r="AN130" s="194">
        <f t="shared" si="18"/>
        <v>0</v>
      </c>
      <c r="AO130" s="194">
        <f t="shared" si="18"/>
        <v>0</v>
      </c>
      <c r="AP130" s="194">
        <f t="shared" si="18"/>
        <v>0</v>
      </c>
      <c r="AQ130" s="194">
        <f t="shared" si="18"/>
        <v>0</v>
      </c>
      <c r="AR130" s="195">
        <f t="shared" si="18"/>
        <v>0</v>
      </c>
    </row>
    <row r="131" spans="1:44" x14ac:dyDescent="0.2">
      <c r="B131" s="161" t="s">
        <v>212</v>
      </c>
      <c r="C131" s="152" t="s">
        <v>183</v>
      </c>
      <c r="D131" s="154"/>
      <c r="E131" s="200">
        <f t="shared" ref="E131:AR131" si="19">SUM(E129:E130)</f>
        <v>-88269865.321447998</v>
      </c>
      <c r="F131" s="200">
        <f t="shared" si="19"/>
        <v>-90035262.627876967</v>
      </c>
      <c r="G131" s="200">
        <f t="shared" si="19"/>
        <v>-91835967.880434498</v>
      </c>
      <c r="H131" s="200">
        <f t="shared" si="19"/>
        <v>-93672687.238043174</v>
      </c>
      <c r="I131" s="200">
        <f t="shared" si="19"/>
        <v>-95546140.982804045</v>
      </c>
      <c r="J131" s="200">
        <f t="shared" si="19"/>
        <v>-97457063.802460134</v>
      </c>
      <c r="K131" s="200">
        <f t="shared" si="19"/>
        <v>-99406205.078509346</v>
      </c>
      <c r="L131" s="200">
        <f t="shared" si="19"/>
        <v>-101394329.1800795</v>
      </c>
      <c r="M131" s="200">
        <f t="shared" si="19"/>
        <v>-103422215.7636811</v>
      </c>
      <c r="N131" s="200">
        <f t="shared" si="19"/>
        <v>-105490660.07895473</v>
      </c>
      <c r="O131" s="200">
        <f t="shared" si="19"/>
        <v>-107600473.28053382</v>
      </c>
      <c r="P131" s="200">
        <f t="shared" si="19"/>
        <v>-109752482.74614449</v>
      </c>
      <c r="Q131" s="200">
        <f t="shared" si="19"/>
        <v>-111947532.40106739</v>
      </c>
      <c r="R131" s="200">
        <f t="shared" si="19"/>
        <v>-114186483.04908873</v>
      </c>
      <c r="S131" s="200">
        <f t="shared" si="19"/>
        <v>-116470212.71007052</v>
      </c>
      <c r="T131" s="200">
        <f t="shared" si="19"/>
        <v>-17420852.076612532</v>
      </c>
      <c r="U131" s="200">
        <f t="shared" si="19"/>
        <v>176479908.1521768</v>
      </c>
      <c r="V131" s="200">
        <f t="shared" si="19"/>
        <v>180009506.31522036</v>
      </c>
      <c r="W131" s="200">
        <f t="shared" si="19"/>
        <v>183609696.44152471</v>
      </c>
      <c r="X131" s="200">
        <f t="shared" si="19"/>
        <v>187281890.37035513</v>
      </c>
      <c r="Y131" s="200">
        <f t="shared" si="19"/>
        <v>191027528.17776227</v>
      </c>
      <c r="Z131" s="200">
        <f t="shared" si="19"/>
        <v>194848078.74131754</v>
      </c>
      <c r="AA131" s="200">
        <f t="shared" si="19"/>
        <v>198745040.31614387</v>
      </c>
      <c r="AB131" s="200">
        <f t="shared" si="19"/>
        <v>202719941.12246674</v>
      </c>
      <c r="AC131" s="200">
        <f t="shared" si="19"/>
        <v>206774339.9449161</v>
      </c>
      <c r="AD131" s="200">
        <f t="shared" si="19"/>
        <v>210909826.74381447</v>
      </c>
      <c r="AE131" s="200">
        <f t="shared" si="19"/>
        <v>215128023.27869076</v>
      </c>
      <c r="AF131" s="200">
        <f t="shared" si="19"/>
        <v>219430583.74426454</v>
      </c>
      <c r="AG131" s="200">
        <f t="shared" si="19"/>
        <v>223819195.41914985</v>
      </c>
      <c r="AH131" s="200">
        <f t="shared" si="19"/>
        <v>228295579.3275328</v>
      </c>
      <c r="AI131" s="200">
        <f t="shared" si="19"/>
        <v>232861490.91408348</v>
      </c>
      <c r="AJ131" s="200">
        <f t="shared" si="19"/>
        <v>237518720.7323651</v>
      </c>
      <c r="AK131" s="200">
        <f t="shared" si="19"/>
        <v>242269095.14701244</v>
      </c>
      <c r="AL131" s="200">
        <f t="shared" si="19"/>
        <v>247114477.04995272</v>
      </c>
      <c r="AM131" s="200">
        <f t="shared" si="19"/>
        <v>252056766.59095171</v>
      </c>
      <c r="AN131" s="200">
        <f t="shared" si="19"/>
        <v>0</v>
      </c>
      <c r="AO131" s="200">
        <f t="shared" si="19"/>
        <v>0</v>
      </c>
      <c r="AP131" s="200">
        <f t="shared" si="19"/>
        <v>0</v>
      </c>
      <c r="AQ131" s="200">
        <f t="shared" si="19"/>
        <v>0</v>
      </c>
      <c r="AR131" s="201">
        <f t="shared" si="19"/>
        <v>0</v>
      </c>
    </row>
    <row r="132" spans="1:44" ht="12.95" customHeight="1" x14ac:dyDescent="0.2">
      <c r="B132" s="157" t="s">
        <v>213</v>
      </c>
      <c r="C132" s="148"/>
      <c r="D132" s="149"/>
      <c r="E132" s="149"/>
      <c r="F132" s="149"/>
      <c r="G132" s="149"/>
      <c r="H132" s="149"/>
      <c r="I132" s="149"/>
      <c r="J132" s="149"/>
      <c r="K132" s="149"/>
      <c r="L132" s="149"/>
      <c r="M132" s="149"/>
      <c r="N132" s="149"/>
      <c r="O132" s="149"/>
      <c r="P132" s="149"/>
      <c r="Q132" s="149"/>
      <c r="R132" s="149"/>
      <c r="S132" s="149"/>
      <c r="T132" s="149"/>
      <c r="U132" s="149"/>
      <c r="V132" s="149"/>
      <c r="W132" s="149"/>
      <c r="X132" s="149"/>
      <c r="Y132" s="149"/>
      <c r="Z132" s="149"/>
      <c r="AA132" s="149"/>
      <c r="AB132" s="149"/>
      <c r="AC132" s="149"/>
      <c r="AD132" s="149"/>
      <c r="AE132" s="149"/>
      <c r="AF132" s="149"/>
      <c r="AG132" s="149"/>
      <c r="AH132" s="149"/>
      <c r="AI132" s="149"/>
      <c r="AJ132" s="149"/>
      <c r="AK132" s="149"/>
      <c r="AL132" s="149"/>
      <c r="AM132" s="149"/>
      <c r="AN132" s="149"/>
      <c r="AO132" s="149"/>
      <c r="AP132" s="149"/>
      <c r="AQ132" s="149"/>
      <c r="AR132" s="160"/>
    </row>
    <row r="133" spans="1:44" x14ac:dyDescent="0.2">
      <c r="B133" s="50" t="s">
        <v>214</v>
      </c>
      <c r="C133" s="145" t="s">
        <v>183</v>
      </c>
      <c r="D133" s="145"/>
      <c r="E133" s="194">
        <f t="shared" ref="E133:AR133" si="20">IF(E111&gt;$C$75,0,-$C$151/$C$75)</f>
        <v>-150862049.94689795</v>
      </c>
      <c r="F133" s="194">
        <f t="shared" si="20"/>
        <v>-150862049.94689795</v>
      </c>
      <c r="G133" s="194">
        <f t="shared" si="20"/>
        <v>-150862049.94689795</v>
      </c>
      <c r="H133" s="194">
        <f t="shared" si="20"/>
        <v>-150862049.94689795</v>
      </c>
      <c r="I133" s="194">
        <f t="shared" si="20"/>
        <v>-150862049.94689795</v>
      </c>
      <c r="J133" s="194">
        <f t="shared" si="20"/>
        <v>-150862049.94689795</v>
      </c>
      <c r="K133" s="194">
        <f t="shared" si="20"/>
        <v>-150862049.94689795</v>
      </c>
      <c r="L133" s="194">
        <f t="shared" si="20"/>
        <v>-150862049.94689795</v>
      </c>
      <c r="M133" s="194">
        <f t="shared" si="20"/>
        <v>-150862049.94689795</v>
      </c>
      <c r="N133" s="194">
        <f t="shared" si="20"/>
        <v>-150862049.94689795</v>
      </c>
      <c r="O133" s="194">
        <f t="shared" si="20"/>
        <v>-150862049.94689795</v>
      </c>
      <c r="P133" s="194">
        <f t="shared" si="20"/>
        <v>-150862049.94689795</v>
      </c>
      <c r="Q133" s="194">
        <f t="shared" si="20"/>
        <v>-150862049.94689795</v>
      </c>
      <c r="R133" s="194">
        <f t="shared" si="20"/>
        <v>-150862049.94689795</v>
      </c>
      <c r="S133" s="194">
        <f t="shared" si="20"/>
        <v>-150862049.94689795</v>
      </c>
      <c r="T133" s="194">
        <f t="shared" si="20"/>
        <v>-150862049.94689795</v>
      </c>
      <c r="U133" s="194">
        <f t="shared" si="20"/>
        <v>-150862049.94689795</v>
      </c>
      <c r="V133" s="194">
        <f t="shared" si="20"/>
        <v>-150862049.94689795</v>
      </c>
      <c r="W133" s="194">
        <f t="shared" si="20"/>
        <v>-150862049.94689795</v>
      </c>
      <c r="X133" s="194">
        <f t="shared" si="20"/>
        <v>-150862049.94689795</v>
      </c>
      <c r="Y133" s="194">
        <f t="shared" si="20"/>
        <v>0</v>
      </c>
      <c r="Z133" s="194">
        <f t="shared" si="20"/>
        <v>0</v>
      </c>
      <c r="AA133" s="194">
        <f t="shared" si="20"/>
        <v>0</v>
      </c>
      <c r="AB133" s="194">
        <f t="shared" si="20"/>
        <v>0</v>
      </c>
      <c r="AC133" s="194">
        <f t="shared" si="20"/>
        <v>0</v>
      </c>
      <c r="AD133" s="194">
        <f t="shared" si="20"/>
        <v>0</v>
      </c>
      <c r="AE133" s="194">
        <f t="shared" si="20"/>
        <v>0</v>
      </c>
      <c r="AF133" s="194">
        <f t="shared" si="20"/>
        <v>0</v>
      </c>
      <c r="AG133" s="194">
        <f t="shared" si="20"/>
        <v>0</v>
      </c>
      <c r="AH133" s="194">
        <f t="shared" si="20"/>
        <v>0</v>
      </c>
      <c r="AI133" s="194">
        <f t="shared" si="20"/>
        <v>0</v>
      </c>
      <c r="AJ133" s="194">
        <f t="shared" si="20"/>
        <v>0</v>
      </c>
      <c r="AK133" s="194">
        <f t="shared" si="20"/>
        <v>0</v>
      </c>
      <c r="AL133" s="194">
        <f t="shared" si="20"/>
        <v>0</v>
      </c>
      <c r="AM133" s="194">
        <f t="shared" si="20"/>
        <v>0</v>
      </c>
      <c r="AN133" s="194">
        <f t="shared" si="20"/>
        <v>0</v>
      </c>
      <c r="AO133" s="194">
        <f t="shared" si="20"/>
        <v>0</v>
      </c>
      <c r="AP133" s="194">
        <f t="shared" si="20"/>
        <v>0</v>
      </c>
      <c r="AQ133" s="194">
        <f t="shared" si="20"/>
        <v>0</v>
      </c>
      <c r="AR133" s="195">
        <f t="shared" si="20"/>
        <v>0</v>
      </c>
    </row>
    <row r="134" spans="1:44" x14ac:dyDescent="0.2">
      <c r="B134" s="50" t="s">
        <v>215</v>
      </c>
      <c r="C134" s="145" t="s">
        <v>183</v>
      </c>
      <c r="D134" s="145"/>
      <c r="E134" s="194">
        <f t="shared" ref="E134:AR134" si="21">IF(E111&gt;$C$74,0,IPMT($C$90,E111,$C$74,$C$156))</f>
        <v>-101831883.71415612</v>
      </c>
      <c r="F134" s="194">
        <f t="shared" si="21"/>
        <v>-96932364.001167729</v>
      </c>
      <c r="G134" s="194">
        <f t="shared" si="21"/>
        <v>-91812365.901094928</v>
      </c>
      <c r="H134" s="194">
        <f t="shared" si="21"/>
        <v>-86461967.886518806</v>
      </c>
      <c r="I134" s="194">
        <f t="shared" si="21"/>
        <v>-80870801.961286768</v>
      </c>
      <c r="J134" s="194">
        <f t="shared" si="21"/>
        <v>-75028033.569419295</v>
      </c>
      <c r="K134" s="194">
        <f t="shared" si="21"/>
        <v>-68922340.599917769</v>
      </c>
      <c r="L134" s="194">
        <f t="shared" si="21"/>
        <v>-62541891.446788706</v>
      </c>
      <c r="M134" s="194">
        <f t="shared" si="21"/>
        <v>-55874322.081768803</v>
      </c>
      <c r="N134" s="194">
        <f t="shared" si="21"/>
        <v>-48906712.095323011</v>
      </c>
      <c r="O134" s="194">
        <f t="shared" si="21"/>
        <v>-41625559.65948718</v>
      </c>
      <c r="P134" s="194">
        <f t="shared" si="21"/>
        <v>-34016755.364038713</v>
      </c>
      <c r="Q134" s="194">
        <f t="shared" si="21"/>
        <v>-26065554.875295065</v>
      </c>
      <c r="R134" s="194">
        <f t="shared" si="21"/>
        <v>-17756550.364557963</v>
      </c>
      <c r="S134" s="194">
        <f t="shared" si="21"/>
        <v>-9073640.6508376878</v>
      </c>
      <c r="T134" s="194">
        <f t="shared" si="21"/>
        <v>0</v>
      </c>
      <c r="U134" s="194">
        <f t="shared" si="21"/>
        <v>0</v>
      </c>
      <c r="V134" s="194">
        <f t="shared" si="21"/>
        <v>0</v>
      </c>
      <c r="W134" s="194">
        <f t="shared" si="21"/>
        <v>0</v>
      </c>
      <c r="X134" s="194">
        <f t="shared" si="21"/>
        <v>0</v>
      </c>
      <c r="Y134" s="194">
        <f t="shared" si="21"/>
        <v>0</v>
      </c>
      <c r="Z134" s="194">
        <f t="shared" si="21"/>
        <v>0</v>
      </c>
      <c r="AA134" s="194">
        <f t="shared" si="21"/>
        <v>0</v>
      </c>
      <c r="AB134" s="194">
        <f t="shared" si="21"/>
        <v>0</v>
      </c>
      <c r="AC134" s="194">
        <f t="shared" si="21"/>
        <v>0</v>
      </c>
      <c r="AD134" s="194">
        <f t="shared" si="21"/>
        <v>0</v>
      </c>
      <c r="AE134" s="194">
        <f t="shared" si="21"/>
        <v>0</v>
      </c>
      <c r="AF134" s="194">
        <f t="shared" si="21"/>
        <v>0</v>
      </c>
      <c r="AG134" s="194">
        <f t="shared" si="21"/>
        <v>0</v>
      </c>
      <c r="AH134" s="194">
        <f t="shared" si="21"/>
        <v>0</v>
      </c>
      <c r="AI134" s="194">
        <f t="shared" si="21"/>
        <v>0</v>
      </c>
      <c r="AJ134" s="194">
        <f t="shared" si="21"/>
        <v>0</v>
      </c>
      <c r="AK134" s="194">
        <f t="shared" si="21"/>
        <v>0</v>
      </c>
      <c r="AL134" s="194">
        <f t="shared" si="21"/>
        <v>0</v>
      </c>
      <c r="AM134" s="194">
        <f t="shared" si="21"/>
        <v>0</v>
      </c>
      <c r="AN134" s="194">
        <f t="shared" si="21"/>
        <v>0</v>
      </c>
      <c r="AO134" s="194">
        <f t="shared" si="21"/>
        <v>0</v>
      </c>
      <c r="AP134" s="194">
        <f t="shared" si="21"/>
        <v>0</v>
      </c>
      <c r="AQ134" s="194">
        <f t="shared" si="21"/>
        <v>0</v>
      </c>
      <c r="AR134" s="195">
        <f t="shared" si="21"/>
        <v>0</v>
      </c>
    </row>
    <row r="135" spans="1:44" x14ac:dyDescent="0.2">
      <c r="B135" s="50" t="s">
        <v>216</v>
      </c>
      <c r="C135" s="145" t="s">
        <v>183</v>
      </c>
      <c r="D135" s="145"/>
      <c r="E135" s="194">
        <f t="shared" ref="E135:AR135" si="22">IF(E111&gt;$C$74,0,PPMT($C$90,E111,$C$74,$C$156))</f>
        <v>-108878215.84418571</v>
      </c>
      <c r="F135" s="194">
        <f t="shared" si="22"/>
        <v>-113777735.55717407</v>
      </c>
      <c r="G135" s="194">
        <f t="shared" si="22"/>
        <v>-118897733.65724692</v>
      </c>
      <c r="H135" s="194">
        <f t="shared" si="22"/>
        <v>-124248131.67182302</v>
      </c>
      <c r="I135" s="194">
        <f t="shared" si="22"/>
        <v>-129839297.59705506</v>
      </c>
      <c r="J135" s="194">
        <f t="shared" si="22"/>
        <v>-135682065.98892254</v>
      </c>
      <c r="K135" s="194">
        <f t="shared" si="22"/>
        <v>-141787758.95842409</v>
      </c>
      <c r="L135" s="194">
        <f t="shared" si="22"/>
        <v>-148168208.11155313</v>
      </c>
      <c r="M135" s="194">
        <f t="shared" si="22"/>
        <v>-154835777.47657302</v>
      </c>
      <c r="N135" s="194">
        <f t="shared" si="22"/>
        <v>-161803387.4630188</v>
      </c>
      <c r="O135" s="194">
        <f t="shared" si="22"/>
        <v>-169084539.8988547</v>
      </c>
      <c r="P135" s="194">
        <f t="shared" si="22"/>
        <v>-176693344.19430315</v>
      </c>
      <c r="Q135" s="194">
        <f t="shared" si="22"/>
        <v>-184644544.68304676</v>
      </c>
      <c r="R135" s="194">
        <f t="shared" si="22"/>
        <v>-192953549.19378391</v>
      </c>
      <c r="S135" s="194">
        <f t="shared" si="22"/>
        <v>-201636458.90750417</v>
      </c>
      <c r="T135" s="194">
        <f t="shared" si="22"/>
        <v>0</v>
      </c>
      <c r="U135" s="194">
        <f t="shared" si="22"/>
        <v>0</v>
      </c>
      <c r="V135" s="194">
        <f t="shared" si="22"/>
        <v>0</v>
      </c>
      <c r="W135" s="194">
        <f t="shared" si="22"/>
        <v>0</v>
      </c>
      <c r="X135" s="194">
        <f t="shared" si="22"/>
        <v>0</v>
      </c>
      <c r="Y135" s="194">
        <f t="shared" si="22"/>
        <v>0</v>
      </c>
      <c r="Z135" s="194">
        <f t="shared" si="22"/>
        <v>0</v>
      </c>
      <c r="AA135" s="194">
        <f t="shared" si="22"/>
        <v>0</v>
      </c>
      <c r="AB135" s="194">
        <f t="shared" si="22"/>
        <v>0</v>
      </c>
      <c r="AC135" s="194">
        <f t="shared" si="22"/>
        <v>0</v>
      </c>
      <c r="AD135" s="194">
        <f t="shared" si="22"/>
        <v>0</v>
      </c>
      <c r="AE135" s="194">
        <f t="shared" si="22"/>
        <v>0</v>
      </c>
      <c r="AF135" s="194">
        <f t="shared" si="22"/>
        <v>0</v>
      </c>
      <c r="AG135" s="194">
        <f t="shared" si="22"/>
        <v>0</v>
      </c>
      <c r="AH135" s="194">
        <f t="shared" si="22"/>
        <v>0</v>
      </c>
      <c r="AI135" s="194">
        <f t="shared" si="22"/>
        <v>0</v>
      </c>
      <c r="AJ135" s="194">
        <f t="shared" si="22"/>
        <v>0</v>
      </c>
      <c r="AK135" s="194">
        <f t="shared" si="22"/>
        <v>0</v>
      </c>
      <c r="AL135" s="194">
        <f t="shared" si="22"/>
        <v>0</v>
      </c>
      <c r="AM135" s="194">
        <f t="shared" si="22"/>
        <v>0</v>
      </c>
      <c r="AN135" s="194">
        <f t="shared" si="22"/>
        <v>0</v>
      </c>
      <c r="AO135" s="194">
        <f t="shared" si="22"/>
        <v>0</v>
      </c>
      <c r="AP135" s="194">
        <f t="shared" si="22"/>
        <v>0</v>
      </c>
      <c r="AQ135" s="194">
        <f t="shared" si="22"/>
        <v>0</v>
      </c>
      <c r="AR135" s="195">
        <f t="shared" si="22"/>
        <v>0</v>
      </c>
    </row>
    <row r="136" spans="1:44" s="33" customFormat="1" ht="12.95" customHeight="1" x14ac:dyDescent="0.2">
      <c r="A136" s="244"/>
      <c r="B136" s="161" t="s">
        <v>217</v>
      </c>
      <c r="C136" s="152" t="s">
        <v>183</v>
      </c>
      <c r="D136" s="152"/>
      <c r="E136" s="200">
        <f t="shared" ref="E136:AR136" si="23">SUM(E134,E135)</f>
        <v>-210710099.55834183</v>
      </c>
      <c r="F136" s="200">
        <f t="shared" si="23"/>
        <v>-210710099.5583418</v>
      </c>
      <c r="G136" s="200">
        <f t="shared" si="23"/>
        <v>-210710099.55834186</v>
      </c>
      <c r="H136" s="200">
        <f t="shared" si="23"/>
        <v>-210710099.55834183</v>
      </c>
      <c r="I136" s="200">
        <f t="shared" si="23"/>
        <v>-210710099.55834183</v>
      </c>
      <c r="J136" s="200">
        <f t="shared" si="23"/>
        <v>-210710099.55834183</v>
      </c>
      <c r="K136" s="200">
        <f t="shared" si="23"/>
        <v>-210710099.55834186</v>
      </c>
      <c r="L136" s="200">
        <f t="shared" si="23"/>
        <v>-210710099.55834183</v>
      </c>
      <c r="M136" s="200">
        <f t="shared" si="23"/>
        <v>-210710099.55834183</v>
      </c>
      <c r="N136" s="200">
        <f t="shared" si="23"/>
        <v>-210710099.5583418</v>
      </c>
      <c r="O136" s="200">
        <f t="shared" si="23"/>
        <v>-210710099.55834189</v>
      </c>
      <c r="P136" s="200">
        <f t="shared" si="23"/>
        <v>-210710099.55834186</v>
      </c>
      <c r="Q136" s="200">
        <f t="shared" si="23"/>
        <v>-210710099.55834183</v>
      </c>
      <c r="R136" s="200">
        <f t="shared" si="23"/>
        <v>-210710099.55834186</v>
      </c>
      <c r="S136" s="200">
        <f t="shared" si="23"/>
        <v>-210710099.55834186</v>
      </c>
      <c r="T136" s="200">
        <f t="shared" si="23"/>
        <v>0</v>
      </c>
      <c r="U136" s="200">
        <f t="shared" si="23"/>
        <v>0</v>
      </c>
      <c r="V136" s="200">
        <f t="shared" si="23"/>
        <v>0</v>
      </c>
      <c r="W136" s="200">
        <f t="shared" si="23"/>
        <v>0</v>
      </c>
      <c r="X136" s="200">
        <f t="shared" si="23"/>
        <v>0</v>
      </c>
      <c r="Y136" s="200">
        <f t="shared" si="23"/>
        <v>0</v>
      </c>
      <c r="Z136" s="200">
        <f t="shared" si="23"/>
        <v>0</v>
      </c>
      <c r="AA136" s="200">
        <f t="shared" si="23"/>
        <v>0</v>
      </c>
      <c r="AB136" s="200">
        <f t="shared" si="23"/>
        <v>0</v>
      </c>
      <c r="AC136" s="200">
        <f t="shared" si="23"/>
        <v>0</v>
      </c>
      <c r="AD136" s="200">
        <f t="shared" si="23"/>
        <v>0</v>
      </c>
      <c r="AE136" s="200">
        <f t="shared" si="23"/>
        <v>0</v>
      </c>
      <c r="AF136" s="200">
        <f t="shared" si="23"/>
        <v>0</v>
      </c>
      <c r="AG136" s="200">
        <f t="shared" si="23"/>
        <v>0</v>
      </c>
      <c r="AH136" s="200">
        <f t="shared" si="23"/>
        <v>0</v>
      </c>
      <c r="AI136" s="200">
        <f t="shared" si="23"/>
        <v>0</v>
      </c>
      <c r="AJ136" s="200">
        <f t="shared" si="23"/>
        <v>0</v>
      </c>
      <c r="AK136" s="200">
        <f t="shared" si="23"/>
        <v>0</v>
      </c>
      <c r="AL136" s="200">
        <f t="shared" si="23"/>
        <v>0</v>
      </c>
      <c r="AM136" s="200">
        <f t="shared" si="23"/>
        <v>0</v>
      </c>
      <c r="AN136" s="200">
        <f t="shared" si="23"/>
        <v>0</v>
      </c>
      <c r="AO136" s="200">
        <f t="shared" si="23"/>
        <v>0</v>
      </c>
      <c r="AP136" s="200">
        <f t="shared" si="23"/>
        <v>0</v>
      </c>
      <c r="AQ136" s="200">
        <f t="shared" si="23"/>
        <v>0</v>
      </c>
      <c r="AR136" s="201">
        <f t="shared" si="23"/>
        <v>0</v>
      </c>
    </row>
    <row r="137" spans="1:44" ht="12.95" customHeight="1" x14ac:dyDescent="0.2">
      <c r="B137" s="157" t="s">
        <v>218</v>
      </c>
      <c r="C137" s="148"/>
      <c r="D137" s="149"/>
      <c r="E137" s="149"/>
      <c r="F137" s="149"/>
      <c r="G137" s="149"/>
      <c r="H137" s="149"/>
      <c r="I137" s="149"/>
      <c r="J137" s="149"/>
      <c r="K137" s="149"/>
      <c r="L137" s="149"/>
      <c r="M137" s="149"/>
      <c r="N137" s="149"/>
      <c r="O137" s="149"/>
      <c r="P137" s="149"/>
      <c r="Q137" s="149"/>
      <c r="R137" s="149"/>
      <c r="S137" s="149"/>
      <c r="T137" s="149"/>
      <c r="U137" s="149"/>
      <c r="V137" s="149"/>
      <c r="W137" s="149"/>
      <c r="X137" s="149"/>
      <c r="Y137" s="149"/>
      <c r="Z137" s="149"/>
      <c r="AA137" s="149"/>
      <c r="AB137" s="149"/>
      <c r="AC137" s="149"/>
      <c r="AD137" s="149"/>
      <c r="AE137" s="149"/>
      <c r="AF137" s="149"/>
      <c r="AG137" s="149"/>
      <c r="AH137" s="149"/>
      <c r="AI137" s="149"/>
      <c r="AJ137" s="149"/>
      <c r="AK137" s="149"/>
      <c r="AL137" s="149"/>
      <c r="AM137" s="149"/>
      <c r="AN137" s="149"/>
      <c r="AO137" s="149"/>
      <c r="AP137" s="149"/>
      <c r="AQ137" s="149"/>
      <c r="AR137" s="160"/>
    </row>
    <row r="138" spans="1:44" x14ac:dyDescent="0.2">
      <c r="B138" s="50" t="s">
        <v>219</v>
      </c>
      <c r="C138" s="145" t="s">
        <v>183</v>
      </c>
      <c r="D138" s="145"/>
      <c r="E138" s="194">
        <f t="shared" ref="E138:AR138" si="24">E131+E133+E134</f>
        <v>-340963798.9825021</v>
      </c>
      <c r="F138" s="194">
        <f t="shared" si="24"/>
        <v>-337829676.57594264</v>
      </c>
      <c r="G138" s="194">
        <f t="shared" si="24"/>
        <v>-334510383.72842735</v>
      </c>
      <c r="H138" s="194">
        <f t="shared" si="24"/>
        <v>-330996705.07145989</v>
      </c>
      <c r="I138" s="194">
        <f t="shared" si="24"/>
        <v>-327278992.89098877</v>
      </c>
      <c r="J138" s="194">
        <f t="shared" si="24"/>
        <v>-323347147.31877738</v>
      </c>
      <c r="K138" s="194">
        <f t="shared" si="24"/>
        <v>-319190595.62532508</v>
      </c>
      <c r="L138" s="194">
        <f t="shared" si="24"/>
        <v>-314798270.57376617</v>
      </c>
      <c r="M138" s="194">
        <f t="shared" si="24"/>
        <v>-310158587.79234785</v>
      </c>
      <c r="N138" s="194">
        <f t="shared" si="24"/>
        <v>-305259422.12117571</v>
      </c>
      <c r="O138" s="194">
        <f t="shared" si="24"/>
        <v>-300088082.88691896</v>
      </c>
      <c r="P138" s="194">
        <f t="shared" si="24"/>
        <v>-294631288.05708116</v>
      </c>
      <c r="Q138" s="194">
        <f t="shared" si="24"/>
        <v>-288875137.2232604</v>
      </c>
      <c r="R138" s="194">
        <f t="shared" si="24"/>
        <v>-282805083.36054468</v>
      </c>
      <c r="S138" s="194">
        <f t="shared" si="24"/>
        <v>-276405903.30780613</v>
      </c>
      <c r="T138" s="194">
        <f t="shared" si="24"/>
        <v>-168282902.02351049</v>
      </c>
      <c r="U138" s="194">
        <f t="shared" si="24"/>
        <v>25617858.205278844</v>
      </c>
      <c r="V138" s="194">
        <f t="shared" si="24"/>
        <v>29147456.368322402</v>
      </c>
      <c r="W138" s="194">
        <f t="shared" si="24"/>
        <v>32747646.49462676</v>
      </c>
      <c r="X138" s="194">
        <f t="shared" si="24"/>
        <v>36419840.423457175</v>
      </c>
      <c r="Y138" s="194">
        <f t="shared" si="24"/>
        <v>191027528.17776227</v>
      </c>
      <c r="Z138" s="194">
        <f t="shared" si="24"/>
        <v>194848078.74131754</v>
      </c>
      <c r="AA138" s="194">
        <f t="shared" si="24"/>
        <v>198745040.31614387</v>
      </c>
      <c r="AB138" s="194">
        <f t="shared" si="24"/>
        <v>202719941.12246674</v>
      </c>
      <c r="AC138" s="194">
        <f t="shared" si="24"/>
        <v>206774339.9449161</v>
      </c>
      <c r="AD138" s="194">
        <f t="shared" si="24"/>
        <v>210909826.74381447</v>
      </c>
      <c r="AE138" s="194">
        <f t="shared" si="24"/>
        <v>215128023.27869076</v>
      </c>
      <c r="AF138" s="194">
        <f t="shared" si="24"/>
        <v>219430583.74426454</v>
      </c>
      <c r="AG138" s="194">
        <f t="shared" si="24"/>
        <v>223819195.41914985</v>
      </c>
      <c r="AH138" s="194">
        <f t="shared" si="24"/>
        <v>228295579.3275328</v>
      </c>
      <c r="AI138" s="194">
        <f t="shared" si="24"/>
        <v>232861490.91408348</v>
      </c>
      <c r="AJ138" s="194">
        <f t="shared" si="24"/>
        <v>237518720.7323651</v>
      </c>
      <c r="AK138" s="194">
        <f t="shared" si="24"/>
        <v>242269095.14701244</v>
      </c>
      <c r="AL138" s="194">
        <f t="shared" si="24"/>
        <v>247114477.04995272</v>
      </c>
      <c r="AM138" s="194">
        <f t="shared" si="24"/>
        <v>252056766.59095171</v>
      </c>
      <c r="AN138" s="194">
        <f t="shared" si="24"/>
        <v>0</v>
      </c>
      <c r="AO138" s="194">
        <f t="shared" si="24"/>
        <v>0</v>
      </c>
      <c r="AP138" s="194">
        <f t="shared" si="24"/>
        <v>0</v>
      </c>
      <c r="AQ138" s="194">
        <f t="shared" si="24"/>
        <v>0</v>
      </c>
      <c r="AR138" s="195">
        <f t="shared" si="24"/>
        <v>0</v>
      </c>
    </row>
    <row r="139" spans="1:44" x14ac:dyDescent="0.2">
      <c r="B139" s="50" t="s">
        <v>220</v>
      </c>
      <c r="C139" s="145" t="s">
        <v>183</v>
      </c>
      <c r="D139" s="145"/>
      <c r="E139" s="194">
        <f t="shared" ref="E139:AR139" si="25">-$C$94*E138</f>
        <v>87968660.137485549</v>
      </c>
      <c r="F139" s="194">
        <f t="shared" si="25"/>
        <v>87160056.55659321</v>
      </c>
      <c r="G139" s="194">
        <f t="shared" si="25"/>
        <v>86303679.00193426</v>
      </c>
      <c r="H139" s="194">
        <f t="shared" si="25"/>
        <v>85397149.908436656</v>
      </c>
      <c r="I139" s="194">
        <f t="shared" si="25"/>
        <v>84437980.165875107</v>
      </c>
      <c r="J139" s="194">
        <f t="shared" si="25"/>
        <v>83423564.008244574</v>
      </c>
      <c r="K139" s="194">
        <f t="shared" si="25"/>
        <v>82351173.671333879</v>
      </c>
      <c r="L139" s="194">
        <f t="shared" si="25"/>
        <v>81217953.808031678</v>
      </c>
      <c r="M139" s="194">
        <f t="shared" si="25"/>
        <v>80020915.650425747</v>
      </c>
      <c r="N139" s="194">
        <f t="shared" si="25"/>
        <v>78756930.907263339</v>
      </c>
      <c r="O139" s="194">
        <f t="shared" si="25"/>
        <v>77422725.384825096</v>
      </c>
      <c r="P139" s="194">
        <f t="shared" si="25"/>
        <v>76014872.318726942</v>
      </c>
      <c r="Q139" s="194">
        <f t="shared" si="25"/>
        <v>74529785.403601184</v>
      </c>
      <c r="R139" s="194">
        <f t="shared" si="25"/>
        <v>72963711.507020533</v>
      </c>
      <c r="S139" s="194">
        <f t="shared" si="25"/>
        <v>71312723.053413987</v>
      </c>
      <c r="T139" s="194">
        <f t="shared" si="25"/>
        <v>43416988.72206571</v>
      </c>
      <c r="U139" s="194">
        <f t="shared" si="25"/>
        <v>-6609407.4169619419</v>
      </c>
      <c r="V139" s="194">
        <f t="shared" si="25"/>
        <v>-7520043.7430271804</v>
      </c>
      <c r="W139" s="194">
        <f t="shared" si="25"/>
        <v>-8448892.7956137042</v>
      </c>
      <c r="X139" s="194">
        <f t="shared" si="25"/>
        <v>-9396318.8292519506</v>
      </c>
      <c r="Y139" s="194">
        <f t="shared" si="25"/>
        <v>-49285102.269862667</v>
      </c>
      <c r="Z139" s="194">
        <f t="shared" si="25"/>
        <v>-50270804.315259926</v>
      </c>
      <c r="AA139" s="194">
        <f t="shared" si="25"/>
        <v>-51276220.40156512</v>
      </c>
      <c r="AB139" s="194">
        <f t="shared" si="25"/>
        <v>-52301744.809596419</v>
      </c>
      <c r="AC139" s="194">
        <f t="shared" si="25"/>
        <v>-53347779.705788352</v>
      </c>
      <c r="AD139" s="194">
        <f t="shared" si="25"/>
        <v>-54414735.299904138</v>
      </c>
      <c r="AE139" s="194">
        <f t="shared" si="25"/>
        <v>-55503030.005902216</v>
      </c>
      <c r="AF139" s="194">
        <f t="shared" si="25"/>
        <v>-56613090.606020257</v>
      </c>
      <c r="AG139" s="194">
        <f t="shared" si="25"/>
        <v>-57745352.418140665</v>
      </c>
      <c r="AH139" s="194">
        <f t="shared" si="25"/>
        <v>-58900259.466503464</v>
      </c>
      <c r="AI139" s="194">
        <f t="shared" si="25"/>
        <v>-60078264.655833542</v>
      </c>
      <c r="AJ139" s="194">
        <f t="shared" si="25"/>
        <v>-61279829.948950201</v>
      </c>
      <c r="AK139" s="194">
        <f t="shared" si="25"/>
        <v>-62505426.547929212</v>
      </c>
      <c r="AL139" s="194">
        <f t="shared" si="25"/>
        <v>-63755535.078887805</v>
      </c>
      <c r="AM139" s="194">
        <f t="shared" si="25"/>
        <v>-65030645.780465543</v>
      </c>
      <c r="AN139" s="194">
        <f t="shared" si="25"/>
        <v>0</v>
      </c>
      <c r="AO139" s="194">
        <f t="shared" si="25"/>
        <v>0</v>
      </c>
      <c r="AP139" s="194">
        <f t="shared" si="25"/>
        <v>0</v>
      </c>
      <c r="AQ139" s="194">
        <f t="shared" si="25"/>
        <v>0</v>
      </c>
      <c r="AR139" s="195">
        <f t="shared" si="25"/>
        <v>0</v>
      </c>
    </row>
    <row r="140" spans="1:44" ht="12.95" customHeight="1" x14ac:dyDescent="0.2">
      <c r="B140" s="157" t="s">
        <v>221</v>
      </c>
      <c r="C140" s="148"/>
      <c r="D140" s="149"/>
      <c r="E140" s="149"/>
      <c r="F140" s="149"/>
      <c r="G140" s="149"/>
      <c r="H140" s="149"/>
      <c r="I140" s="149"/>
      <c r="J140" s="149"/>
      <c r="K140" s="149"/>
      <c r="L140" s="149"/>
      <c r="M140" s="149"/>
      <c r="N140" s="149"/>
      <c r="O140" s="149"/>
      <c r="P140" s="149"/>
      <c r="Q140" s="149"/>
      <c r="R140" s="149"/>
      <c r="S140" s="149"/>
      <c r="T140" s="149"/>
      <c r="U140" s="149"/>
      <c r="V140" s="149"/>
      <c r="W140" s="149"/>
      <c r="X140" s="149"/>
      <c r="Y140" s="149"/>
      <c r="Z140" s="149"/>
      <c r="AA140" s="149"/>
      <c r="AB140" s="149"/>
      <c r="AC140" s="149"/>
      <c r="AD140" s="149"/>
      <c r="AE140" s="149"/>
      <c r="AF140" s="149"/>
      <c r="AG140" s="149"/>
      <c r="AH140" s="149"/>
      <c r="AI140" s="149"/>
      <c r="AJ140" s="149"/>
      <c r="AK140" s="149"/>
      <c r="AL140" s="149"/>
      <c r="AM140" s="149"/>
      <c r="AN140" s="149"/>
      <c r="AO140" s="149"/>
      <c r="AP140" s="149"/>
      <c r="AQ140" s="149"/>
      <c r="AR140" s="160"/>
    </row>
    <row r="141" spans="1:44" x14ac:dyDescent="0.2">
      <c r="B141" s="161" t="s">
        <v>222</v>
      </c>
      <c r="C141" s="152" t="s">
        <v>183</v>
      </c>
      <c r="D141" s="152"/>
      <c r="E141" s="200">
        <f t="shared" ref="E141:AR141" si="26">E131+E136+E139</f>
        <v>-211011304.74230427</v>
      </c>
      <c r="F141" s="200">
        <f t="shared" si="26"/>
        <v>-213585305.62962553</v>
      </c>
      <c r="G141" s="200">
        <f t="shared" si="26"/>
        <v>-216242388.43684211</v>
      </c>
      <c r="H141" s="200">
        <f t="shared" si="26"/>
        <v>-218985636.88794833</v>
      </c>
      <c r="I141" s="200">
        <f t="shared" si="26"/>
        <v>-221818260.37527075</v>
      </c>
      <c r="J141" s="200">
        <f t="shared" si="26"/>
        <v>-224743599.35255736</v>
      </c>
      <c r="K141" s="200">
        <f t="shared" si="26"/>
        <v>-227765130.96551731</v>
      </c>
      <c r="L141" s="200">
        <f t="shared" si="26"/>
        <v>-230886474.93038964</v>
      </c>
      <c r="M141" s="200">
        <f t="shared" si="26"/>
        <v>-234111399.67159718</v>
      </c>
      <c r="N141" s="200">
        <f t="shared" si="26"/>
        <v>-237443828.73003322</v>
      </c>
      <c r="O141" s="200">
        <f t="shared" si="26"/>
        <v>-240887847.4540506</v>
      </c>
      <c r="P141" s="200">
        <f t="shared" si="26"/>
        <v>-244447709.98575938</v>
      </c>
      <c r="Q141" s="200">
        <f t="shared" si="26"/>
        <v>-248127846.55580807</v>
      </c>
      <c r="R141" s="200">
        <f t="shared" si="26"/>
        <v>-251932871.10041004</v>
      </c>
      <c r="S141" s="200">
        <f t="shared" si="26"/>
        <v>-255867589.21499836</v>
      </c>
      <c r="T141" s="200">
        <f t="shared" si="26"/>
        <v>25996136.645453177</v>
      </c>
      <c r="U141" s="200">
        <f t="shared" si="26"/>
        <v>169870500.73521486</v>
      </c>
      <c r="V141" s="200">
        <f t="shared" si="26"/>
        <v>172489462.57219318</v>
      </c>
      <c r="W141" s="200">
        <f t="shared" si="26"/>
        <v>175160803.64591101</v>
      </c>
      <c r="X141" s="200">
        <f t="shared" si="26"/>
        <v>177885571.54110318</v>
      </c>
      <c r="Y141" s="200">
        <f t="shared" si="26"/>
        <v>141742425.90789962</v>
      </c>
      <c r="Z141" s="200">
        <f t="shared" si="26"/>
        <v>144577274.42605761</v>
      </c>
      <c r="AA141" s="200">
        <f t="shared" si="26"/>
        <v>147468819.91457874</v>
      </c>
      <c r="AB141" s="200">
        <f t="shared" si="26"/>
        <v>150418196.31287032</v>
      </c>
      <c r="AC141" s="200">
        <f t="shared" si="26"/>
        <v>153426560.23912776</v>
      </c>
      <c r="AD141" s="200">
        <f t="shared" si="26"/>
        <v>156495091.44391033</v>
      </c>
      <c r="AE141" s="200">
        <f t="shared" si="26"/>
        <v>159624993.27278852</v>
      </c>
      <c r="AF141" s="200">
        <f t="shared" si="26"/>
        <v>162817493.13824427</v>
      </c>
      <c r="AG141" s="200">
        <f t="shared" si="26"/>
        <v>166073843.00100917</v>
      </c>
      <c r="AH141" s="200">
        <f t="shared" si="26"/>
        <v>169395319.86102933</v>
      </c>
      <c r="AI141" s="200">
        <f t="shared" si="26"/>
        <v>172783226.25824994</v>
      </c>
      <c r="AJ141" s="200">
        <f t="shared" si="26"/>
        <v>176238890.7834149</v>
      </c>
      <c r="AK141" s="200">
        <f t="shared" si="26"/>
        <v>179763668.59908324</v>
      </c>
      <c r="AL141" s="200">
        <f t="shared" si="26"/>
        <v>183358941.97106493</v>
      </c>
      <c r="AM141" s="200">
        <f t="shared" si="26"/>
        <v>187026120.81048617</v>
      </c>
      <c r="AN141" s="200">
        <f t="shared" si="26"/>
        <v>0</v>
      </c>
      <c r="AO141" s="200">
        <f t="shared" si="26"/>
        <v>0</v>
      </c>
      <c r="AP141" s="200">
        <f t="shared" si="26"/>
        <v>0</v>
      </c>
      <c r="AQ141" s="200">
        <f t="shared" si="26"/>
        <v>0</v>
      </c>
      <c r="AR141" s="201">
        <f t="shared" si="26"/>
        <v>0</v>
      </c>
    </row>
    <row r="142" spans="1:44" x14ac:dyDescent="0.2">
      <c r="B142" s="50" t="s">
        <v>223</v>
      </c>
      <c r="C142" s="145" t="s">
        <v>183</v>
      </c>
      <c r="D142" s="153">
        <f>-SUM(C156:C157)</f>
        <v>-3017240998.9379592</v>
      </c>
      <c r="E142" s="194">
        <f t="shared" ref="E142:AR142" si="27">E131+E139</f>
        <v>-301205.18396244943</v>
      </c>
      <c r="F142" s="194">
        <f t="shared" si="27"/>
        <v>-2875206.0712837577</v>
      </c>
      <c r="G142" s="194">
        <f t="shared" si="27"/>
        <v>-5532288.8785002381</v>
      </c>
      <c r="H142" s="194">
        <f t="shared" si="27"/>
        <v>-8275537.3296065181</v>
      </c>
      <c r="I142" s="194">
        <f t="shared" si="27"/>
        <v>-11108160.816928938</v>
      </c>
      <c r="J142" s="194">
        <f t="shared" si="27"/>
        <v>-14033499.79421556</v>
      </c>
      <c r="K142" s="194">
        <f t="shared" si="27"/>
        <v>-17055031.407175466</v>
      </c>
      <c r="L142" s="194">
        <f t="shared" si="27"/>
        <v>-20176375.372047827</v>
      </c>
      <c r="M142" s="194">
        <f t="shared" si="27"/>
        <v>-23401300.113255352</v>
      </c>
      <c r="N142" s="194">
        <f t="shared" si="27"/>
        <v>-26733729.171691388</v>
      </c>
      <c r="O142" s="194">
        <f t="shared" si="27"/>
        <v>-30177747.895708725</v>
      </c>
      <c r="P142" s="194">
        <f t="shared" si="27"/>
        <v>-33737610.427417547</v>
      </c>
      <c r="Q142" s="194">
        <f t="shared" si="27"/>
        <v>-37417746.997466207</v>
      </c>
      <c r="R142" s="194">
        <f t="shared" si="27"/>
        <v>-41222771.542068198</v>
      </c>
      <c r="S142" s="194">
        <f t="shared" si="27"/>
        <v>-45157489.656656533</v>
      </c>
      <c r="T142" s="194">
        <f t="shared" si="27"/>
        <v>25996136.645453177</v>
      </c>
      <c r="U142" s="194">
        <f t="shared" si="27"/>
        <v>169870500.73521486</v>
      </c>
      <c r="V142" s="194">
        <f t="shared" si="27"/>
        <v>172489462.57219318</v>
      </c>
      <c r="W142" s="194">
        <f t="shared" si="27"/>
        <v>175160803.64591101</v>
      </c>
      <c r="X142" s="194">
        <f t="shared" si="27"/>
        <v>177885571.54110318</v>
      </c>
      <c r="Y142" s="194">
        <f t="shared" si="27"/>
        <v>141742425.90789962</v>
      </c>
      <c r="Z142" s="194">
        <f t="shared" si="27"/>
        <v>144577274.42605761</v>
      </c>
      <c r="AA142" s="194">
        <f t="shared" si="27"/>
        <v>147468819.91457874</v>
      </c>
      <c r="AB142" s="194">
        <f t="shared" si="27"/>
        <v>150418196.31287032</v>
      </c>
      <c r="AC142" s="194">
        <f t="shared" si="27"/>
        <v>153426560.23912776</v>
      </c>
      <c r="AD142" s="194">
        <f t="shared" si="27"/>
        <v>156495091.44391033</v>
      </c>
      <c r="AE142" s="194">
        <f t="shared" si="27"/>
        <v>159624993.27278852</v>
      </c>
      <c r="AF142" s="194">
        <f t="shared" si="27"/>
        <v>162817493.13824427</v>
      </c>
      <c r="AG142" s="194">
        <f t="shared" si="27"/>
        <v>166073843.00100917</v>
      </c>
      <c r="AH142" s="194">
        <f t="shared" si="27"/>
        <v>169395319.86102933</v>
      </c>
      <c r="AI142" s="194">
        <f t="shared" si="27"/>
        <v>172783226.25824994</v>
      </c>
      <c r="AJ142" s="194">
        <f t="shared" si="27"/>
        <v>176238890.7834149</v>
      </c>
      <c r="AK142" s="194">
        <f t="shared" si="27"/>
        <v>179763668.59908324</v>
      </c>
      <c r="AL142" s="194">
        <f t="shared" si="27"/>
        <v>183358941.97106493</v>
      </c>
      <c r="AM142" s="194">
        <f t="shared" si="27"/>
        <v>187026120.81048617</v>
      </c>
      <c r="AN142" s="194">
        <f t="shared" si="27"/>
        <v>0</v>
      </c>
      <c r="AO142" s="194">
        <f t="shared" si="27"/>
        <v>0</v>
      </c>
      <c r="AP142" s="194">
        <f t="shared" si="27"/>
        <v>0</v>
      </c>
      <c r="AQ142" s="194">
        <f t="shared" si="27"/>
        <v>0</v>
      </c>
      <c r="AR142" s="195">
        <f t="shared" si="27"/>
        <v>0</v>
      </c>
    </row>
    <row r="143" spans="1:44" x14ac:dyDescent="0.2">
      <c r="B143" s="50" t="s">
        <v>224</v>
      </c>
      <c r="C143" s="145" t="s">
        <v>183</v>
      </c>
      <c r="D143" s="153">
        <f>-C157</f>
        <v>-754310249.7344898</v>
      </c>
      <c r="E143" s="194">
        <f t="shared" ref="E143:AR143" si="28">E141</f>
        <v>-211011304.74230427</v>
      </c>
      <c r="F143" s="194">
        <f t="shared" si="28"/>
        <v>-213585305.62962553</v>
      </c>
      <c r="G143" s="194">
        <f t="shared" si="28"/>
        <v>-216242388.43684211</v>
      </c>
      <c r="H143" s="194">
        <f t="shared" si="28"/>
        <v>-218985636.88794833</v>
      </c>
      <c r="I143" s="194">
        <f t="shared" si="28"/>
        <v>-221818260.37527075</v>
      </c>
      <c r="J143" s="194">
        <f t="shared" si="28"/>
        <v>-224743599.35255736</v>
      </c>
      <c r="K143" s="194">
        <f t="shared" si="28"/>
        <v>-227765130.96551731</v>
      </c>
      <c r="L143" s="194">
        <f t="shared" si="28"/>
        <v>-230886474.93038964</v>
      </c>
      <c r="M143" s="194">
        <f t="shared" si="28"/>
        <v>-234111399.67159718</v>
      </c>
      <c r="N143" s="194">
        <f t="shared" si="28"/>
        <v>-237443828.73003322</v>
      </c>
      <c r="O143" s="194">
        <f t="shared" si="28"/>
        <v>-240887847.4540506</v>
      </c>
      <c r="P143" s="194">
        <f t="shared" si="28"/>
        <v>-244447709.98575938</v>
      </c>
      <c r="Q143" s="194">
        <f t="shared" si="28"/>
        <v>-248127846.55580807</v>
      </c>
      <c r="R143" s="194">
        <f t="shared" si="28"/>
        <v>-251932871.10041004</v>
      </c>
      <c r="S143" s="194">
        <f t="shared" si="28"/>
        <v>-255867589.21499836</v>
      </c>
      <c r="T143" s="194">
        <f t="shared" si="28"/>
        <v>25996136.645453177</v>
      </c>
      <c r="U143" s="194">
        <f t="shared" si="28"/>
        <v>169870500.73521486</v>
      </c>
      <c r="V143" s="194">
        <f t="shared" si="28"/>
        <v>172489462.57219318</v>
      </c>
      <c r="W143" s="194">
        <f t="shared" si="28"/>
        <v>175160803.64591101</v>
      </c>
      <c r="X143" s="194">
        <f t="shared" si="28"/>
        <v>177885571.54110318</v>
      </c>
      <c r="Y143" s="194">
        <f t="shared" si="28"/>
        <v>141742425.90789962</v>
      </c>
      <c r="Z143" s="194">
        <f t="shared" si="28"/>
        <v>144577274.42605761</v>
      </c>
      <c r="AA143" s="194">
        <f t="shared" si="28"/>
        <v>147468819.91457874</v>
      </c>
      <c r="AB143" s="194">
        <f t="shared" si="28"/>
        <v>150418196.31287032</v>
      </c>
      <c r="AC143" s="194">
        <f t="shared" si="28"/>
        <v>153426560.23912776</v>
      </c>
      <c r="AD143" s="194">
        <f t="shared" si="28"/>
        <v>156495091.44391033</v>
      </c>
      <c r="AE143" s="194">
        <f t="shared" si="28"/>
        <v>159624993.27278852</v>
      </c>
      <c r="AF143" s="194">
        <f t="shared" si="28"/>
        <v>162817493.13824427</v>
      </c>
      <c r="AG143" s="194">
        <f t="shared" si="28"/>
        <v>166073843.00100917</v>
      </c>
      <c r="AH143" s="194">
        <f t="shared" si="28"/>
        <v>169395319.86102933</v>
      </c>
      <c r="AI143" s="194">
        <f t="shared" si="28"/>
        <v>172783226.25824994</v>
      </c>
      <c r="AJ143" s="194">
        <f t="shared" si="28"/>
        <v>176238890.7834149</v>
      </c>
      <c r="AK143" s="194">
        <f t="shared" si="28"/>
        <v>179763668.59908324</v>
      </c>
      <c r="AL143" s="194">
        <f t="shared" si="28"/>
        <v>183358941.97106493</v>
      </c>
      <c r="AM143" s="194">
        <f t="shared" si="28"/>
        <v>187026120.81048617</v>
      </c>
      <c r="AN143" s="194">
        <f t="shared" si="28"/>
        <v>0</v>
      </c>
      <c r="AO143" s="194">
        <f t="shared" si="28"/>
        <v>0</v>
      </c>
      <c r="AP143" s="194">
        <f t="shared" si="28"/>
        <v>0</v>
      </c>
      <c r="AQ143" s="194">
        <f t="shared" si="28"/>
        <v>0</v>
      </c>
      <c r="AR143" s="195">
        <f t="shared" si="28"/>
        <v>0</v>
      </c>
    </row>
    <row r="144" spans="1:44" x14ac:dyDescent="0.2">
      <c r="B144" s="50" t="s">
        <v>225</v>
      </c>
      <c r="C144" s="150" t="str">
        <f>$C$7</f>
        <v>kWh</v>
      </c>
      <c r="D144" s="145"/>
      <c r="E144" s="194">
        <f t="shared" ref="E144:AR144" si="29">IF(E111&gt;$C$76,0,E117)</f>
        <v>3703160000</v>
      </c>
      <c r="F144" s="194">
        <f t="shared" si="29"/>
        <v>3703160000</v>
      </c>
      <c r="G144" s="194">
        <f t="shared" si="29"/>
        <v>3703160000</v>
      </c>
      <c r="H144" s="194">
        <f t="shared" si="29"/>
        <v>3703160000</v>
      </c>
      <c r="I144" s="194">
        <f t="shared" si="29"/>
        <v>3703160000</v>
      </c>
      <c r="J144" s="194">
        <f t="shared" si="29"/>
        <v>3703160000</v>
      </c>
      <c r="K144" s="194">
        <f t="shared" si="29"/>
        <v>3703160000</v>
      </c>
      <c r="L144" s="194">
        <f t="shared" si="29"/>
        <v>3703160000</v>
      </c>
      <c r="M144" s="194">
        <f t="shared" si="29"/>
        <v>3703160000</v>
      </c>
      <c r="N144" s="194">
        <f t="shared" si="29"/>
        <v>3703160000</v>
      </c>
      <c r="O144" s="194">
        <f t="shared" si="29"/>
        <v>3703160000</v>
      </c>
      <c r="P144" s="194">
        <f t="shared" si="29"/>
        <v>3703160000</v>
      </c>
      <c r="Q144" s="194">
        <f t="shared" si="29"/>
        <v>3703160000</v>
      </c>
      <c r="R144" s="194">
        <f t="shared" si="29"/>
        <v>3703160000</v>
      </c>
      <c r="S144" s="194">
        <f t="shared" si="29"/>
        <v>3703160000</v>
      </c>
      <c r="T144" s="194">
        <f t="shared" si="29"/>
        <v>0</v>
      </c>
      <c r="U144" s="194">
        <f t="shared" si="29"/>
        <v>0</v>
      </c>
      <c r="V144" s="194">
        <f t="shared" si="29"/>
        <v>0</v>
      </c>
      <c r="W144" s="194">
        <f t="shared" si="29"/>
        <v>0</v>
      </c>
      <c r="X144" s="194">
        <f t="shared" si="29"/>
        <v>0</v>
      </c>
      <c r="Y144" s="194">
        <f t="shared" si="29"/>
        <v>0</v>
      </c>
      <c r="Z144" s="194">
        <f t="shared" si="29"/>
        <v>0</v>
      </c>
      <c r="AA144" s="194">
        <f t="shared" si="29"/>
        <v>0</v>
      </c>
      <c r="AB144" s="194">
        <f t="shared" si="29"/>
        <v>0</v>
      </c>
      <c r="AC144" s="194">
        <f t="shared" si="29"/>
        <v>0</v>
      </c>
      <c r="AD144" s="194">
        <f t="shared" si="29"/>
        <v>0</v>
      </c>
      <c r="AE144" s="194">
        <f t="shared" si="29"/>
        <v>0</v>
      </c>
      <c r="AF144" s="194">
        <f t="shared" si="29"/>
        <v>0</v>
      </c>
      <c r="AG144" s="194">
        <f t="shared" si="29"/>
        <v>0</v>
      </c>
      <c r="AH144" s="194">
        <f t="shared" si="29"/>
        <v>0</v>
      </c>
      <c r="AI144" s="194">
        <f t="shared" si="29"/>
        <v>0</v>
      </c>
      <c r="AJ144" s="194">
        <f t="shared" si="29"/>
        <v>0</v>
      </c>
      <c r="AK144" s="194">
        <f t="shared" si="29"/>
        <v>0</v>
      </c>
      <c r="AL144" s="194">
        <f t="shared" si="29"/>
        <v>0</v>
      </c>
      <c r="AM144" s="194">
        <f t="shared" si="29"/>
        <v>0</v>
      </c>
      <c r="AN144" s="194">
        <f t="shared" si="29"/>
        <v>0</v>
      </c>
      <c r="AO144" s="194">
        <f t="shared" si="29"/>
        <v>0</v>
      </c>
      <c r="AP144" s="194">
        <f t="shared" si="29"/>
        <v>0</v>
      </c>
      <c r="AQ144" s="194">
        <f t="shared" si="29"/>
        <v>0</v>
      </c>
      <c r="AR144" s="195">
        <f t="shared" si="29"/>
        <v>0</v>
      </c>
    </row>
    <row r="145" spans="1:44" x14ac:dyDescent="0.2">
      <c r="B145" s="162" t="s">
        <v>226</v>
      </c>
      <c r="C145" s="145" t="s">
        <v>183</v>
      </c>
      <c r="D145" s="202">
        <f>-D112</f>
        <v>3017240998.9379592</v>
      </c>
      <c r="E145" s="202">
        <f t="shared" ref="E145:AR145" si="30">IF(E111&lt;=$C76,D145-($C$5*E117+E131+E134),D145-(E131+E134))</f>
        <v>2822214107.9735632</v>
      </c>
      <c r="F145" s="202">
        <f t="shared" si="30"/>
        <v>2624053094.6026077</v>
      </c>
      <c r="G145" s="202">
        <f t="shared" si="30"/>
        <v>2422572788.3841372</v>
      </c>
      <c r="H145" s="202">
        <f t="shared" si="30"/>
        <v>2217578803.5086989</v>
      </c>
      <c r="I145" s="202">
        <f t="shared" si="30"/>
        <v>2008867106.4527898</v>
      </c>
      <c r="J145" s="202">
        <f t="shared" si="30"/>
        <v>1796223563.8246691</v>
      </c>
      <c r="K145" s="202">
        <f t="shared" si="30"/>
        <v>1579423469.5030961</v>
      </c>
      <c r="L145" s="202">
        <f t="shared" si="30"/>
        <v>1358231050.1299644</v>
      </c>
      <c r="M145" s="202">
        <f t="shared" si="30"/>
        <v>1132398947.9754143</v>
      </c>
      <c r="N145" s="202">
        <f t="shared" si="30"/>
        <v>901667680.14969206</v>
      </c>
      <c r="O145" s="202">
        <f t="shared" si="30"/>
        <v>665765073.0897131</v>
      </c>
      <c r="P145" s="202">
        <f t="shared" si="30"/>
        <v>424405671.19989628</v>
      </c>
      <c r="Q145" s="202">
        <f t="shared" si="30"/>
        <v>177290118.47625872</v>
      </c>
      <c r="R145" s="202">
        <f t="shared" si="30"/>
        <v>-75895488.110094607</v>
      </c>
      <c r="S145" s="202">
        <f t="shared" si="30"/>
        <v>-335480274.7491864</v>
      </c>
      <c r="T145" s="202">
        <f t="shared" si="30"/>
        <v>-318059422.67257386</v>
      </c>
      <c r="U145" s="202">
        <f t="shared" si="30"/>
        <v>-494539330.82475066</v>
      </c>
      <c r="V145" s="202">
        <f t="shared" si="30"/>
        <v>-674548837.13997102</v>
      </c>
      <c r="W145" s="202">
        <f t="shared" si="30"/>
        <v>-858158533.58149576</v>
      </c>
      <c r="X145" s="202">
        <f t="shared" si="30"/>
        <v>-1045440423.9518509</v>
      </c>
      <c r="Y145" s="202">
        <f t="shared" si="30"/>
        <v>-1236467952.1296132</v>
      </c>
      <c r="Z145" s="202">
        <f t="shared" si="30"/>
        <v>-1431316030.8709307</v>
      </c>
      <c r="AA145" s="202">
        <f t="shared" si="30"/>
        <v>-1630061071.1870747</v>
      </c>
      <c r="AB145" s="202">
        <f t="shared" si="30"/>
        <v>-1832781012.3095415</v>
      </c>
      <c r="AC145" s="202">
        <f t="shared" si="30"/>
        <v>-2039555352.2544575</v>
      </c>
      <c r="AD145" s="202">
        <f t="shared" si="30"/>
        <v>-2250465178.9982719</v>
      </c>
      <c r="AE145" s="202">
        <f t="shared" si="30"/>
        <v>-2465593202.2769628</v>
      </c>
      <c r="AF145" s="202">
        <f t="shared" si="30"/>
        <v>-2685023786.0212274</v>
      </c>
      <c r="AG145" s="202">
        <f t="shared" si="30"/>
        <v>-2908842981.4403772</v>
      </c>
      <c r="AH145" s="202">
        <f t="shared" si="30"/>
        <v>-3137138560.76791</v>
      </c>
      <c r="AI145" s="202">
        <f t="shared" si="30"/>
        <v>-3370000051.6819935</v>
      </c>
      <c r="AJ145" s="202">
        <f t="shared" si="30"/>
        <v>-3607518772.4143586</v>
      </c>
      <c r="AK145" s="202">
        <f t="shared" si="30"/>
        <v>-3849787867.5613708</v>
      </c>
      <c r="AL145" s="202">
        <f t="shared" si="30"/>
        <v>-4096902344.6113234</v>
      </c>
      <c r="AM145" s="202">
        <f t="shared" si="30"/>
        <v>-4348959111.2022753</v>
      </c>
      <c r="AN145" s="202">
        <f t="shared" si="30"/>
        <v>-4348959111.2022753</v>
      </c>
      <c r="AO145" s="202">
        <f t="shared" si="30"/>
        <v>-4348959111.2022753</v>
      </c>
      <c r="AP145" s="202">
        <f t="shared" si="30"/>
        <v>-4348959111.2022753</v>
      </c>
      <c r="AQ145" s="202">
        <f t="shared" si="30"/>
        <v>-4348959111.2022753</v>
      </c>
      <c r="AR145" s="203">
        <f t="shared" si="30"/>
        <v>-4348959111.2022753</v>
      </c>
    </row>
    <row r="146" spans="1:44" ht="12.95" customHeight="1" x14ac:dyDescent="0.2">
      <c r="B146" s="163" t="s">
        <v>227</v>
      </c>
      <c r="C146" s="204"/>
      <c r="D146" s="204"/>
      <c r="E146" s="205">
        <f t="shared" ref="E146:AR146" si="31">IF(E111&gt;$C$74,"",(-$C$94*(E138+$C$5*E117)+E131+$C$5*E117)/-E136)</f>
        <v>1.3547724873861475</v>
      </c>
      <c r="F146" s="205">
        <f t="shared" si="31"/>
        <v>1.3425566472687707</v>
      </c>
      <c r="G146" s="205">
        <f t="shared" si="31"/>
        <v>1.3299465122406637</v>
      </c>
      <c r="H146" s="205">
        <f t="shared" si="31"/>
        <v>1.3169274473887356</v>
      </c>
      <c r="I146" s="205">
        <f t="shared" si="31"/>
        <v>1.3034842213959632</v>
      </c>
      <c r="J146" s="205">
        <f t="shared" si="31"/>
        <v>1.2896009809465576</v>
      </c>
      <c r="K146" s="205">
        <f t="shared" si="31"/>
        <v>1.2752612240042314</v>
      </c>
      <c r="L146" s="205">
        <f t="shared" si="31"/>
        <v>1.2604477719133502</v>
      </c>
      <c r="M146" s="205">
        <f t="shared" si="31"/>
        <v>1.2451427402705049</v>
      </c>
      <c r="N146" s="205">
        <f t="shared" si="31"/>
        <v>1.2293275085117001</v>
      </c>
      <c r="O146" s="205">
        <f t="shared" si="31"/>
        <v>1.2129826881578762</v>
      </c>
      <c r="P146" s="205">
        <f t="shared" si="31"/>
        <v>1.1960880896589412</v>
      </c>
      <c r="Q146" s="205">
        <f t="shared" si="31"/>
        <v>1.1786226877737809</v>
      </c>
      <c r="R146" s="205">
        <f t="shared" si="31"/>
        <v>1.160564585420939</v>
      </c>
      <c r="S146" s="205">
        <f t="shared" si="31"/>
        <v>1.1418909759317133</v>
      </c>
      <c r="T146" s="205" t="str">
        <f t="shared" si="31"/>
        <v/>
      </c>
      <c r="U146" s="205" t="str">
        <f t="shared" si="31"/>
        <v/>
      </c>
      <c r="V146" s="205" t="str">
        <f t="shared" si="31"/>
        <v/>
      </c>
      <c r="W146" s="205" t="str">
        <f t="shared" si="31"/>
        <v/>
      </c>
      <c r="X146" s="205" t="str">
        <f t="shared" si="31"/>
        <v/>
      </c>
      <c r="Y146" s="205" t="str">
        <f t="shared" si="31"/>
        <v/>
      </c>
      <c r="Z146" s="205" t="str">
        <f t="shared" si="31"/>
        <v/>
      </c>
      <c r="AA146" s="205" t="str">
        <f t="shared" si="31"/>
        <v/>
      </c>
      <c r="AB146" s="205" t="str">
        <f t="shared" si="31"/>
        <v/>
      </c>
      <c r="AC146" s="205" t="str">
        <f t="shared" si="31"/>
        <v/>
      </c>
      <c r="AD146" s="205" t="str">
        <f t="shared" si="31"/>
        <v/>
      </c>
      <c r="AE146" s="205" t="str">
        <f t="shared" si="31"/>
        <v/>
      </c>
      <c r="AF146" s="205" t="str">
        <f t="shared" si="31"/>
        <v/>
      </c>
      <c r="AG146" s="205" t="str">
        <f t="shared" si="31"/>
        <v/>
      </c>
      <c r="AH146" s="205" t="str">
        <f t="shared" si="31"/>
        <v/>
      </c>
      <c r="AI146" s="205" t="str">
        <f t="shared" si="31"/>
        <v/>
      </c>
      <c r="AJ146" s="205" t="str">
        <f t="shared" si="31"/>
        <v/>
      </c>
      <c r="AK146" s="205" t="str">
        <f t="shared" si="31"/>
        <v/>
      </c>
      <c r="AL146" s="205" t="str">
        <f t="shared" si="31"/>
        <v/>
      </c>
      <c r="AM146" s="205" t="str">
        <f t="shared" si="31"/>
        <v/>
      </c>
      <c r="AN146" s="205" t="str">
        <f t="shared" si="31"/>
        <v/>
      </c>
      <c r="AO146" s="205" t="str">
        <f t="shared" si="31"/>
        <v/>
      </c>
      <c r="AP146" s="205" t="str">
        <f t="shared" si="31"/>
        <v/>
      </c>
      <c r="AQ146" s="205" t="str">
        <f t="shared" si="31"/>
        <v/>
      </c>
      <c r="AR146" s="206" t="str">
        <f t="shared" si="31"/>
        <v/>
      </c>
    </row>
    <row r="147" spans="1:44" ht="12.95" customHeight="1" x14ac:dyDescent="0.2">
      <c r="A147" s="33"/>
      <c r="B147" s="33"/>
      <c r="C147" s="33"/>
      <c r="D147" s="244"/>
      <c r="E147" s="207"/>
      <c r="F147" s="207"/>
      <c r="G147" s="207"/>
      <c r="H147" s="207"/>
      <c r="I147" s="207"/>
      <c r="J147" s="207"/>
      <c r="K147" s="207"/>
      <c r="L147" s="207"/>
      <c r="M147" s="207"/>
      <c r="N147" s="207"/>
      <c r="O147" s="207"/>
      <c r="P147" s="207"/>
      <c r="Q147" s="207"/>
      <c r="R147" s="207"/>
      <c r="S147" s="207"/>
      <c r="T147" s="207"/>
      <c r="U147" s="207"/>
      <c r="V147" s="207"/>
      <c r="W147" s="207"/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</row>
    <row r="148" spans="1:44" ht="12.95" customHeight="1" x14ac:dyDescent="0.2">
      <c r="B148" s="64" t="s">
        <v>228</v>
      </c>
      <c r="C148" s="57" t="s">
        <v>37</v>
      </c>
      <c r="D148" s="136" t="s">
        <v>114</v>
      </c>
      <c r="E148" s="34"/>
      <c r="F148" s="34"/>
      <c r="G148" s="34"/>
      <c r="H148" s="34"/>
      <c r="I148" s="34"/>
      <c r="J148" s="34"/>
      <c r="K148" s="34"/>
      <c r="L148" s="34"/>
      <c r="M148" s="34"/>
    </row>
    <row r="149" spans="1:44" x14ac:dyDescent="0.2">
      <c r="B149" s="50" t="s">
        <v>229</v>
      </c>
      <c r="C149" s="226">
        <f>NPV($C$91,E141:AR141)</f>
        <v>-1418300774.7049634</v>
      </c>
      <c r="D149" s="219" t="s">
        <v>230</v>
      </c>
    </row>
    <row r="150" spans="1:44" x14ac:dyDescent="0.2">
      <c r="B150" s="50" t="s">
        <v>231</v>
      </c>
      <c r="C150" s="227">
        <f>(1-$C$94)*NPV($C$91,E144:AR144)</f>
        <v>20899564803.359005</v>
      </c>
      <c r="D150" s="219" t="str">
        <f>$C$7</f>
        <v>kWh</v>
      </c>
      <c r="F150" s="208"/>
    </row>
    <row r="151" spans="1:44" x14ac:dyDescent="0.2">
      <c r="B151" s="50" t="s">
        <v>232</v>
      </c>
      <c r="C151" s="227">
        <f>$C$41*1000000</f>
        <v>3017240998.9379592</v>
      </c>
      <c r="D151" s="219" t="s">
        <v>183</v>
      </c>
      <c r="F151" s="209"/>
    </row>
    <row r="152" spans="1:44" x14ac:dyDescent="0.2">
      <c r="B152" s="50" t="s">
        <v>233</v>
      </c>
      <c r="C152" s="228">
        <f>AVERAGE(E146:AR146)</f>
        <v>1.2558411045513251</v>
      </c>
      <c r="D152" s="219"/>
      <c r="F152" s="209"/>
    </row>
    <row r="153" spans="1:44" x14ac:dyDescent="0.2">
      <c r="B153" s="50" t="s">
        <v>234</v>
      </c>
      <c r="C153" s="179" t="str">
        <f>CONCATENATE(ROUND(((1-$C$94)*$C$90*$C$92+$C$93*$C$91)*100,1),"% / ",ROUND((((1+(1-$C$94)*$C$90*$C$92+$C$93*$C$91)/(1+$C$89))-1)*100,1),"%")</f>
        <v>5% / 2,9%</v>
      </c>
      <c r="D153" s="219"/>
      <c r="F153" s="208"/>
      <c r="G153" s="35"/>
    </row>
    <row r="154" spans="1:44" x14ac:dyDescent="0.2">
      <c r="B154" s="50" t="s">
        <v>235</v>
      </c>
      <c r="C154" s="179">
        <f>IFERROR(IRR(D142:AR142),"n.v.t.")</f>
        <v>-1.9801436258344296E-3</v>
      </c>
      <c r="D154" s="219"/>
      <c r="F154" s="209"/>
      <c r="G154" s="35"/>
    </row>
    <row r="155" spans="1:44" x14ac:dyDescent="0.2">
      <c r="B155" s="50" t="s">
        <v>236</v>
      </c>
      <c r="C155" s="179">
        <f>IFERROR(IRR(D143:AR143),"n.v.t.")</f>
        <v>-1.4764565704085908E-2</v>
      </c>
      <c r="D155" s="219"/>
      <c r="G155" s="35"/>
    </row>
    <row r="156" spans="1:44" x14ac:dyDescent="0.2">
      <c r="B156" s="50" t="s">
        <v>237</v>
      </c>
      <c r="C156" s="227">
        <f>$C$92*C151-C97</f>
        <v>2262930749.2034693</v>
      </c>
      <c r="D156" s="219" t="s">
        <v>183</v>
      </c>
      <c r="F156" s="22"/>
    </row>
    <row r="157" spans="1:44" x14ac:dyDescent="0.2">
      <c r="B157" s="50" t="s">
        <v>238</v>
      </c>
      <c r="C157" s="227">
        <f>$C$93*C151-C98</f>
        <v>754310249.7344898</v>
      </c>
      <c r="D157" s="219" t="s">
        <v>183</v>
      </c>
      <c r="F157" s="22"/>
    </row>
    <row r="158" spans="1:44" x14ac:dyDescent="0.2">
      <c r="B158" s="50" t="s">
        <v>123</v>
      </c>
      <c r="C158" s="179">
        <f>IF(AND(E114&gt;0,E115&gt;0),ROUND(E115/E114,2),0)</f>
        <v>0</v>
      </c>
      <c r="D158" s="219" t="s">
        <v>239</v>
      </c>
      <c r="F158" s="22"/>
    </row>
    <row r="159" spans="1:44" x14ac:dyDescent="0.2">
      <c r="B159" s="50" t="s">
        <v>240</v>
      </c>
      <c r="C159" s="179">
        <f>IF(C158=0,MAX(C29:C30),E117/SUM(C26,C28))</f>
        <v>3703.16</v>
      </c>
      <c r="D159" s="219" t="s">
        <v>147</v>
      </c>
      <c r="F159" s="22"/>
    </row>
    <row r="160" spans="1:44" ht="15" customHeight="1" x14ac:dyDescent="0.25">
      <c r="B160" s="51" t="s">
        <v>241</v>
      </c>
      <c r="C160" s="277" t="str">
        <f>CONCATENATE( "tussen ", INDEX(D111:X111, MATCH(0,D145:AR145, -1)), " en ",  1 + INDEX(D111:X111, MATCH(0,D145:AR145, -1)), " jaar")</f>
        <v>tussen 13 en 14 jaar</v>
      </c>
      <c r="D160" s="270"/>
      <c r="F160" s="210"/>
      <c r="G160" s="190"/>
      <c r="I160" s="190"/>
      <c r="J160" s="190"/>
      <c r="K160" s="190"/>
      <c r="L160" s="190"/>
      <c r="M160" s="190"/>
      <c r="N160" s="190"/>
      <c r="O160" s="190"/>
      <c r="P160" s="190"/>
      <c r="Q160" s="190"/>
      <c r="R160" s="190"/>
      <c r="S160" s="190"/>
      <c r="T160" s="190"/>
      <c r="U160" s="190"/>
      <c r="V160" s="190"/>
      <c r="W160" s="190"/>
      <c r="X160" s="190"/>
      <c r="Y160" s="190"/>
      <c r="Z160" s="190"/>
      <c r="AA160" s="190"/>
      <c r="AB160" s="190"/>
      <c r="AC160" s="190"/>
      <c r="AD160" s="190"/>
      <c r="AE160" s="190"/>
      <c r="AF160" s="190"/>
      <c r="AG160" s="190"/>
      <c r="AH160" s="190"/>
      <c r="AI160" s="190"/>
      <c r="AJ160" s="190"/>
      <c r="AK160" s="190"/>
      <c r="AL160" s="190"/>
      <c r="AM160" s="190"/>
      <c r="AN160" s="190"/>
      <c r="AO160" s="190"/>
      <c r="AP160" s="190"/>
      <c r="AQ160" s="190"/>
      <c r="AR160" s="190"/>
    </row>
    <row r="161" spans="2:44" x14ac:dyDescent="0.2">
      <c r="B161" s="6"/>
      <c r="C161" s="6"/>
      <c r="D161" s="36"/>
      <c r="E161" s="190"/>
      <c r="F161" s="210"/>
      <c r="G161" s="190"/>
      <c r="H161" s="190"/>
      <c r="I161" s="190"/>
      <c r="J161" s="190"/>
      <c r="K161" s="190"/>
      <c r="L161" s="190"/>
      <c r="M161" s="190"/>
      <c r="N161" s="190"/>
      <c r="O161" s="190"/>
      <c r="P161" s="190"/>
      <c r="Q161" s="190"/>
      <c r="R161" s="190"/>
      <c r="S161" s="190"/>
      <c r="T161" s="190"/>
      <c r="U161" s="190"/>
      <c r="V161" s="190"/>
      <c r="W161" s="190"/>
      <c r="X161" s="190"/>
      <c r="Y161" s="190"/>
      <c r="Z161" s="190"/>
      <c r="AA161" s="190"/>
      <c r="AB161" s="190"/>
      <c r="AC161" s="190"/>
      <c r="AD161" s="190"/>
      <c r="AE161" s="190"/>
      <c r="AF161" s="190"/>
      <c r="AG161" s="190"/>
      <c r="AH161" s="190"/>
      <c r="AI161" s="190"/>
      <c r="AJ161" s="190"/>
      <c r="AK161" s="190"/>
      <c r="AL161" s="190"/>
      <c r="AM161" s="190"/>
      <c r="AN161" s="190"/>
      <c r="AO161" s="190"/>
      <c r="AP161" s="190"/>
      <c r="AQ161" s="190"/>
      <c r="AR161" s="190"/>
    </row>
    <row r="162" spans="2:44" x14ac:dyDescent="0.2">
      <c r="B162" s="70" t="s">
        <v>242</v>
      </c>
      <c r="C162" s="57" t="s">
        <v>37</v>
      </c>
      <c r="D162" s="136" t="s">
        <v>114</v>
      </c>
      <c r="E162" s="190"/>
      <c r="F162" s="210"/>
      <c r="G162" s="190"/>
      <c r="H162" s="190"/>
      <c r="I162" s="190"/>
      <c r="J162" s="190"/>
      <c r="K162" s="190"/>
      <c r="L162" s="190"/>
      <c r="M162" s="190"/>
      <c r="N162" s="190"/>
      <c r="O162" s="190"/>
      <c r="P162" s="190"/>
      <c r="Q162" s="190"/>
      <c r="R162" s="190"/>
      <c r="S162" s="190"/>
      <c r="T162" s="190"/>
      <c r="U162" s="190"/>
      <c r="V162" s="190"/>
      <c r="W162" s="190"/>
      <c r="X162" s="190"/>
      <c r="Y162" s="190"/>
      <c r="Z162" s="190"/>
      <c r="AA162" s="190"/>
      <c r="AB162" s="190"/>
      <c r="AC162" s="190"/>
      <c r="AD162" s="190"/>
      <c r="AE162" s="190"/>
      <c r="AF162" s="190"/>
      <c r="AG162" s="190"/>
      <c r="AH162" s="190"/>
      <c r="AI162" s="190"/>
      <c r="AJ162" s="190"/>
      <c r="AK162" s="190"/>
      <c r="AL162" s="190"/>
      <c r="AM162" s="190"/>
      <c r="AN162" s="190"/>
      <c r="AO162" s="190"/>
      <c r="AP162" s="190"/>
      <c r="AQ162" s="190"/>
      <c r="AR162" s="190"/>
    </row>
    <row r="163" spans="2:44" ht="14.85" customHeight="1" x14ac:dyDescent="0.2">
      <c r="B163" s="50" t="s">
        <v>29</v>
      </c>
      <c r="C163" s="222">
        <f>IF(C15&gt;0,ROUND(INDEX(Correcties!$A$1:$I$3,MATCH(C15,Correcties!$A$1:$A$3,0),8),4),_xlfn.XLOOKUP($C12,Correcties!$A$3:$A$3,Correcties!$H$3:$H$3,"n.v.t"))</f>
        <v>3.7693825023999997E-2</v>
      </c>
      <c r="D163" s="219" t="str">
        <f t="shared" ref="D163:D169" si="32">CONCATENATE("Euro/",$C$7)</f>
        <v>Euro/kWh</v>
      </c>
    </row>
    <row r="164" spans="2:44" s="6" customFormat="1" x14ac:dyDescent="0.2">
      <c r="B164" s="224" t="s">
        <v>33</v>
      </c>
      <c r="C164" s="211">
        <f>IF(C15&gt;0,IFERROR(_xlfn.XLOOKUP(C15,Correcties!A3:A3,Correcties!F3:F3),"n.v.t."),_xlfn.XLOOKUP($C12,Correcties!$A$3:$A$3,Correcties!$F$3:$F$3,"n.v.t."))</f>
        <v>5.6540737536000002E-2</v>
      </c>
      <c r="D164" s="229" t="str">
        <f t="shared" si="32"/>
        <v>Euro/kWh</v>
      </c>
    </row>
    <row r="165" spans="2:44" s="6" customFormat="1" x14ac:dyDescent="0.2">
      <c r="B165" s="50" t="str">
        <f>"Voorlopig correctiebedrag "&amp;Colofon!$C$29</f>
        <v>Voorlopig correctiebedrag 2026</v>
      </c>
      <c r="C165" s="225">
        <f>IF(C15&gt;0,IFERROR(ROUND(INDEX(Correcties!$A$1:$I$3,MATCH(C15,Correcties!$A$1:$A$3,0),4),4),"n.v.t."),_xlfn.XLOOKUP($C12,Correcties!$A$3:$A$3,Correcties!$D$3:$D$3,"n.v.t."))</f>
        <v>7.425000000000001E-2</v>
      </c>
      <c r="D165" s="219" t="str">
        <f t="shared" si="32"/>
        <v>Euro/kWh</v>
      </c>
      <c r="F165" s="190"/>
      <c r="G165" s="190"/>
      <c r="H165" s="190"/>
      <c r="I165" s="190"/>
      <c r="J165" s="190"/>
      <c r="K165" s="190"/>
      <c r="L165" s="190"/>
      <c r="M165" s="190"/>
      <c r="N165" s="190"/>
      <c r="O165" s="190"/>
      <c r="P165" s="190"/>
      <c r="Q165" s="190"/>
      <c r="R165" s="190"/>
      <c r="S165" s="190"/>
      <c r="T165" s="190"/>
      <c r="U165" s="190"/>
      <c r="V165" s="190"/>
      <c r="W165" s="190"/>
      <c r="X165" s="190"/>
      <c r="Y165" s="190"/>
      <c r="Z165" s="190"/>
      <c r="AA165" s="190"/>
      <c r="AB165" s="190"/>
      <c r="AC165" s="190"/>
      <c r="AD165" s="190"/>
      <c r="AE165" s="190"/>
      <c r="AF165" s="190"/>
      <c r="AG165" s="190"/>
      <c r="AH165" s="190"/>
      <c r="AI165" s="190"/>
      <c r="AJ165" s="190"/>
      <c r="AK165" s="190"/>
      <c r="AL165" s="190"/>
      <c r="AM165" s="190"/>
      <c r="AN165" s="190"/>
      <c r="AO165" s="190"/>
      <c r="AP165" s="190"/>
      <c r="AQ165" s="190"/>
      <c r="AR165" s="190"/>
    </row>
    <row r="166" spans="2:44" s="6" customFormat="1" x14ac:dyDescent="0.2">
      <c r="B166" s="224" t="str">
        <f>"Voorlopige GvO-waarde "&amp;Colofon!$C$29</f>
        <v>Voorlopige GvO-waarde 2026</v>
      </c>
      <c r="C166" s="211">
        <f>IF(C15&gt;0,_xlfn.XLOOKUP(C15,Correcties!A7:A7,Correcties!D7:D7,0), _xlfn.XLOOKUP(C12,Correcties!A7:A7,Correcties!D7:D7,0))</f>
        <v>2E-3</v>
      </c>
      <c r="D166" s="229" t="str">
        <f t="shared" si="32"/>
        <v>Euro/kWh</v>
      </c>
    </row>
    <row r="167" spans="2:44" s="6" customFormat="1" x14ac:dyDescent="0.2">
      <c r="B167" s="50"/>
      <c r="C167" s="222"/>
      <c r="D167" s="219"/>
      <c r="F167" s="37"/>
      <c r="G167" s="37"/>
      <c r="H167" s="37"/>
      <c r="I167" s="37"/>
      <c r="J167" s="37"/>
      <c r="K167" s="37"/>
      <c r="L167" s="37"/>
      <c r="M167" s="37"/>
      <c r="N167" s="37"/>
      <c r="O167" s="37"/>
      <c r="P167" s="37"/>
    </row>
    <row r="168" spans="2:44" s="6" customFormat="1" x14ac:dyDescent="0.2">
      <c r="B168" s="58" t="s">
        <v>30</v>
      </c>
      <c r="C168" s="223">
        <f>_xlfn.XLOOKUP($C$13,Correcties!A14:A14,Correcties!D14:D14,"foutmelding")</f>
        <v>0</v>
      </c>
      <c r="D168" s="230" t="str">
        <f t="shared" si="32"/>
        <v>Euro/kWh</v>
      </c>
      <c r="F168" s="37"/>
      <c r="G168" s="37"/>
      <c r="H168" s="37"/>
      <c r="I168" s="37"/>
      <c r="J168" s="37"/>
      <c r="K168" s="37"/>
      <c r="L168" s="37"/>
      <c r="M168" s="37"/>
      <c r="N168" s="37"/>
      <c r="O168" s="37"/>
      <c r="P168" s="37"/>
    </row>
    <row r="169" spans="2:44" s="6" customFormat="1" ht="13.5" customHeight="1" x14ac:dyDescent="0.2">
      <c r="B169" s="51" t="s">
        <v>243</v>
      </c>
      <c r="C169" s="212">
        <f>IF(C14="Nee",0,_xlfn.XLOOKUP($C$13,Correcties!A14:A14,Correcties!F14:F14,"foutmelding"))</f>
        <v>0</v>
      </c>
      <c r="D169" s="221" t="str">
        <f t="shared" si="32"/>
        <v>Euro/kWh</v>
      </c>
      <c r="F169" s="37"/>
      <c r="G169" s="37"/>
      <c r="H169" s="37"/>
      <c r="I169" s="37"/>
      <c r="J169" s="37"/>
      <c r="K169" s="37"/>
      <c r="L169" s="37"/>
      <c r="M169" s="37"/>
      <c r="N169" s="37"/>
      <c r="O169" s="37"/>
      <c r="P169" s="37"/>
    </row>
    <row r="170" spans="2:44" s="6" customFormat="1" x14ac:dyDescent="0.2">
      <c r="E170" s="37"/>
      <c r="F170" s="37"/>
      <c r="G170" s="37"/>
      <c r="H170" s="37"/>
      <c r="I170" s="37"/>
      <c r="J170" s="37"/>
      <c r="K170" s="37"/>
      <c r="L170" s="37"/>
      <c r="M170" s="37"/>
      <c r="N170" s="37"/>
      <c r="O170" s="37"/>
      <c r="P170" s="37"/>
    </row>
    <row r="171" spans="2:44" s="6" customFormat="1" x14ac:dyDescent="0.2">
      <c r="B171" s="56" t="s">
        <v>244</v>
      </c>
      <c r="C171" s="57" t="s">
        <v>37</v>
      </c>
      <c r="D171" s="136" t="s">
        <v>114</v>
      </c>
    </row>
    <row r="172" spans="2:44" s="6" customFormat="1" x14ac:dyDescent="0.2">
      <c r="B172" s="50" t="s">
        <v>245</v>
      </c>
      <c r="C172" s="220">
        <v>35.799999999999997</v>
      </c>
      <c r="D172" s="219" t="s">
        <v>246</v>
      </c>
    </row>
    <row r="173" spans="2:44" s="6" customFormat="1" x14ac:dyDescent="0.2">
      <c r="B173" s="50" t="s">
        <v>247</v>
      </c>
      <c r="C173" s="220">
        <v>31.65</v>
      </c>
      <c r="D173" s="219" t="s">
        <v>246</v>
      </c>
    </row>
    <row r="174" spans="2:44" s="6" customFormat="1" x14ac:dyDescent="0.2">
      <c r="B174" s="50" t="s">
        <v>248</v>
      </c>
      <c r="C174" s="220">
        <v>35.17</v>
      </c>
      <c r="D174" s="219" t="s">
        <v>246</v>
      </c>
    </row>
    <row r="175" spans="2:44" s="6" customFormat="1" x14ac:dyDescent="0.2">
      <c r="B175" s="51" t="s">
        <v>249</v>
      </c>
      <c r="C175" s="213">
        <v>3.6</v>
      </c>
      <c r="D175" s="221" t="s">
        <v>250</v>
      </c>
    </row>
    <row r="176" spans="2:44" s="6" customFormat="1" x14ac:dyDescent="0.2">
      <c r="E176" s="38"/>
    </row>
    <row r="177" spans="5:8" s="6" customFormat="1" x14ac:dyDescent="0.2"/>
    <row r="178" spans="5:8" x14ac:dyDescent="0.2">
      <c r="E178" s="6"/>
      <c r="F178" s="6"/>
      <c r="H178" s="6"/>
    </row>
    <row r="179" spans="5:8" x14ac:dyDescent="0.2">
      <c r="E179" s="6"/>
      <c r="F179" s="6"/>
      <c r="H179" s="6"/>
    </row>
    <row r="180" spans="5:8" x14ac:dyDescent="0.2">
      <c r="E180" s="6"/>
      <c r="F180" s="6"/>
      <c r="H180" s="6"/>
    </row>
    <row r="181" spans="5:8" x14ac:dyDescent="0.2">
      <c r="H181" s="6"/>
    </row>
    <row r="182" spans="5:8" x14ac:dyDescent="0.2">
      <c r="H182" s="6"/>
    </row>
    <row r="183" spans="5:8" x14ac:dyDescent="0.2">
      <c r="H183" s="6"/>
    </row>
    <row r="184" spans="5:8" x14ac:dyDescent="0.2">
      <c r="H184" s="6"/>
    </row>
    <row r="185" spans="5:8" x14ac:dyDescent="0.2">
      <c r="H185" s="6"/>
    </row>
    <row r="186" spans="5:8" x14ac:dyDescent="0.2">
      <c r="H186" s="6"/>
    </row>
    <row r="187" spans="5:8" x14ac:dyDescent="0.2">
      <c r="H187" s="6"/>
    </row>
    <row r="188" spans="5:8" x14ac:dyDescent="0.2">
      <c r="H188" s="6"/>
    </row>
    <row r="189" spans="5:8" x14ac:dyDescent="0.2">
      <c r="H189" s="6"/>
    </row>
    <row r="190" spans="5:8" x14ac:dyDescent="0.2">
      <c r="H190" s="6"/>
    </row>
  </sheetData>
  <mergeCells count="88">
    <mergeCell ref="E20:M20"/>
    <mergeCell ref="E4:M4"/>
    <mergeCell ref="E5:M5"/>
    <mergeCell ref="E6:M6"/>
    <mergeCell ref="E8:M8"/>
    <mergeCell ref="E11:M11"/>
    <mergeCell ref="E12:M12"/>
    <mergeCell ref="E13:M13"/>
    <mergeCell ref="E15:M15"/>
    <mergeCell ref="E16:M16"/>
    <mergeCell ref="E17:M17"/>
    <mergeCell ref="E18:M18"/>
    <mergeCell ref="E34:M34"/>
    <mergeCell ref="E21:M21"/>
    <mergeCell ref="E22:M22"/>
    <mergeCell ref="E24:M24"/>
    <mergeCell ref="E25:M25"/>
    <mergeCell ref="E26:M26"/>
    <mergeCell ref="E27:M27"/>
    <mergeCell ref="E28:M28"/>
    <mergeCell ref="E29:M29"/>
    <mergeCell ref="E30:M30"/>
    <mergeCell ref="E32:M32"/>
    <mergeCell ref="E33:M33"/>
    <mergeCell ref="E47:M47"/>
    <mergeCell ref="E35:M35"/>
    <mergeCell ref="E36:M36"/>
    <mergeCell ref="E38:M38"/>
    <mergeCell ref="E39:M39"/>
    <mergeCell ref="E40:M40"/>
    <mergeCell ref="E41:M41"/>
    <mergeCell ref="E42:M42"/>
    <mergeCell ref="E43:M43"/>
    <mergeCell ref="E44:M44"/>
    <mergeCell ref="E45:M45"/>
    <mergeCell ref="E46:M46"/>
    <mergeCell ref="E60:M60"/>
    <mergeCell ref="E49:M49"/>
    <mergeCell ref="E51:M51"/>
    <mergeCell ref="E52:M52"/>
    <mergeCell ref="E53:M53"/>
    <mergeCell ref="E54:M54"/>
    <mergeCell ref="E55:M55"/>
    <mergeCell ref="E56:M56"/>
    <mergeCell ref="E57:M57"/>
    <mergeCell ref="E58:M58"/>
    <mergeCell ref="E59:M59"/>
    <mergeCell ref="E74:M74"/>
    <mergeCell ref="E62:M62"/>
    <mergeCell ref="E63:M63"/>
    <mergeCell ref="E64:M64"/>
    <mergeCell ref="E65:M65"/>
    <mergeCell ref="E66:M66"/>
    <mergeCell ref="E67:M67"/>
    <mergeCell ref="E68:M68"/>
    <mergeCell ref="E69:M69"/>
    <mergeCell ref="E70:M70"/>
    <mergeCell ref="E72:M72"/>
    <mergeCell ref="E73:M73"/>
    <mergeCell ref="E88:M88"/>
    <mergeCell ref="E75:M75"/>
    <mergeCell ref="E76:M76"/>
    <mergeCell ref="E77:M77"/>
    <mergeCell ref="E79:M79"/>
    <mergeCell ref="E80:M80"/>
    <mergeCell ref="E81:M81"/>
    <mergeCell ref="E82:M82"/>
    <mergeCell ref="E83:M83"/>
    <mergeCell ref="E84:M84"/>
    <mergeCell ref="E85:M85"/>
    <mergeCell ref="E86:M86"/>
    <mergeCell ref="E102:M102"/>
    <mergeCell ref="E89:M89"/>
    <mergeCell ref="E90:M90"/>
    <mergeCell ref="E91:M91"/>
    <mergeCell ref="E92:M92"/>
    <mergeCell ref="E93:M93"/>
    <mergeCell ref="E94:M94"/>
    <mergeCell ref="E96:M96"/>
    <mergeCell ref="E97:M97"/>
    <mergeCell ref="E98:M98"/>
    <mergeCell ref="E100:M100"/>
    <mergeCell ref="E101:M101"/>
    <mergeCell ref="E103:M103"/>
    <mergeCell ref="B106:C106"/>
    <mergeCell ref="B107:C107"/>
    <mergeCell ref="B110:M110"/>
    <mergeCell ref="C160:D160"/>
  </mergeCells>
  <conditionalFormatting sqref="G1:G3 G19 G109:G113 G148:G159 G163:G164 G166">
    <cfRule type="containsText" dxfId="14" priority="3" operator="containsText" text="Pas op">
      <formula>NOT(ISERROR(SEARCH("Pas op",G1)))</formula>
    </cfRule>
  </conditionalFormatting>
  <conditionalFormatting sqref="G104">
    <cfRule type="containsText" dxfId="13" priority="1" operator="containsText" text="Pas op">
      <formula>NOT(ISERROR(SEARCH("Pas op",G104)))</formula>
    </cfRule>
  </conditionalFormatting>
  <conditionalFormatting sqref="G176:G1048576">
    <cfRule type="containsText" dxfId="12" priority="2" operator="containsText" text="Pas op">
      <formula>NOT(ISERROR(SEARCH("Pas op",G176)))</formula>
    </cfRule>
  </conditionalFormatting>
  <dataValidations count="3">
    <dataValidation type="list" allowBlank="1" showInputMessage="1" showErrorMessage="1" sqref="C37353 C102889 C168425 C233961 C299497 C365033 C430569 C496105 C561641 C627177 C692713 C758249 C823785 C889321 C954857" xr:uid="{13D25496-78EF-4517-A28A-5D262CD6F103}">
      <formula1>"ja,nee"</formula1>
    </dataValidation>
    <dataValidation type="list" allowBlank="1" showInputMessage="1" showErrorMessage="1" sqref="C7" xr:uid="{792722C9-A374-4302-8378-8DE2E269A4EE}">
      <formula1>"t CO2,kWh"</formula1>
    </dataValidation>
    <dataValidation type="list" allowBlank="1" showInputMessage="1" showErrorMessage="1" sqref="C14" xr:uid="{E379C0DB-EFB0-46EA-8D43-5F8F3B4E2B2A}">
      <formula1>"Nee,Ja,Geen warmte"</formula1>
    </dataValidation>
  </dataValidations>
  <pageMargins left="0.7" right="0.7" top="0.75" bottom="0.75" header="0.3" footer="0.3"/>
  <pageSetup paperSize="9" scale="14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C046B4-DD9E-4166-B44F-32CBAAA5D466}">
  <sheetPr>
    <pageSetUpPr fitToPage="1"/>
  </sheetPr>
  <dimension ref="A1:AR190"/>
  <sheetViews>
    <sheetView showGridLines="0" zoomScaleNormal="100" workbookViewId="0"/>
  </sheetViews>
  <sheetFormatPr defaultColWidth="12.5703125" defaultRowHeight="12.75" x14ac:dyDescent="0.2"/>
  <cols>
    <col min="1" max="1" width="1.42578125" style="244" customWidth="1"/>
    <col min="2" max="2" width="53.42578125" style="244" customWidth="1"/>
    <col min="3" max="3" width="17.5703125" style="17" customWidth="1"/>
    <col min="4" max="4" width="29.42578125" style="17" bestFit="1" customWidth="1"/>
    <col min="5" max="5" width="20.42578125" style="244" customWidth="1"/>
    <col min="6" max="12" width="12.5703125" style="244" customWidth="1"/>
    <col min="13" max="13" width="15.42578125" style="244" customWidth="1"/>
    <col min="14" max="43" width="12.5703125" style="244" customWidth="1"/>
    <col min="44" max="16384" width="12.5703125" style="244"/>
  </cols>
  <sheetData>
    <row r="1" spans="1:44" ht="20.100000000000001" customHeight="1" x14ac:dyDescent="0.3">
      <c r="A1" s="16" t="str">
        <f>CONCATENATE("Berekening basisbedragen: ", Colofon!C16)</f>
        <v>Berekening basisbedragen: Advies TOWOZ 2026</v>
      </c>
    </row>
    <row r="2" spans="1:44" s="18" customFormat="1" ht="20.100000000000001" customHeight="1" x14ac:dyDescent="0.3">
      <c r="A2" s="142" t="s">
        <v>271</v>
      </c>
      <c r="C2" s="19"/>
      <c r="D2" s="19"/>
      <c r="G2" s="20"/>
    </row>
    <row r="4" spans="1:44" ht="15" customHeight="1" x14ac:dyDescent="0.25">
      <c r="B4" s="56" t="s">
        <v>124</v>
      </c>
      <c r="C4" s="57" t="s">
        <v>37</v>
      </c>
      <c r="D4" s="57" t="s">
        <v>114</v>
      </c>
      <c r="E4" s="262" t="s">
        <v>31</v>
      </c>
      <c r="F4" s="263"/>
      <c r="G4" s="263"/>
      <c r="H4" s="263"/>
      <c r="I4" s="263"/>
      <c r="J4" s="263"/>
      <c r="K4" s="263"/>
      <c r="L4" s="263"/>
      <c r="M4" s="255"/>
    </row>
    <row r="5" spans="1:44" ht="12.95" customHeight="1" x14ac:dyDescent="0.25">
      <c r="B5" s="50" t="s">
        <v>28</v>
      </c>
      <c r="C5" s="281">
        <f>ROUND((C157-C149)/C150,4)</f>
        <v>0.10340000000000001</v>
      </c>
      <c r="D5" s="52" t="str">
        <f>CONCATENATE("Euro/",$C$7)</f>
        <v>Euro/kWh</v>
      </c>
      <c r="E5" s="264" t="s">
        <v>125</v>
      </c>
      <c r="F5" s="265"/>
      <c r="G5" s="265"/>
      <c r="H5" s="265"/>
      <c r="I5" s="265"/>
      <c r="J5" s="265"/>
      <c r="K5" s="265"/>
      <c r="L5" s="265"/>
      <c r="M5" s="266"/>
    </row>
    <row r="6" spans="1:44" ht="12.95" customHeight="1" x14ac:dyDescent="0.25">
      <c r="B6" s="50" t="s">
        <v>27</v>
      </c>
      <c r="C6" s="71">
        <f>(ROUND(C5,4)-(ROUND(C164,4)+ROUND(C166,4)+ROUND(C167,4)+ROUND(C169,4)))/ROUND(C70,4)*1000</f>
        <v>213.40304182509507</v>
      </c>
      <c r="D6" s="53" t="s">
        <v>126</v>
      </c>
      <c r="E6" s="264" t="s">
        <v>127</v>
      </c>
      <c r="F6" s="265"/>
      <c r="G6" s="265"/>
      <c r="H6" s="265"/>
      <c r="I6" s="265"/>
      <c r="J6" s="265"/>
      <c r="K6" s="265"/>
      <c r="L6" s="265"/>
      <c r="M6" s="266"/>
    </row>
    <row r="7" spans="1:44" ht="12.95" customHeight="1" x14ac:dyDescent="0.2">
      <c r="B7" s="50" t="s">
        <v>34</v>
      </c>
      <c r="C7" s="79" t="s">
        <v>35</v>
      </c>
      <c r="D7" s="54"/>
      <c r="E7" s="137" t="s">
        <v>128</v>
      </c>
      <c r="F7" s="137"/>
      <c r="G7" s="137"/>
      <c r="H7" s="137"/>
      <c r="I7" s="137"/>
      <c r="J7" s="137"/>
      <c r="K7" s="137"/>
      <c r="L7" s="137"/>
      <c r="M7" s="243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</row>
    <row r="8" spans="1:44" ht="12.95" customHeight="1" x14ac:dyDescent="0.25">
      <c r="B8" s="50" t="s">
        <v>36</v>
      </c>
      <c r="C8" s="72" t="str">
        <f>IF(C7="kWh","kW",IF(C7="t CO2","t CO2/uur","foutmelding"))</f>
        <v>kW</v>
      </c>
      <c r="D8" s="54"/>
      <c r="E8" s="264"/>
      <c r="F8" s="265"/>
      <c r="G8" s="265"/>
      <c r="H8" s="265"/>
      <c r="I8" s="265"/>
      <c r="J8" s="265"/>
      <c r="K8" s="265"/>
      <c r="L8" s="265"/>
      <c r="M8" s="266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/>
      <c r="AO8" s="21"/>
      <c r="AP8" s="21"/>
      <c r="AQ8" s="21"/>
      <c r="AR8" s="21"/>
    </row>
    <row r="9" spans="1:44" ht="12.95" customHeight="1" x14ac:dyDescent="0.2">
      <c r="B9" s="51" t="s">
        <v>18</v>
      </c>
      <c r="C9" s="80" t="s">
        <v>21</v>
      </c>
      <c r="D9" s="55"/>
      <c r="E9" s="138" t="s">
        <v>129</v>
      </c>
      <c r="F9" s="138"/>
      <c r="G9" s="138"/>
      <c r="H9" s="138"/>
      <c r="I9" s="138"/>
      <c r="J9" s="138"/>
      <c r="K9" s="138"/>
      <c r="L9" s="138"/>
      <c r="M9" s="246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</row>
    <row r="10" spans="1:44" s="22" customFormat="1" ht="12.95" customHeight="1" x14ac:dyDescent="0.2">
      <c r="B10" s="21"/>
      <c r="C10" s="21"/>
      <c r="D10" s="21"/>
      <c r="E10" s="23"/>
      <c r="F10" s="23"/>
      <c r="G10" s="23"/>
      <c r="H10" s="23"/>
      <c r="I10" s="23"/>
      <c r="J10" s="23"/>
      <c r="K10" s="23"/>
      <c r="L10" s="23"/>
      <c r="M10" s="23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/>
      <c r="AP10" s="21"/>
      <c r="AQ10" s="21"/>
      <c r="AR10" s="21"/>
    </row>
    <row r="11" spans="1:44" ht="12.95" customHeight="1" x14ac:dyDescent="0.25">
      <c r="B11" s="56" t="s">
        <v>130</v>
      </c>
      <c r="C11" s="57" t="s">
        <v>37</v>
      </c>
      <c r="D11" s="57" t="s">
        <v>131</v>
      </c>
      <c r="E11" s="262" t="s">
        <v>31</v>
      </c>
      <c r="F11" s="263"/>
      <c r="G11" s="263"/>
      <c r="H11" s="263"/>
      <c r="I11" s="263"/>
      <c r="J11" s="263"/>
      <c r="K11" s="263"/>
      <c r="L11" s="263"/>
      <c r="M11" s="255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</row>
    <row r="12" spans="1:44" ht="12.95" customHeight="1" x14ac:dyDescent="0.25">
      <c r="B12" s="58" t="s">
        <v>38</v>
      </c>
      <c r="C12" s="140" t="s">
        <v>253</v>
      </c>
      <c r="D12" s="59" t="str">
        <f>_xlfn.XLOOKUP(C12,Correcties!A3:A3,Correcties!B3:B3,"")</f>
        <v>Elektriciteiit-WOZ (vanaf 2025)</v>
      </c>
      <c r="E12" s="267" t="str">
        <f>IFERROR(INDEX(Correcties!$A$1:$I$244,MATCH('IJv-g (b)'!C12,Correcties!$A$1:$A$244,0),5),"")</f>
        <v>EPEX2 x PF_WOZ</v>
      </c>
      <c r="F12" s="263"/>
      <c r="G12" s="263"/>
      <c r="H12" s="263"/>
      <c r="I12" s="263"/>
      <c r="J12" s="263"/>
      <c r="K12" s="263"/>
      <c r="L12" s="263"/>
      <c r="M12" s="255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</row>
    <row r="13" spans="1:44" ht="12.95" customHeight="1" x14ac:dyDescent="0.25">
      <c r="B13" s="50" t="s">
        <v>39</v>
      </c>
      <c r="C13" s="140">
        <v>0</v>
      </c>
      <c r="D13" s="60" t="str">
        <f>_xlfn.XLOOKUP(C13,Correcties!A14:A14,Correcties!B14:B14)</f>
        <v>Geen ETS-correctie</v>
      </c>
      <c r="E13" s="264">
        <f>_xlfn.XLOOKUP(C13,Correcties!A14:A14,Correcties!E14:E14)</f>
        <v>0</v>
      </c>
      <c r="F13" s="265"/>
      <c r="G13" s="265"/>
      <c r="H13" s="265"/>
      <c r="I13" s="265"/>
      <c r="J13" s="265"/>
      <c r="K13" s="265"/>
      <c r="L13" s="265"/>
      <c r="M13" s="266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</row>
    <row r="14" spans="1:44" ht="12.95" customHeight="1" x14ac:dyDescent="0.2">
      <c r="B14" s="50" t="s">
        <v>132</v>
      </c>
      <c r="C14" s="79" t="s">
        <v>40</v>
      </c>
      <c r="D14" s="60" t="s">
        <v>133</v>
      </c>
      <c r="E14" s="137" t="s">
        <v>134</v>
      </c>
      <c r="F14" s="137"/>
      <c r="G14" s="137"/>
      <c r="H14" s="137"/>
      <c r="I14" s="137"/>
      <c r="J14" s="137"/>
      <c r="K14" s="137"/>
      <c r="L14" s="137"/>
      <c r="M14" s="243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</row>
    <row r="15" spans="1:44" ht="15" customHeight="1" x14ac:dyDescent="0.25">
      <c r="B15" s="50" t="s">
        <v>41</v>
      </c>
      <c r="C15" s="140"/>
      <c r="D15" s="53" t="str">
        <f>_xlfn.XLOOKUP(C15,Correcties!A3:A3,Correcties!B3:B3,"")</f>
        <v/>
      </c>
      <c r="E15" s="264" t="str">
        <f>"Enkel relevant voor zon-pv. "&amp;_xlfn.XLOOKUP(C15,Correcties!A3:A3,Correcties!E3:E3,"")</f>
        <v xml:space="preserve">Enkel relevant voor zon-pv. </v>
      </c>
      <c r="F15" s="265"/>
      <c r="G15" s="265"/>
      <c r="H15" s="265"/>
      <c r="I15" s="265"/>
      <c r="J15" s="265"/>
      <c r="K15" s="265"/>
      <c r="L15" s="265"/>
      <c r="M15" s="266"/>
    </row>
    <row r="16" spans="1:44" ht="15" customHeight="1" x14ac:dyDescent="0.25">
      <c r="B16" s="50" t="s">
        <v>42</v>
      </c>
      <c r="C16" s="140"/>
      <c r="D16" s="53" t="str">
        <f>_xlfn.XLOOKUP(C16,Correcties!A3:A3,Correcties!B3:B3,"")</f>
        <v/>
      </c>
      <c r="E16" s="264" t="str">
        <f>"Enkel relevant voor zon-pv. "&amp;_xlfn.XLOOKUP(C16,Correcties!A3:A3,Correcties!E3:E3,"")</f>
        <v xml:space="preserve">Enkel relevant voor zon-pv. </v>
      </c>
      <c r="F16" s="265"/>
      <c r="G16" s="265"/>
      <c r="H16" s="265"/>
      <c r="I16" s="265"/>
      <c r="J16" s="265"/>
      <c r="K16" s="265"/>
      <c r="L16" s="265"/>
      <c r="M16" s="266"/>
    </row>
    <row r="17" spans="2:13" ht="15" customHeight="1" x14ac:dyDescent="0.25">
      <c r="B17" s="50" t="s">
        <v>43</v>
      </c>
      <c r="C17" s="81"/>
      <c r="D17" s="53"/>
      <c r="E17" s="264" t="s">
        <v>135</v>
      </c>
      <c r="F17" s="265"/>
      <c r="G17" s="265"/>
      <c r="H17" s="265"/>
      <c r="I17" s="265"/>
      <c r="J17" s="265"/>
      <c r="K17" s="265"/>
      <c r="L17" s="265"/>
      <c r="M17" s="266"/>
    </row>
    <row r="18" spans="2:13" ht="15" customHeight="1" x14ac:dyDescent="0.25">
      <c r="B18" s="51" t="s">
        <v>44</v>
      </c>
      <c r="C18" s="82"/>
      <c r="D18" s="61"/>
      <c r="E18" s="268" t="s">
        <v>136</v>
      </c>
      <c r="F18" s="269"/>
      <c r="G18" s="269"/>
      <c r="H18" s="269"/>
      <c r="I18" s="269"/>
      <c r="J18" s="269"/>
      <c r="K18" s="269"/>
      <c r="L18" s="269"/>
      <c r="M18" s="270"/>
    </row>
    <row r="19" spans="2:13" x14ac:dyDescent="0.2">
      <c r="C19" s="24"/>
    </row>
    <row r="20" spans="2:13" ht="15" customHeight="1" x14ac:dyDescent="0.25">
      <c r="B20" s="56" t="s">
        <v>137</v>
      </c>
      <c r="C20" s="57" t="s">
        <v>37</v>
      </c>
      <c r="D20" s="57" t="s">
        <v>114</v>
      </c>
      <c r="E20" s="262" t="s">
        <v>31</v>
      </c>
      <c r="F20" s="263"/>
      <c r="G20" s="263"/>
      <c r="H20" s="263"/>
      <c r="I20" s="263"/>
      <c r="J20" s="263"/>
      <c r="K20" s="263"/>
      <c r="L20" s="263"/>
      <c r="M20" s="255"/>
    </row>
    <row r="21" spans="2:13" ht="15" customHeight="1" x14ac:dyDescent="0.25">
      <c r="B21" s="50" t="s">
        <v>45</v>
      </c>
      <c r="C21" s="79"/>
      <c r="D21" s="52" t="str">
        <f>C8</f>
        <v>kW</v>
      </c>
      <c r="E21" s="264"/>
      <c r="F21" s="265"/>
      <c r="G21" s="265"/>
      <c r="H21" s="265"/>
      <c r="I21" s="265"/>
      <c r="J21" s="265"/>
      <c r="K21" s="265"/>
      <c r="L21" s="265"/>
      <c r="M21" s="266"/>
    </row>
    <row r="22" spans="2:13" ht="12.95" customHeight="1" x14ac:dyDescent="0.25">
      <c r="B22" s="50" t="s">
        <v>46</v>
      </c>
      <c r="C22" s="178"/>
      <c r="D22" s="52"/>
      <c r="E22" s="264" t="s">
        <v>138</v>
      </c>
      <c r="F22" s="265"/>
      <c r="G22" s="265"/>
      <c r="H22" s="265"/>
      <c r="I22" s="265"/>
      <c r="J22" s="265"/>
      <c r="K22" s="265"/>
      <c r="L22" s="265"/>
      <c r="M22" s="266"/>
    </row>
    <row r="23" spans="2:13" x14ac:dyDescent="0.2">
      <c r="B23" s="50" t="s">
        <v>47</v>
      </c>
      <c r="C23" s="79"/>
      <c r="D23" s="53"/>
      <c r="E23" s="137" t="s">
        <v>139</v>
      </c>
      <c r="F23" s="137"/>
      <c r="G23" s="137"/>
      <c r="H23" s="137"/>
      <c r="I23" s="137"/>
      <c r="J23" s="137"/>
      <c r="K23" s="137"/>
      <c r="L23" s="137"/>
      <c r="M23" s="243"/>
    </row>
    <row r="24" spans="2:13" ht="15" customHeight="1" x14ac:dyDescent="0.25">
      <c r="B24" s="62" t="s">
        <v>140</v>
      </c>
      <c r="C24" s="83"/>
      <c r="D24" s="53"/>
      <c r="E24" s="264" t="s">
        <v>141</v>
      </c>
      <c r="F24" s="265"/>
      <c r="G24" s="265"/>
      <c r="H24" s="265"/>
      <c r="I24" s="265"/>
      <c r="J24" s="265"/>
      <c r="K24" s="265"/>
      <c r="L24" s="265"/>
      <c r="M24" s="266"/>
    </row>
    <row r="25" spans="2:13" ht="15" customHeight="1" x14ac:dyDescent="0.25">
      <c r="B25" s="62" t="s">
        <v>142</v>
      </c>
      <c r="C25" s="179">
        <f>IF(C23="JA",IF(C24&lt;&gt;"",C21*C175/C172/C24,0),0)</f>
        <v>0</v>
      </c>
      <c r="D25" s="53" t="s">
        <v>143</v>
      </c>
      <c r="E25" s="264"/>
      <c r="F25" s="265"/>
      <c r="G25" s="265"/>
      <c r="H25" s="265"/>
      <c r="I25" s="265"/>
      <c r="J25" s="265"/>
      <c r="K25" s="265"/>
      <c r="L25" s="265"/>
      <c r="M25" s="266"/>
    </row>
    <row r="26" spans="2:13" ht="15" customHeight="1" x14ac:dyDescent="0.25">
      <c r="B26" s="50" t="s">
        <v>48</v>
      </c>
      <c r="C26" s="79"/>
      <c r="D26" s="52" t="str">
        <f>C8</f>
        <v>kW</v>
      </c>
      <c r="E26" s="264" t="s">
        <v>144</v>
      </c>
      <c r="F26" s="265"/>
      <c r="G26" s="265"/>
      <c r="H26" s="265"/>
      <c r="I26" s="265"/>
      <c r="J26" s="265"/>
      <c r="K26" s="265"/>
      <c r="L26" s="265"/>
      <c r="M26" s="266"/>
    </row>
    <row r="27" spans="2:13" ht="15" customHeight="1" x14ac:dyDescent="0.25">
      <c r="B27" s="62" t="s">
        <v>145</v>
      </c>
      <c r="C27" s="179">
        <f>IF(C23="JA",IF(C26=0,,C26*C175/C173),0)</f>
        <v>0</v>
      </c>
      <c r="D27" s="53" t="s">
        <v>143</v>
      </c>
      <c r="E27" s="264"/>
      <c r="F27" s="265"/>
      <c r="G27" s="265"/>
      <c r="H27" s="265"/>
      <c r="I27" s="265"/>
      <c r="J27" s="265"/>
      <c r="K27" s="265"/>
      <c r="L27" s="265"/>
      <c r="M27" s="266"/>
    </row>
    <row r="28" spans="2:13" ht="15" customHeight="1" x14ac:dyDescent="0.25">
      <c r="B28" s="50" t="s">
        <v>49</v>
      </c>
      <c r="C28" s="84">
        <v>1000000</v>
      </c>
      <c r="D28" s="52" t="str">
        <f>C8</f>
        <v>kW</v>
      </c>
      <c r="E28" s="264" t="s">
        <v>146</v>
      </c>
      <c r="F28" s="265"/>
      <c r="G28" s="265"/>
      <c r="H28" s="265"/>
      <c r="I28" s="265"/>
      <c r="J28" s="265"/>
      <c r="K28" s="265"/>
      <c r="L28" s="265"/>
      <c r="M28" s="266"/>
    </row>
    <row r="29" spans="2:13" ht="15" customHeight="1" x14ac:dyDescent="0.25">
      <c r="B29" s="50" t="s">
        <v>50</v>
      </c>
      <c r="C29" s="84"/>
      <c r="D29" s="53" t="s">
        <v>147</v>
      </c>
      <c r="E29" s="264" t="s">
        <v>148</v>
      </c>
      <c r="F29" s="265"/>
      <c r="G29" s="265"/>
      <c r="H29" s="265"/>
      <c r="I29" s="265"/>
      <c r="J29" s="265"/>
      <c r="K29" s="265"/>
      <c r="L29" s="265"/>
      <c r="M29" s="266"/>
    </row>
    <row r="30" spans="2:13" ht="15" customHeight="1" x14ac:dyDescent="0.25">
      <c r="B30" s="51" t="s">
        <v>51</v>
      </c>
      <c r="C30" s="80">
        <v>3738.2</v>
      </c>
      <c r="D30" s="61" t="s">
        <v>147</v>
      </c>
      <c r="E30" s="268" t="s">
        <v>148</v>
      </c>
      <c r="F30" s="269"/>
      <c r="G30" s="269"/>
      <c r="H30" s="269"/>
      <c r="I30" s="269"/>
      <c r="J30" s="269"/>
      <c r="K30" s="269"/>
      <c r="L30" s="269"/>
      <c r="M30" s="270"/>
    </row>
    <row r="31" spans="2:13" x14ac:dyDescent="0.2">
      <c r="C31" s="25"/>
      <c r="E31" s="141"/>
      <c r="F31" s="141"/>
      <c r="G31" s="141"/>
      <c r="H31" s="141"/>
      <c r="I31" s="141"/>
      <c r="J31" s="141"/>
      <c r="K31" s="141"/>
      <c r="L31" s="141"/>
      <c r="M31" s="141"/>
    </row>
    <row r="32" spans="2:13" ht="15" customHeight="1" x14ac:dyDescent="0.25">
      <c r="B32" s="56" t="s">
        <v>149</v>
      </c>
      <c r="C32" s="57" t="s">
        <v>37</v>
      </c>
      <c r="D32" s="57" t="s">
        <v>114</v>
      </c>
      <c r="E32" s="262" t="s">
        <v>31</v>
      </c>
      <c r="F32" s="263"/>
      <c r="G32" s="263"/>
      <c r="H32" s="263"/>
      <c r="I32" s="263"/>
      <c r="J32" s="263"/>
      <c r="K32" s="263"/>
      <c r="L32" s="263"/>
      <c r="M32" s="255"/>
    </row>
    <row r="33" spans="2:13" ht="15" customHeight="1" x14ac:dyDescent="0.25">
      <c r="B33" s="50" t="s">
        <v>52</v>
      </c>
      <c r="C33" s="180">
        <f>IF(C21&gt;0,C28/C21,IF(C28&gt;0,1,0))</f>
        <v>1</v>
      </c>
      <c r="D33" s="53"/>
      <c r="E33" s="264"/>
      <c r="F33" s="265"/>
      <c r="G33" s="265"/>
      <c r="H33" s="265"/>
      <c r="I33" s="265"/>
      <c r="J33" s="265"/>
      <c r="K33" s="265"/>
      <c r="L33" s="265"/>
      <c r="M33" s="266"/>
    </row>
    <row r="34" spans="2:13" ht="15" customHeight="1" x14ac:dyDescent="0.25">
      <c r="B34" s="50" t="s">
        <v>53</v>
      </c>
      <c r="C34" s="180">
        <f>IF(C28&gt;0,C33-C36*C33*(C26*C29)/(C28*C30),)</f>
        <v>1</v>
      </c>
      <c r="D34" s="53"/>
      <c r="E34" s="264"/>
      <c r="F34" s="265"/>
      <c r="G34" s="265"/>
      <c r="H34" s="265"/>
      <c r="I34" s="265"/>
      <c r="J34" s="265"/>
      <c r="K34" s="265"/>
      <c r="L34" s="265"/>
      <c r="M34" s="266"/>
    </row>
    <row r="35" spans="2:13" ht="15" customHeight="1" x14ac:dyDescent="0.25">
      <c r="B35" s="50" t="s">
        <v>54</v>
      </c>
      <c r="C35" s="73">
        <f>IF(C21&gt;0,C26/C21,0)</f>
        <v>0</v>
      </c>
      <c r="D35" s="53"/>
      <c r="E35" s="264"/>
      <c r="F35" s="265"/>
      <c r="G35" s="265"/>
      <c r="H35" s="265"/>
      <c r="I35" s="265"/>
      <c r="J35" s="265"/>
      <c r="K35" s="265"/>
      <c r="L35" s="265"/>
      <c r="M35" s="266"/>
    </row>
    <row r="36" spans="2:13" ht="15" customHeight="1" x14ac:dyDescent="0.25">
      <c r="B36" s="51" t="s">
        <v>55</v>
      </c>
      <c r="C36" s="86"/>
      <c r="D36" s="61" t="s">
        <v>150</v>
      </c>
      <c r="E36" s="268" t="s">
        <v>151</v>
      </c>
      <c r="F36" s="269"/>
      <c r="G36" s="269"/>
      <c r="H36" s="269"/>
      <c r="I36" s="269"/>
      <c r="J36" s="269"/>
      <c r="K36" s="269"/>
      <c r="L36" s="269"/>
      <c r="M36" s="270"/>
    </row>
    <row r="37" spans="2:13" x14ac:dyDescent="0.2">
      <c r="C37" s="26"/>
      <c r="E37" s="141"/>
      <c r="F37" s="141"/>
      <c r="G37" s="141"/>
      <c r="H37" s="141"/>
      <c r="I37" s="141"/>
      <c r="J37" s="141"/>
      <c r="K37" s="141"/>
      <c r="L37" s="141"/>
      <c r="M37" s="141"/>
    </row>
    <row r="38" spans="2:13" ht="15" customHeight="1" x14ac:dyDescent="0.25">
      <c r="B38" s="56" t="s">
        <v>56</v>
      </c>
      <c r="C38" s="57" t="s">
        <v>37</v>
      </c>
      <c r="D38" s="57" t="s">
        <v>114</v>
      </c>
      <c r="E38" s="262" t="s">
        <v>31</v>
      </c>
      <c r="F38" s="263"/>
      <c r="G38" s="263"/>
      <c r="H38" s="263"/>
      <c r="I38" s="263"/>
      <c r="J38" s="263"/>
      <c r="K38" s="263"/>
      <c r="L38" s="263"/>
      <c r="M38" s="255"/>
    </row>
    <row r="39" spans="2:13" ht="15" customHeight="1" x14ac:dyDescent="0.25">
      <c r="B39" s="63" t="s">
        <v>152</v>
      </c>
      <c r="C39" s="84"/>
      <c r="D39" s="53" t="str">
        <f>CONCATENATE("Euro/",$C$8)</f>
        <v>Euro/kW</v>
      </c>
      <c r="E39" s="264" t="s">
        <v>153</v>
      </c>
      <c r="F39" s="265"/>
      <c r="G39" s="265"/>
      <c r="H39" s="265"/>
      <c r="I39" s="265"/>
      <c r="J39" s="265"/>
      <c r="K39" s="265"/>
      <c r="L39" s="265"/>
      <c r="M39" s="266"/>
    </row>
    <row r="40" spans="2:13" ht="15" customHeight="1" x14ac:dyDescent="0.25">
      <c r="B40" s="63" t="s">
        <v>154</v>
      </c>
      <c r="C40" s="79">
        <v>3012.5512769687175</v>
      </c>
      <c r="D40" s="53" t="str">
        <f>CONCATENATE("Euro/",$C$8)</f>
        <v>Euro/kW</v>
      </c>
      <c r="E40" s="264" t="s">
        <v>277</v>
      </c>
      <c r="F40" s="265"/>
      <c r="G40" s="265"/>
      <c r="H40" s="265"/>
      <c r="I40" s="265"/>
      <c r="J40" s="265"/>
      <c r="K40" s="265"/>
      <c r="L40" s="265"/>
      <c r="M40" s="266"/>
    </row>
    <row r="41" spans="2:13" ht="15" customHeight="1" x14ac:dyDescent="0.25">
      <c r="B41" s="50" t="s">
        <v>57</v>
      </c>
      <c r="C41" s="181">
        <f>((C21*C39+SUM(C26,C28)*C40)*(1+D103*C92))/1000000</f>
        <v>3035.1454115459833</v>
      </c>
      <c r="D41" s="53" t="s">
        <v>155</v>
      </c>
      <c r="E41" s="271"/>
      <c r="F41" s="265"/>
      <c r="G41" s="265"/>
      <c r="H41" s="265"/>
      <c r="I41" s="265"/>
      <c r="J41" s="265"/>
      <c r="K41" s="265"/>
      <c r="L41" s="265"/>
      <c r="M41" s="266"/>
    </row>
    <row r="42" spans="2:13" ht="15" customHeight="1" x14ac:dyDescent="0.25">
      <c r="B42" s="63" t="s">
        <v>156</v>
      </c>
      <c r="C42" s="178"/>
      <c r="D42" s="53" t="str">
        <f>CONCATENATE("Euro/",$C$8,"/jaar")</f>
        <v>Euro/kW/jaar</v>
      </c>
      <c r="E42" s="264" t="s">
        <v>157</v>
      </c>
      <c r="F42" s="265"/>
      <c r="G42" s="265"/>
      <c r="H42" s="265"/>
      <c r="I42" s="265"/>
      <c r="J42" s="265"/>
      <c r="K42" s="265"/>
      <c r="L42" s="265"/>
      <c r="M42" s="266"/>
    </row>
    <row r="43" spans="2:13" ht="15" customHeight="1" x14ac:dyDescent="0.25">
      <c r="B43" s="63" t="s">
        <v>158</v>
      </c>
      <c r="C43" s="178">
        <v>51.238265321447997</v>
      </c>
      <c r="D43" s="53" t="str">
        <f>CONCATENATE("Euro/",$C$8,"/jaar")</f>
        <v>Euro/kW/jaar</v>
      </c>
      <c r="E43" s="264" t="s">
        <v>157</v>
      </c>
      <c r="F43" s="265"/>
      <c r="G43" s="265"/>
      <c r="H43" s="265"/>
      <c r="I43" s="265"/>
      <c r="J43" s="265"/>
      <c r="K43" s="265"/>
      <c r="L43" s="265"/>
      <c r="M43" s="266"/>
    </row>
    <row r="44" spans="2:13" ht="15" customHeight="1" x14ac:dyDescent="0.25">
      <c r="B44" s="50" t="s">
        <v>58</v>
      </c>
      <c r="C44" s="74">
        <f>(C42*C21+C43*SUM(C26,C28))/1000</f>
        <v>51238.265321448001</v>
      </c>
      <c r="D44" s="53" t="s">
        <v>159</v>
      </c>
      <c r="E44" s="271" t="s">
        <v>160</v>
      </c>
      <c r="F44" s="265"/>
      <c r="G44" s="265"/>
      <c r="H44" s="265"/>
      <c r="I44" s="265"/>
      <c r="J44" s="265"/>
      <c r="K44" s="265"/>
      <c r="L44" s="265"/>
      <c r="M44" s="266"/>
    </row>
    <row r="45" spans="2:13" ht="15" customHeight="1" x14ac:dyDescent="0.25">
      <c r="B45" s="50" t="s">
        <v>161</v>
      </c>
      <c r="C45" s="182"/>
      <c r="D45" s="53" t="str">
        <f>CONCATENATE("Euro/",$C$7)</f>
        <v>Euro/kWh</v>
      </c>
      <c r="E45" s="264" t="str">
        <f>CONCATENATE("Het betreft de inkoopkosten voor elektriciteit, per ", $C$7," output")</f>
        <v>Het betreft de inkoopkosten voor elektriciteit, per kWh output</v>
      </c>
      <c r="F45" s="265"/>
      <c r="G45" s="265"/>
      <c r="H45" s="265"/>
      <c r="I45" s="265"/>
      <c r="J45" s="265"/>
      <c r="K45" s="265"/>
      <c r="L45" s="265"/>
      <c r="M45" s="266"/>
    </row>
    <row r="46" spans="2:13" ht="15" customHeight="1" x14ac:dyDescent="0.25">
      <c r="B46" s="50" t="s">
        <v>162</v>
      </c>
      <c r="C46" s="182"/>
      <c r="D46" s="53" t="str">
        <f>CONCATENATE("Euro/",$C$7)</f>
        <v>Euro/kWh</v>
      </c>
      <c r="E46" s="264" t="str">
        <f>CONCATENATE("Het betreft de inkoopkosten voor gas, per ", $C$7," output")</f>
        <v>Het betreft de inkoopkosten voor gas, per kWh output</v>
      </c>
      <c r="F46" s="265"/>
      <c r="G46" s="265"/>
      <c r="H46" s="265"/>
      <c r="I46" s="265"/>
      <c r="J46" s="265"/>
      <c r="K46" s="265"/>
      <c r="L46" s="265"/>
      <c r="M46" s="266"/>
    </row>
    <row r="47" spans="2:13" ht="15" customHeight="1" x14ac:dyDescent="0.25">
      <c r="B47" s="50" t="s">
        <v>163</v>
      </c>
      <c r="C47" s="182"/>
      <c r="D47" s="53" t="str">
        <f>CONCATENATE("Euro/",$C$7)</f>
        <v>Euro/kWh</v>
      </c>
      <c r="E47" s="264" t="str">
        <f>CONCATENATE("Het betreft de inkoopkosten voor warmte, per ", $C$7," output")</f>
        <v>Het betreft de inkoopkosten voor warmte, per kWh output</v>
      </c>
      <c r="F47" s="265"/>
      <c r="G47" s="265"/>
      <c r="H47" s="265"/>
      <c r="I47" s="265"/>
      <c r="J47" s="265"/>
      <c r="K47" s="265"/>
      <c r="L47" s="265"/>
      <c r="M47" s="266"/>
    </row>
    <row r="48" spans="2:13" ht="15" customHeight="1" x14ac:dyDescent="0.25">
      <c r="B48" s="50" t="s">
        <v>59</v>
      </c>
      <c r="C48" s="182">
        <v>0.01</v>
      </c>
      <c r="D48" s="53" t="str">
        <f>CONCATENATE("Euro/",$C$7)</f>
        <v>Euro/kWh</v>
      </c>
      <c r="E48" s="243" t="s">
        <v>275</v>
      </c>
      <c r="M48" s="245"/>
    </row>
    <row r="49" spans="2:13" ht="15" customHeight="1" x14ac:dyDescent="0.25">
      <c r="B49" s="51" t="s">
        <v>164</v>
      </c>
      <c r="C49" s="183">
        <f>SUM(C45:C48)</f>
        <v>0.01</v>
      </c>
      <c r="D49" s="61" t="str">
        <f>CONCATENATE("Euro/",$C$7)</f>
        <v>Euro/kWh</v>
      </c>
      <c r="E49" s="272"/>
      <c r="F49" s="269"/>
      <c r="G49" s="269"/>
      <c r="H49" s="269"/>
      <c r="I49" s="269"/>
      <c r="J49" s="269"/>
      <c r="K49" s="269"/>
      <c r="L49" s="269"/>
      <c r="M49" s="270"/>
    </row>
    <row r="50" spans="2:13" x14ac:dyDescent="0.2">
      <c r="C50" s="26"/>
      <c r="E50" s="141"/>
      <c r="F50" s="141"/>
      <c r="G50" s="141"/>
      <c r="H50" s="141"/>
      <c r="I50" s="141"/>
      <c r="J50" s="141"/>
      <c r="K50" s="141"/>
      <c r="L50" s="141"/>
      <c r="M50" s="141"/>
    </row>
    <row r="51" spans="2:13" ht="15" customHeight="1" x14ac:dyDescent="0.25">
      <c r="B51" s="64" t="s">
        <v>60</v>
      </c>
      <c r="C51" s="57" t="s">
        <v>37</v>
      </c>
      <c r="D51" s="57" t="s">
        <v>114</v>
      </c>
      <c r="E51" s="262" t="s">
        <v>31</v>
      </c>
      <c r="F51" s="263"/>
      <c r="G51" s="263"/>
      <c r="H51" s="263"/>
      <c r="I51" s="263"/>
      <c r="J51" s="263"/>
      <c r="K51" s="263"/>
      <c r="L51" s="263"/>
      <c r="M51" s="255"/>
    </row>
    <row r="52" spans="2:13" ht="15" customHeight="1" x14ac:dyDescent="0.25">
      <c r="B52" s="50" t="s">
        <v>61</v>
      </c>
      <c r="C52" s="81"/>
      <c r="D52" s="53" t="s">
        <v>165</v>
      </c>
      <c r="E52" s="264"/>
      <c r="F52" s="265"/>
      <c r="G52" s="265"/>
      <c r="H52" s="265"/>
      <c r="I52" s="265"/>
      <c r="J52" s="265"/>
      <c r="K52" s="265"/>
      <c r="L52" s="265"/>
      <c r="M52" s="266"/>
    </row>
    <row r="53" spans="2:13" ht="15" customHeight="1" x14ac:dyDescent="0.25">
      <c r="B53" s="50" t="s">
        <v>62</v>
      </c>
      <c r="C53" s="179">
        <f>IF(C52=0,,C21*MAX(C29,C30)*C175/C52/1000)</f>
        <v>0</v>
      </c>
      <c r="D53" s="53" t="s">
        <v>166</v>
      </c>
      <c r="E53" s="273"/>
      <c r="F53" s="265"/>
      <c r="G53" s="265"/>
      <c r="H53" s="265"/>
      <c r="I53" s="265"/>
      <c r="J53" s="265"/>
      <c r="K53" s="265"/>
      <c r="L53" s="265"/>
      <c r="M53" s="266"/>
    </row>
    <row r="54" spans="2:13" ht="15" customHeight="1" x14ac:dyDescent="0.25">
      <c r="B54" s="50" t="s">
        <v>63</v>
      </c>
      <c r="C54" s="87"/>
      <c r="D54" s="53" t="s">
        <v>167</v>
      </c>
      <c r="E54" s="264" t="s">
        <v>168</v>
      </c>
      <c r="F54" s="265"/>
      <c r="G54" s="265"/>
      <c r="H54" s="265"/>
      <c r="I54" s="265"/>
      <c r="J54" s="265"/>
      <c r="K54" s="265"/>
      <c r="L54" s="265"/>
      <c r="M54" s="266"/>
    </row>
    <row r="55" spans="2:13" ht="15" customHeight="1" x14ac:dyDescent="0.25">
      <c r="B55" s="50" t="s">
        <v>64</v>
      </c>
      <c r="C55" s="87"/>
      <c r="D55" s="53" t="str">
        <f>CONCATENATE("kWh/",$C$7)</f>
        <v>kWh/kWh</v>
      </c>
      <c r="E55" s="264"/>
      <c r="F55" s="265"/>
      <c r="G55" s="265"/>
      <c r="H55" s="265"/>
      <c r="I55" s="265"/>
      <c r="J55" s="265"/>
      <c r="K55" s="265"/>
      <c r="L55" s="265"/>
      <c r="M55" s="266"/>
    </row>
    <row r="56" spans="2:13" ht="15" customHeight="1" x14ac:dyDescent="0.25">
      <c r="B56" s="50" t="s">
        <v>65</v>
      </c>
      <c r="C56" s="179">
        <f>IF(C55=0,,MAX(C26,C28)*MAX(C29,C30)*C55*10^(-3))</f>
        <v>0</v>
      </c>
      <c r="D56" s="53" t="s">
        <v>169</v>
      </c>
      <c r="E56" s="264"/>
      <c r="F56" s="265"/>
      <c r="G56" s="265"/>
      <c r="H56" s="265"/>
      <c r="I56" s="265"/>
      <c r="J56" s="265"/>
      <c r="K56" s="265"/>
      <c r="L56" s="265"/>
      <c r="M56" s="266"/>
    </row>
    <row r="57" spans="2:13" ht="15" customHeight="1" x14ac:dyDescent="0.25">
      <c r="B57" s="50" t="s">
        <v>66</v>
      </c>
      <c r="C57" s="87"/>
      <c r="D57" s="53" t="str">
        <f>CONCATENATE("kWh/",$C$7)</f>
        <v>kWh/kWh</v>
      </c>
      <c r="E57" s="264"/>
      <c r="F57" s="265"/>
      <c r="G57" s="265"/>
      <c r="H57" s="265"/>
      <c r="I57" s="265"/>
      <c r="J57" s="265"/>
      <c r="K57" s="265"/>
      <c r="L57" s="265"/>
      <c r="M57" s="266"/>
    </row>
    <row r="58" spans="2:13" ht="15" customHeight="1" x14ac:dyDescent="0.25">
      <c r="B58" s="50" t="s">
        <v>67</v>
      </c>
      <c r="C58" s="179">
        <f>IF(C57=0,,MAX($C$26,$C$28)*MAX($C$29,$C$30)*C57/1000)</f>
        <v>0</v>
      </c>
      <c r="D58" s="53" t="s">
        <v>169</v>
      </c>
      <c r="E58" s="264"/>
      <c r="F58" s="265"/>
      <c r="G58" s="265"/>
      <c r="H58" s="265"/>
      <c r="I58" s="265"/>
      <c r="J58" s="265"/>
      <c r="K58" s="265"/>
      <c r="L58" s="265"/>
      <c r="M58" s="266"/>
    </row>
    <row r="59" spans="2:13" ht="15" customHeight="1" x14ac:dyDescent="0.25">
      <c r="B59" s="50" t="s">
        <v>68</v>
      </c>
      <c r="C59" s="87"/>
      <c r="D59" s="53" t="str">
        <f>CONCATENATE("kWh/",$C$7)</f>
        <v>kWh/kWh</v>
      </c>
      <c r="E59" s="264"/>
      <c r="F59" s="265"/>
      <c r="G59" s="265"/>
      <c r="H59" s="265"/>
      <c r="I59" s="265"/>
      <c r="J59" s="265"/>
      <c r="K59" s="265"/>
      <c r="L59" s="265"/>
      <c r="M59" s="266"/>
    </row>
    <row r="60" spans="2:13" ht="15" customHeight="1" x14ac:dyDescent="0.25">
      <c r="B60" s="51" t="s">
        <v>69</v>
      </c>
      <c r="C60" s="184">
        <f>IF(C59=0,,MAX($C$26,$C$28)*MAX($C$29,$C$30)*C59/1000)</f>
        <v>0</v>
      </c>
      <c r="D60" s="61" t="s">
        <v>169</v>
      </c>
      <c r="E60" s="268"/>
      <c r="F60" s="269"/>
      <c r="G60" s="269"/>
      <c r="H60" s="269"/>
      <c r="I60" s="269"/>
      <c r="J60" s="269"/>
      <c r="K60" s="269"/>
      <c r="L60" s="269"/>
      <c r="M60" s="270"/>
    </row>
    <row r="61" spans="2:13" x14ac:dyDescent="0.2">
      <c r="C61" s="26"/>
      <c r="E61" s="141"/>
      <c r="F61" s="141"/>
      <c r="G61" s="141"/>
      <c r="H61" s="141"/>
      <c r="I61" s="141"/>
      <c r="J61" s="141"/>
      <c r="K61" s="141"/>
      <c r="L61" s="141"/>
      <c r="M61" s="141"/>
    </row>
    <row r="62" spans="2:13" ht="15" customHeight="1" x14ac:dyDescent="0.25">
      <c r="B62" s="64" t="s">
        <v>70</v>
      </c>
      <c r="C62" s="57" t="s">
        <v>37</v>
      </c>
      <c r="D62" s="57" t="s">
        <v>114</v>
      </c>
      <c r="E62" s="262" t="s">
        <v>31</v>
      </c>
      <c r="F62" s="263"/>
      <c r="G62" s="263"/>
      <c r="H62" s="263"/>
      <c r="I62" s="263"/>
      <c r="J62" s="263"/>
      <c r="K62" s="263"/>
      <c r="L62" s="263"/>
      <c r="M62" s="255"/>
    </row>
    <row r="63" spans="2:13" ht="15" customHeight="1" x14ac:dyDescent="0.25">
      <c r="B63" s="50" t="s">
        <v>71</v>
      </c>
      <c r="C63" s="94"/>
      <c r="D63" s="53" t="str">
        <f>IF(AND(C26&gt;0,C23=""),CONCATENATE("kg CO2/",$C$7),"kg CO2/kWh")</f>
        <v>kg CO2/kWh</v>
      </c>
      <c r="E63" s="264"/>
      <c r="F63" s="265"/>
      <c r="G63" s="265"/>
      <c r="H63" s="265"/>
      <c r="I63" s="265"/>
      <c r="J63" s="265"/>
      <c r="K63" s="265"/>
      <c r="L63" s="265"/>
      <c r="M63" s="266"/>
    </row>
    <row r="64" spans="2:13" ht="15" customHeight="1" x14ac:dyDescent="0.25">
      <c r="B64" s="50" t="s">
        <v>72</v>
      </c>
      <c r="C64" s="94">
        <v>8.7999999999999995E-2</v>
      </c>
      <c r="D64" s="53" t="str">
        <f>IF(C28&gt;0,CONCATENATE("kg CO2/",$C$7),"kg CO2/kWh")</f>
        <v>kg CO2/kWh</v>
      </c>
      <c r="E64" s="264"/>
      <c r="F64" s="265"/>
      <c r="G64" s="265"/>
      <c r="H64" s="265"/>
      <c r="I64" s="265"/>
      <c r="J64" s="265"/>
      <c r="K64" s="265"/>
      <c r="L64" s="265"/>
      <c r="M64" s="266"/>
    </row>
    <row r="65" spans="2:13" ht="15" customHeight="1" x14ac:dyDescent="0.25">
      <c r="B65" s="50" t="s">
        <v>73</v>
      </c>
      <c r="C65" s="94"/>
      <c r="D65" s="53" t="str">
        <f>IF(C23="Ja",CONCATENATE("kg CO2/",$C$7),"kg CO2/kWh")</f>
        <v>kg CO2/kWh</v>
      </c>
      <c r="E65" s="264"/>
      <c r="F65" s="265"/>
      <c r="G65" s="265"/>
      <c r="H65" s="265"/>
      <c r="I65" s="265"/>
      <c r="J65" s="265"/>
      <c r="K65" s="265"/>
      <c r="L65" s="265"/>
      <c r="M65" s="266"/>
    </row>
    <row r="66" spans="2:13" ht="15" customHeight="1" x14ac:dyDescent="0.25">
      <c r="B66" s="50" t="s">
        <v>74</v>
      </c>
      <c r="C66" s="87"/>
      <c r="D66" s="53" t="s">
        <v>170</v>
      </c>
      <c r="E66" s="264" t="s">
        <v>171</v>
      </c>
      <c r="F66" s="265"/>
      <c r="G66" s="265"/>
      <c r="H66" s="265"/>
      <c r="I66" s="265"/>
      <c r="J66" s="265"/>
      <c r="K66" s="265"/>
      <c r="L66" s="265"/>
      <c r="M66" s="266"/>
    </row>
    <row r="67" spans="2:13" ht="15" customHeight="1" x14ac:dyDescent="0.25">
      <c r="B67" s="50" t="s">
        <v>75</v>
      </c>
      <c r="C67" s="185"/>
      <c r="D67" s="53" t="s">
        <v>172</v>
      </c>
      <c r="E67" s="264"/>
      <c r="F67" s="265"/>
      <c r="G67" s="265"/>
      <c r="H67" s="265"/>
      <c r="I67" s="265"/>
      <c r="J67" s="265"/>
      <c r="K67" s="265"/>
      <c r="L67" s="265"/>
      <c r="M67" s="266"/>
    </row>
    <row r="68" spans="2:13" ht="15" customHeight="1" x14ac:dyDescent="0.25">
      <c r="B68" s="50" t="s">
        <v>76</v>
      </c>
      <c r="C68" s="185"/>
      <c r="D68" s="53" t="s">
        <v>172</v>
      </c>
      <c r="E68" s="264"/>
      <c r="F68" s="265"/>
      <c r="G68" s="265"/>
      <c r="H68" s="265"/>
      <c r="I68" s="265"/>
      <c r="J68" s="265"/>
      <c r="K68" s="265"/>
      <c r="L68" s="265"/>
      <c r="M68" s="266"/>
    </row>
    <row r="69" spans="2:13" ht="15" customHeight="1" x14ac:dyDescent="0.25">
      <c r="B69" s="50" t="s">
        <v>77</v>
      </c>
      <c r="C69" s="185"/>
      <c r="D69" s="53" t="s">
        <v>172</v>
      </c>
      <c r="E69" s="264"/>
      <c r="F69" s="265"/>
      <c r="G69" s="265"/>
      <c r="H69" s="265"/>
      <c r="I69" s="265"/>
      <c r="J69" s="265"/>
      <c r="K69" s="265"/>
      <c r="L69" s="265"/>
      <c r="M69" s="266"/>
    </row>
    <row r="70" spans="2:13" ht="15" customHeight="1" x14ac:dyDescent="0.25">
      <c r="B70" s="65" t="s">
        <v>173</v>
      </c>
      <c r="C70" s="75">
        <f>ROUND((IF($C$23="Ja",$C$65,($C$64*IF($C$17&gt;0,1/$C$17,1)*$C$28*$C$30+$C$63*$C$26*$C$29)/($C$28*$C$30+$C$26*$C$29))-$C$55*$C$68-$C$57*$C$67-$C$69*$C$59+(-$C$53*$C$66)/(($C$28*$C$30)+($C$26*$C$29)))*C86,4)</f>
        <v>0.2104</v>
      </c>
      <c r="D70" s="61" t="str">
        <f>CONCATENATE("kg CO2/",$C$7)</f>
        <v>kg CO2/kWh</v>
      </c>
      <c r="E70" s="268"/>
      <c r="F70" s="269"/>
      <c r="G70" s="269"/>
      <c r="H70" s="269"/>
      <c r="I70" s="269"/>
      <c r="J70" s="269"/>
      <c r="K70" s="269"/>
      <c r="L70" s="269"/>
      <c r="M70" s="270"/>
    </row>
    <row r="71" spans="2:13" x14ac:dyDescent="0.2">
      <c r="C71" s="26"/>
      <c r="E71" s="141"/>
      <c r="F71" s="141"/>
      <c r="G71" s="141"/>
      <c r="H71" s="141"/>
      <c r="I71" s="141"/>
      <c r="J71" s="141"/>
      <c r="K71" s="141"/>
      <c r="L71" s="141"/>
      <c r="M71" s="141"/>
    </row>
    <row r="72" spans="2:13" ht="15" customHeight="1" x14ac:dyDescent="0.25">
      <c r="B72" s="64" t="s">
        <v>78</v>
      </c>
      <c r="C72" s="57" t="s">
        <v>37</v>
      </c>
      <c r="D72" s="57" t="s">
        <v>114</v>
      </c>
      <c r="E72" s="262" t="s">
        <v>31</v>
      </c>
      <c r="F72" s="263"/>
      <c r="G72" s="263"/>
      <c r="H72" s="263"/>
      <c r="I72" s="263"/>
      <c r="J72" s="263"/>
      <c r="K72" s="263"/>
      <c r="L72" s="263"/>
      <c r="M72" s="255"/>
    </row>
    <row r="73" spans="2:13" ht="15" customHeight="1" x14ac:dyDescent="0.25">
      <c r="B73" s="50" t="s">
        <v>79</v>
      </c>
      <c r="C73" s="88">
        <v>35</v>
      </c>
      <c r="D73" s="53" t="s">
        <v>174</v>
      </c>
      <c r="E73" s="264" t="s">
        <v>175</v>
      </c>
      <c r="F73" s="265"/>
      <c r="G73" s="265"/>
      <c r="H73" s="265"/>
      <c r="I73" s="265"/>
      <c r="J73" s="265"/>
      <c r="K73" s="265"/>
      <c r="L73" s="265"/>
      <c r="M73" s="266"/>
    </row>
    <row r="74" spans="2:13" ht="15" customHeight="1" x14ac:dyDescent="0.25">
      <c r="B74" s="66" t="s">
        <v>80</v>
      </c>
      <c r="C74" s="95">
        <v>15</v>
      </c>
      <c r="D74" s="53" t="s">
        <v>174</v>
      </c>
      <c r="E74" s="264"/>
      <c r="F74" s="265"/>
      <c r="G74" s="265"/>
      <c r="H74" s="265"/>
      <c r="I74" s="265"/>
      <c r="J74" s="265"/>
      <c r="K74" s="265"/>
      <c r="L74" s="265"/>
      <c r="M74" s="266"/>
    </row>
    <row r="75" spans="2:13" ht="15" customHeight="1" x14ac:dyDescent="0.25">
      <c r="B75" s="66" t="s">
        <v>81</v>
      </c>
      <c r="C75" s="95">
        <v>20</v>
      </c>
      <c r="D75" s="53" t="s">
        <v>174</v>
      </c>
      <c r="E75" s="264"/>
      <c r="F75" s="265"/>
      <c r="G75" s="265"/>
      <c r="H75" s="265"/>
      <c r="I75" s="265"/>
      <c r="J75" s="265"/>
      <c r="K75" s="265"/>
      <c r="L75" s="265"/>
      <c r="M75" s="266"/>
    </row>
    <row r="76" spans="2:13" ht="15" customHeight="1" x14ac:dyDescent="0.25">
      <c r="B76" s="66" t="s">
        <v>82</v>
      </c>
      <c r="C76" s="95">
        <v>15</v>
      </c>
      <c r="D76" s="53" t="s">
        <v>174</v>
      </c>
      <c r="E76" s="264"/>
      <c r="F76" s="265"/>
      <c r="G76" s="265"/>
      <c r="H76" s="265"/>
      <c r="I76" s="265"/>
      <c r="J76" s="265"/>
      <c r="K76" s="265"/>
      <c r="L76" s="265"/>
      <c r="M76" s="266"/>
    </row>
    <row r="77" spans="2:13" ht="15" customHeight="1" x14ac:dyDescent="0.25">
      <c r="B77" s="51" t="s">
        <v>176</v>
      </c>
      <c r="C77" s="85"/>
      <c r="D77" s="61" t="s">
        <v>174</v>
      </c>
      <c r="E77" s="268" t="s">
        <v>177</v>
      </c>
      <c r="F77" s="269"/>
      <c r="G77" s="269"/>
      <c r="H77" s="269"/>
      <c r="I77" s="269"/>
      <c r="J77" s="269"/>
      <c r="K77" s="269"/>
      <c r="L77" s="269"/>
      <c r="M77" s="270"/>
    </row>
    <row r="78" spans="2:13" x14ac:dyDescent="0.2">
      <c r="C78" s="26"/>
      <c r="E78" s="141"/>
      <c r="F78" s="141"/>
      <c r="G78" s="141"/>
      <c r="H78" s="141"/>
      <c r="I78" s="141"/>
      <c r="J78" s="141"/>
      <c r="K78" s="141"/>
      <c r="L78" s="141"/>
      <c r="M78" s="141"/>
    </row>
    <row r="79" spans="2:13" ht="15" customHeight="1" x14ac:dyDescent="0.25">
      <c r="B79" s="64" t="s">
        <v>83</v>
      </c>
      <c r="C79" s="57" t="s">
        <v>37</v>
      </c>
      <c r="D79" s="57" t="s">
        <v>114</v>
      </c>
      <c r="E79" s="262" t="s">
        <v>31</v>
      </c>
      <c r="F79" s="263"/>
      <c r="G79" s="263"/>
      <c r="H79" s="263"/>
      <c r="I79" s="263"/>
      <c r="J79" s="263"/>
      <c r="K79" s="263"/>
      <c r="L79" s="263"/>
      <c r="M79" s="255"/>
    </row>
    <row r="80" spans="2:13" ht="15" customHeight="1" x14ac:dyDescent="0.25">
      <c r="B80" s="50" t="s">
        <v>84</v>
      </c>
      <c r="C80" s="249">
        <f>C164</f>
        <v>5.6540737536000002E-2</v>
      </c>
      <c r="D80" s="53" t="s">
        <v>178</v>
      </c>
      <c r="E80" s="264" t="s">
        <v>251</v>
      </c>
      <c r="F80" s="265"/>
      <c r="G80" s="265"/>
      <c r="H80" s="265"/>
      <c r="I80" s="265"/>
      <c r="J80" s="265"/>
      <c r="K80" s="265"/>
      <c r="L80" s="265"/>
      <c r="M80" s="266"/>
    </row>
    <row r="81" spans="2:13" ht="15" customHeight="1" x14ac:dyDescent="0.25">
      <c r="B81" s="50" t="s">
        <v>85</v>
      </c>
      <c r="C81" s="88">
        <v>3898.2</v>
      </c>
      <c r="D81" s="53" t="s">
        <v>147</v>
      </c>
      <c r="E81" s="264"/>
      <c r="F81" s="265"/>
      <c r="G81" s="265"/>
      <c r="H81" s="265"/>
      <c r="I81" s="265"/>
      <c r="J81" s="265"/>
      <c r="K81" s="265"/>
      <c r="L81" s="265"/>
      <c r="M81" s="266"/>
    </row>
    <row r="82" spans="2:13" ht="15" customHeight="1" x14ac:dyDescent="0.25">
      <c r="B82" s="50" t="s">
        <v>86</v>
      </c>
      <c r="C82" s="27"/>
      <c r="D82" s="53" t="s">
        <v>178</v>
      </c>
      <c r="E82" s="264"/>
      <c r="F82" s="265"/>
      <c r="G82" s="265"/>
      <c r="H82" s="265"/>
      <c r="I82" s="265"/>
      <c r="J82" s="265"/>
      <c r="K82" s="265"/>
      <c r="L82" s="265"/>
      <c r="M82" s="266"/>
    </row>
    <row r="83" spans="2:13" ht="15" customHeight="1" x14ac:dyDescent="0.25">
      <c r="B83" s="50" t="s">
        <v>87</v>
      </c>
      <c r="C83" s="87"/>
      <c r="D83" s="53" t="s">
        <v>147</v>
      </c>
      <c r="E83" s="264"/>
      <c r="F83" s="265"/>
      <c r="G83" s="265"/>
      <c r="H83" s="265"/>
      <c r="I83" s="265"/>
      <c r="J83" s="265"/>
      <c r="K83" s="265"/>
      <c r="L83" s="265"/>
      <c r="M83" s="266"/>
    </row>
    <row r="84" spans="2:13" ht="15" customHeight="1" x14ac:dyDescent="0.25">
      <c r="B84" s="50" t="s">
        <v>179</v>
      </c>
      <c r="C84" s="76">
        <f>SUM(E117:INDEX(E117:AR117,1,C76))</f>
        <v>56073000000</v>
      </c>
      <c r="D84" s="52" t="str">
        <f>C7</f>
        <v>kWh</v>
      </c>
      <c r="E84" s="264"/>
      <c r="F84" s="265"/>
      <c r="G84" s="265"/>
      <c r="H84" s="265"/>
      <c r="I84" s="265"/>
      <c r="J84" s="265"/>
      <c r="K84" s="265"/>
      <c r="L84" s="265"/>
      <c r="M84" s="266"/>
    </row>
    <row r="85" spans="2:13" ht="15" customHeight="1" x14ac:dyDescent="0.25">
      <c r="B85" s="67" t="s">
        <v>180</v>
      </c>
      <c r="C85" s="76">
        <f>IF(C77=0,SUM(E117:INDEX(E117:AR117,1,C73)),SUM(E117:INDEX(E117:AR117,1,C77)))</f>
        <v>134037000000</v>
      </c>
      <c r="D85" s="52" t="str">
        <f>C7</f>
        <v>kWh</v>
      </c>
      <c r="E85" s="264"/>
      <c r="F85" s="265"/>
      <c r="G85" s="265"/>
      <c r="H85" s="265"/>
      <c r="I85" s="265"/>
      <c r="J85" s="265"/>
      <c r="K85" s="265"/>
      <c r="L85" s="265"/>
      <c r="M85" s="266"/>
    </row>
    <row r="86" spans="2:13" ht="15" customHeight="1" x14ac:dyDescent="0.25">
      <c r="B86" s="68" t="s">
        <v>181</v>
      </c>
      <c r="C86" s="186">
        <f>C85/C84</f>
        <v>2.3904017976566263</v>
      </c>
      <c r="D86" s="61"/>
      <c r="E86" s="268"/>
      <c r="F86" s="269"/>
      <c r="G86" s="269"/>
      <c r="H86" s="269"/>
      <c r="I86" s="269"/>
      <c r="J86" s="269"/>
      <c r="K86" s="269"/>
      <c r="L86" s="269"/>
      <c r="M86" s="270"/>
    </row>
    <row r="87" spans="2:13" x14ac:dyDescent="0.2">
      <c r="C87" s="26"/>
      <c r="E87" s="141"/>
      <c r="F87" s="141"/>
      <c r="G87" s="141"/>
      <c r="H87" s="141"/>
      <c r="I87" s="141"/>
      <c r="J87" s="141"/>
      <c r="K87" s="141"/>
      <c r="L87" s="141"/>
      <c r="M87" s="141"/>
    </row>
    <row r="88" spans="2:13" ht="15" customHeight="1" x14ac:dyDescent="0.25">
      <c r="B88" s="64" t="s">
        <v>182</v>
      </c>
      <c r="C88" s="57" t="s">
        <v>37</v>
      </c>
      <c r="D88" s="57" t="s">
        <v>114</v>
      </c>
      <c r="E88" s="262" t="s">
        <v>31</v>
      </c>
      <c r="F88" s="263"/>
      <c r="G88" s="263"/>
      <c r="H88" s="263"/>
      <c r="I88" s="263"/>
      <c r="J88" s="263"/>
      <c r="K88" s="263"/>
      <c r="L88" s="263"/>
      <c r="M88" s="255"/>
    </row>
    <row r="89" spans="2:13" ht="15" customHeight="1" x14ac:dyDescent="0.25">
      <c r="B89" s="50" t="s">
        <v>88</v>
      </c>
      <c r="C89" s="187">
        <v>0.02</v>
      </c>
      <c r="D89" s="53"/>
      <c r="E89" s="264"/>
      <c r="F89" s="265"/>
      <c r="G89" s="265"/>
      <c r="H89" s="265"/>
      <c r="I89" s="265"/>
      <c r="J89" s="265"/>
      <c r="K89" s="265"/>
      <c r="L89" s="265"/>
      <c r="M89" s="266"/>
    </row>
    <row r="90" spans="2:13" ht="15" customHeight="1" x14ac:dyDescent="0.25">
      <c r="B90" s="50" t="s">
        <v>89</v>
      </c>
      <c r="C90" s="188">
        <v>4.4999999999999998E-2</v>
      </c>
      <c r="D90" s="53"/>
      <c r="E90" s="264"/>
      <c r="F90" s="265"/>
      <c r="G90" s="265"/>
      <c r="H90" s="265"/>
      <c r="I90" s="265"/>
      <c r="J90" s="265"/>
      <c r="K90" s="265"/>
      <c r="L90" s="265"/>
      <c r="M90" s="266"/>
    </row>
    <row r="91" spans="2:13" ht="15" customHeight="1" x14ac:dyDescent="0.25">
      <c r="B91" s="50" t="s">
        <v>90</v>
      </c>
      <c r="C91" s="188">
        <v>0.1</v>
      </c>
      <c r="D91" s="53"/>
      <c r="E91" s="264"/>
      <c r="F91" s="265"/>
      <c r="G91" s="265"/>
      <c r="H91" s="265"/>
      <c r="I91" s="265"/>
      <c r="J91" s="265"/>
      <c r="K91" s="265"/>
      <c r="L91" s="265"/>
      <c r="M91" s="266"/>
    </row>
    <row r="92" spans="2:13" ht="15" customHeight="1" x14ac:dyDescent="0.25">
      <c r="B92" s="66" t="s">
        <v>91</v>
      </c>
      <c r="C92" s="73">
        <f>100%-C93</f>
        <v>0.75</v>
      </c>
      <c r="D92" s="53"/>
      <c r="E92" s="264"/>
      <c r="F92" s="265"/>
      <c r="G92" s="265"/>
      <c r="H92" s="265"/>
      <c r="I92" s="265"/>
      <c r="J92" s="265"/>
      <c r="K92" s="265"/>
      <c r="L92" s="265"/>
      <c r="M92" s="266"/>
    </row>
    <row r="93" spans="2:13" ht="15" customHeight="1" x14ac:dyDescent="0.25">
      <c r="B93" s="50" t="s">
        <v>92</v>
      </c>
      <c r="C93" s="28">
        <v>0.25</v>
      </c>
      <c r="D93" s="53"/>
      <c r="E93" s="264"/>
      <c r="F93" s="265"/>
      <c r="G93" s="265"/>
      <c r="H93" s="265"/>
      <c r="I93" s="265"/>
      <c r="J93" s="265"/>
      <c r="K93" s="265"/>
      <c r="L93" s="265"/>
      <c r="M93" s="266"/>
    </row>
    <row r="94" spans="2:13" ht="15" customHeight="1" x14ac:dyDescent="0.25">
      <c r="B94" s="68" t="s">
        <v>93</v>
      </c>
      <c r="C94" s="189">
        <v>0.25800000000000001</v>
      </c>
      <c r="D94" s="61"/>
      <c r="E94" s="268"/>
      <c r="F94" s="269"/>
      <c r="G94" s="269"/>
      <c r="H94" s="269"/>
      <c r="I94" s="269"/>
      <c r="J94" s="269"/>
      <c r="K94" s="269"/>
      <c r="L94" s="269"/>
      <c r="M94" s="270"/>
    </row>
    <row r="95" spans="2:13" x14ac:dyDescent="0.2">
      <c r="C95" s="26"/>
      <c r="E95" s="141"/>
      <c r="F95" s="141"/>
      <c r="G95" s="141"/>
      <c r="H95" s="141"/>
      <c r="I95" s="141"/>
      <c r="J95" s="141"/>
      <c r="K95" s="141"/>
      <c r="L95" s="141"/>
      <c r="M95" s="141"/>
    </row>
    <row r="96" spans="2:13" ht="15" customHeight="1" x14ac:dyDescent="0.25">
      <c r="B96" s="64" t="s">
        <v>94</v>
      </c>
      <c r="C96" s="57" t="s">
        <v>37</v>
      </c>
      <c r="D96" s="57" t="s">
        <v>114</v>
      </c>
      <c r="E96" s="262" t="s">
        <v>31</v>
      </c>
      <c r="F96" s="263"/>
      <c r="G96" s="263"/>
      <c r="H96" s="263"/>
      <c r="I96" s="263"/>
      <c r="J96" s="263"/>
      <c r="K96" s="263"/>
      <c r="L96" s="263"/>
      <c r="M96" s="255"/>
    </row>
    <row r="97" spans="1:44" ht="15" customHeight="1" x14ac:dyDescent="0.25">
      <c r="B97" s="50" t="s">
        <v>95</v>
      </c>
      <c r="C97" s="29"/>
      <c r="D97" s="53" t="s">
        <v>183</v>
      </c>
      <c r="E97" s="264"/>
      <c r="F97" s="265"/>
      <c r="G97" s="265"/>
      <c r="H97" s="265"/>
      <c r="I97" s="265"/>
      <c r="J97" s="265"/>
      <c r="K97" s="265"/>
      <c r="L97" s="265"/>
      <c r="M97" s="266"/>
    </row>
    <row r="98" spans="1:44" ht="15" customHeight="1" x14ac:dyDescent="0.25">
      <c r="B98" s="51" t="s">
        <v>96</v>
      </c>
      <c r="C98" s="30"/>
      <c r="D98" s="61" t="s">
        <v>183</v>
      </c>
      <c r="E98" s="268"/>
      <c r="F98" s="269"/>
      <c r="G98" s="269"/>
      <c r="H98" s="269"/>
      <c r="I98" s="269"/>
      <c r="J98" s="269"/>
      <c r="K98" s="269"/>
      <c r="L98" s="269"/>
      <c r="M98" s="270"/>
    </row>
    <row r="99" spans="1:44" x14ac:dyDescent="0.2">
      <c r="C99" s="26"/>
      <c r="E99" s="141"/>
      <c r="F99" s="141"/>
      <c r="G99" s="141"/>
      <c r="H99" s="141"/>
      <c r="I99" s="141"/>
      <c r="J99" s="141"/>
      <c r="K99" s="141"/>
      <c r="L99" s="141"/>
      <c r="M99" s="141"/>
    </row>
    <row r="100" spans="1:44" ht="15" customHeight="1" x14ac:dyDescent="0.25">
      <c r="B100" s="56" t="s">
        <v>97</v>
      </c>
      <c r="C100" s="57" t="s">
        <v>15</v>
      </c>
      <c r="D100" s="57" t="s">
        <v>37</v>
      </c>
      <c r="E100" s="262" t="s">
        <v>31</v>
      </c>
      <c r="F100" s="263"/>
      <c r="G100" s="263"/>
      <c r="H100" s="263"/>
      <c r="I100" s="263"/>
      <c r="J100" s="263"/>
      <c r="K100" s="263"/>
      <c r="L100" s="263"/>
      <c r="M100" s="255"/>
    </row>
    <row r="101" spans="1:44" ht="15" customHeight="1" x14ac:dyDescent="0.25">
      <c r="B101" s="66"/>
      <c r="C101" s="89">
        <v>16</v>
      </c>
      <c r="D101" s="90">
        <f>-283000000/2</f>
        <v>-141500000</v>
      </c>
      <c r="E101" s="264" t="s">
        <v>184</v>
      </c>
      <c r="F101" s="265"/>
      <c r="G101" s="265"/>
      <c r="H101" s="265"/>
      <c r="I101" s="265"/>
      <c r="J101" s="265"/>
      <c r="K101" s="265"/>
      <c r="L101" s="265"/>
      <c r="M101" s="266"/>
    </row>
    <row r="102" spans="1:44" ht="15" customHeight="1" x14ac:dyDescent="0.25">
      <c r="B102" s="69"/>
      <c r="C102" s="91"/>
      <c r="D102" s="92"/>
      <c r="E102" s="268" t="str">
        <f>"De waarde als reële kosten is gedefinieerd in euro van het jaar "&amp;E105&amp;"."</f>
        <v>De waarde als reële kosten is gedefinieerd in euro van het jaar 2026.</v>
      </c>
      <c r="F102" s="269"/>
      <c r="G102" s="269"/>
      <c r="H102" s="269"/>
      <c r="I102" s="269"/>
      <c r="J102" s="269"/>
      <c r="K102" s="269"/>
      <c r="L102" s="269"/>
      <c r="M102" s="270"/>
    </row>
    <row r="103" spans="1:44" ht="15" customHeight="1" x14ac:dyDescent="0.25">
      <c r="B103" s="51" t="s">
        <v>98</v>
      </c>
      <c r="C103" s="31">
        <v>0</v>
      </c>
      <c r="D103" s="164">
        <v>0.01</v>
      </c>
      <c r="E103" s="268" t="s">
        <v>185</v>
      </c>
      <c r="F103" s="269"/>
      <c r="G103" s="269"/>
      <c r="H103" s="269"/>
      <c r="I103" s="269"/>
      <c r="J103" s="269"/>
      <c r="K103" s="269"/>
      <c r="L103" s="269"/>
      <c r="M103" s="270"/>
    </row>
    <row r="104" spans="1:44" x14ac:dyDescent="0.2">
      <c r="E104" s="190"/>
    </row>
    <row r="105" spans="1:44" s="32" customFormat="1" x14ac:dyDescent="0.2">
      <c r="A105" s="244"/>
      <c r="B105" s="56" t="s">
        <v>186</v>
      </c>
      <c r="C105" s="57"/>
      <c r="D105" s="57" t="s">
        <v>114</v>
      </c>
      <c r="E105" s="57">
        <f>Colofon!C29</f>
        <v>2026</v>
      </c>
      <c r="F105" s="57">
        <f t="shared" ref="F105:AR105" si="0">E105+1</f>
        <v>2027</v>
      </c>
      <c r="G105" s="57">
        <f t="shared" si="0"/>
        <v>2028</v>
      </c>
      <c r="H105" s="57">
        <f t="shared" si="0"/>
        <v>2029</v>
      </c>
      <c r="I105" s="57">
        <f t="shared" si="0"/>
        <v>2030</v>
      </c>
      <c r="J105" s="57">
        <f t="shared" si="0"/>
        <v>2031</v>
      </c>
      <c r="K105" s="57">
        <f t="shared" si="0"/>
        <v>2032</v>
      </c>
      <c r="L105" s="57">
        <f t="shared" si="0"/>
        <v>2033</v>
      </c>
      <c r="M105" s="57">
        <f t="shared" si="0"/>
        <v>2034</v>
      </c>
      <c r="N105" s="57">
        <f t="shared" si="0"/>
        <v>2035</v>
      </c>
      <c r="O105" s="57">
        <f t="shared" si="0"/>
        <v>2036</v>
      </c>
      <c r="P105" s="57">
        <f t="shared" si="0"/>
        <v>2037</v>
      </c>
      <c r="Q105" s="57">
        <f t="shared" si="0"/>
        <v>2038</v>
      </c>
      <c r="R105" s="57">
        <f t="shared" si="0"/>
        <v>2039</v>
      </c>
      <c r="S105" s="57">
        <f t="shared" si="0"/>
        <v>2040</v>
      </c>
      <c r="T105" s="57">
        <f t="shared" si="0"/>
        <v>2041</v>
      </c>
      <c r="U105" s="57">
        <f t="shared" si="0"/>
        <v>2042</v>
      </c>
      <c r="V105" s="57">
        <f t="shared" si="0"/>
        <v>2043</v>
      </c>
      <c r="W105" s="57">
        <f t="shared" si="0"/>
        <v>2044</v>
      </c>
      <c r="X105" s="57">
        <f t="shared" si="0"/>
        <v>2045</v>
      </c>
      <c r="Y105" s="57">
        <f t="shared" si="0"/>
        <v>2046</v>
      </c>
      <c r="Z105" s="57">
        <f t="shared" si="0"/>
        <v>2047</v>
      </c>
      <c r="AA105" s="57">
        <f t="shared" si="0"/>
        <v>2048</v>
      </c>
      <c r="AB105" s="57">
        <f t="shared" si="0"/>
        <v>2049</v>
      </c>
      <c r="AC105" s="57">
        <f t="shared" si="0"/>
        <v>2050</v>
      </c>
      <c r="AD105" s="57">
        <f t="shared" si="0"/>
        <v>2051</v>
      </c>
      <c r="AE105" s="57">
        <f t="shared" si="0"/>
        <v>2052</v>
      </c>
      <c r="AF105" s="57">
        <f t="shared" si="0"/>
        <v>2053</v>
      </c>
      <c r="AG105" s="57">
        <f t="shared" si="0"/>
        <v>2054</v>
      </c>
      <c r="AH105" s="57">
        <f t="shared" si="0"/>
        <v>2055</v>
      </c>
      <c r="AI105" s="57">
        <f t="shared" si="0"/>
        <v>2056</v>
      </c>
      <c r="AJ105" s="57">
        <f t="shared" si="0"/>
        <v>2057</v>
      </c>
      <c r="AK105" s="57">
        <f t="shared" si="0"/>
        <v>2058</v>
      </c>
      <c r="AL105" s="57">
        <f t="shared" si="0"/>
        <v>2059</v>
      </c>
      <c r="AM105" s="57">
        <f t="shared" si="0"/>
        <v>2060</v>
      </c>
      <c r="AN105" s="57">
        <f t="shared" si="0"/>
        <v>2061</v>
      </c>
      <c r="AO105" s="57">
        <f t="shared" si="0"/>
        <v>2062</v>
      </c>
      <c r="AP105" s="57">
        <f t="shared" si="0"/>
        <v>2063</v>
      </c>
      <c r="AQ105" s="57">
        <f t="shared" si="0"/>
        <v>2064</v>
      </c>
      <c r="AR105" s="136">
        <f t="shared" si="0"/>
        <v>2065</v>
      </c>
    </row>
    <row r="106" spans="1:44" s="247" customFormat="1" ht="13.5" customHeight="1" x14ac:dyDescent="0.25">
      <c r="B106" s="274" t="s">
        <v>187</v>
      </c>
      <c r="C106" s="275"/>
      <c r="D106" s="191" t="str">
        <f>CONCATENATE("Euro/",$C$7)</f>
        <v>Euro/kWh</v>
      </c>
      <c r="E106" s="93"/>
      <c r="F106" s="192">
        <f t="shared" ref="F106:AR106" si="1">IF(F$111&lt;=$C76,$E$106,)</f>
        <v>0</v>
      </c>
      <c r="G106" s="192">
        <f t="shared" si="1"/>
        <v>0</v>
      </c>
      <c r="H106" s="192">
        <f t="shared" si="1"/>
        <v>0</v>
      </c>
      <c r="I106" s="192">
        <f t="shared" si="1"/>
        <v>0</v>
      </c>
      <c r="J106" s="192">
        <f t="shared" si="1"/>
        <v>0</v>
      </c>
      <c r="K106" s="192">
        <f t="shared" si="1"/>
        <v>0</v>
      </c>
      <c r="L106" s="192">
        <f t="shared" si="1"/>
        <v>0</v>
      </c>
      <c r="M106" s="192">
        <f t="shared" si="1"/>
        <v>0</v>
      </c>
      <c r="N106" s="192">
        <f t="shared" si="1"/>
        <v>0</v>
      </c>
      <c r="O106" s="192">
        <f t="shared" si="1"/>
        <v>0</v>
      </c>
      <c r="P106" s="192">
        <f t="shared" si="1"/>
        <v>0</v>
      </c>
      <c r="Q106" s="192">
        <f t="shared" si="1"/>
        <v>0</v>
      </c>
      <c r="R106" s="192">
        <f t="shared" si="1"/>
        <v>0</v>
      </c>
      <c r="S106" s="192">
        <f t="shared" si="1"/>
        <v>0</v>
      </c>
      <c r="T106" s="192">
        <f t="shared" si="1"/>
        <v>0</v>
      </c>
      <c r="U106" s="192">
        <f t="shared" si="1"/>
        <v>0</v>
      </c>
      <c r="V106" s="192">
        <f t="shared" si="1"/>
        <v>0</v>
      </c>
      <c r="W106" s="192">
        <f t="shared" si="1"/>
        <v>0</v>
      </c>
      <c r="X106" s="192">
        <f t="shared" si="1"/>
        <v>0</v>
      </c>
      <c r="Y106" s="192">
        <f t="shared" si="1"/>
        <v>0</v>
      </c>
      <c r="Z106" s="192">
        <f t="shared" si="1"/>
        <v>0</v>
      </c>
      <c r="AA106" s="192">
        <f t="shared" si="1"/>
        <v>0</v>
      </c>
      <c r="AB106" s="192">
        <f t="shared" si="1"/>
        <v>0</v>
      </c>
      <c r="AC106" s="192">
        <f t="shared" si="1"/>
        <v>0</v>
      </c>
      <c r="AD106" s="192">
        <f t="shared" si="1"/>
        <v>0</v>
      </c>
      <c r="AE106" s="192">
        <f t="shared" si="1"/>
        <v>0</v>
      </c>
      <c r="AF106" s="192">
        <f t="shared" si="1"/>
        <v>0</v>
      </c>
      <c r="AG106" s="192">
        <f t="shared" si="1"/>
        <v>0</v>
      </c>
      <c r="AH106" s="192">
        <f t="shared" si="1"/>
        <v>0</v>
      </c>
      <c r="AI106" s="192">
        <f t="shared" si="1"/>
        <v>0</v>
      </c>
      <c r="AJ106" s="192">
        <f t="shared" si="1"/>
        <v>0</v>
      </c>
      <c r="AK106" s="192">
        <f t="shared" si="1"/>
        <v>0</v>
      </c>
      <c r="AL106" s="192">
        <f t="shared" si="1"/>
        <v>0</v>
      </c>
      <c r="AM106" s="192">
        <f t="shared" si="1"/>
        <v>0</v>
      </c>
      <c r="AN106" s="192">
        <f t="shared" si="1"/>
        <v>0</v>
      </c>
      <c r="AO106" s="192">
        <f t="shared" si="1"/>
        <v>0</v>
      </c>
      <c r="AP106" s="192">
        <f t="shared" si="1"/>
        <v>0</v>
      </c>
      <c r="AQ106" s="192">
        <f t="shared" si="1"/>
        <v>0</v>
      </c>
      <c r="AR106" s="192">
        <f t="shared" si="1"/>
        <v>0</v>
      </c>
    </row>
    <row r="107" spans="1:44" s="247" customFormat="1" ht="13.5" customHeight="1" x14ac:dyDescent="0.25">
      <c r="B107" s="274" t="s">
        <v>188</v>
      </c>
      <c r="C107" s="275"/>
      <c r="D107" s="191" t="str">
        <f>CONCATENATE("Euro/",$C$7)</f>
        <v>Euro/kWh</v>
      </c>
      <c r="E107" s="93"/>
      <c r="F107" s="192">
        <f t="shared" ref="F107:AR107" si="2">IF(F$111&lt;=$C73,$E$107*F108,)</f>
        <v>0</v>
      </c>
      <c r="G107" s="192">
        <f t="shared" si="2"/>
        <v>0</v>
      </c>
      <c r="H107" s="192">
        <f t="shared" si="2"/>
        <v>0</v>
      </c>
      <c r="I107" s="192">
        <f t="shared" si="2"/>
        <v>0</v>
      </c>
      <c r="J107" s="192">
        <f t="shared" si="2"/>
        <v>0</v>
      </c>
      <c r="K107" s="192">
        <f t="shared" si="2"/>
        <v>0</v>
      </c>
      <c r="L107" s="192">
        <f t="shared" si="2"/>
        <v>0</v>
      </c>
      <c r="M107" s="192">
        <f t="shared" si="2"/>
        <v>0</v>
      </c>
      <c r="N107" s="192">
        <f t="shared" si="2"/>
        <v>0</v>
      </c>
      <c r="O107" s="192">
        <f t="shared" si="2"/>
        <v>0</v>
      </c>
      <c r="P107" s="192">
        <f t="shared" si="2"/>
        <v>0</v>
      </c>
      <c r="Q107" s="192">
        <f t="shared" si="2"/>
        <v>0</v>
      </c>
      <c r="R107" s="192">
        <f t="shared" si="2"/>
        <v>0</v>
      </c>
      <c r="S107" s="192">
        <f t="shared" si="2"/>
        <v>0</v>
      </c>
      <c r="T107" s="192">
        <f t="shared" si="2"/>
        <v>0</v>
      </c>
      <c r="U107" s="192">
        <f t="shared" si="2"/>
        <v>0</v>
      </c>
      <c r="V107" s="192">
        <f t="shared" si="2"/>
        <v>0</v>
      </c>
      <c r="W107" s="192">
        <f t="shared" si="2"/>
        <v>0</v>
      </c>
      <c r="X107" s="192">
        <f t="shared" si="2"/>
        <v>0</v>
      </c>
      <c r="Y107" s="192">
        <f t="shared" si="2"/>
        <v>0</v>
      </c>
      <c r="Z107" s="192">
        <f t="shared" si="2"/>
        <v>0</v>
      </c>
      <c r="AA107" s="192">
        <f t="shared" si="2"/>
        <v>0</v>
      </c>
      <c r="AB107" s="192">
        <f t="shared" si="2"/>
        <v>0</v>
      </c>
      <c r="AC107" s="192">
        <f t="shared" si="2"/>
        <v>0</v>
      </c>
      <c r="AD107" s="192">
        <f t="shared" si="2"/>
        <v>0</v>
      </c>
      <c r="AE107" s="192">
        <f t="shared" si="2"/>
        <v>0</v>
      </c>
      <c r="AF107" s="192">
        <f t="shared" si="2"/>
        <v>0</v>
      </c>
      <c r="AG107" s="192">
        <f t="shared" si="2"/>
        <v>0</v>
      </c>
      <c r="AH107" s="192">
        <f t="shared" si="2"/>
        <v>0</v>
      </c>
      <c r="AI107" s="192">
        <f t="shared" si="2"/>
        <v>0</v>
      </c>
      <c r="AJ107" s="192">
        <f t="shared" si="2"/>
        <v>0</v>
      </c>
      <c r="AK107" s="192">
        <f t="shared" si="2"/>
        <v>0</v>
      </c>
      <c r="AL107" s="192">
        <f t="shared" si="2"/>
        <v>0</v>
      </c>
      <c r="AM107" s="192">
        <f t="shared" si="2"/>
        <v>0</v>
      </c>
      <c r="AN107" s="192">
        <f t="shared" si="2"/>
        <v>0</v>
      </c>
      <c r="AO107" s="192">
        <f t="shared" si="2"/>
        <v>0</v>
      </c>
      <c r="AP107" s="192">
        <f t="shared" si="2"/>
        <v>0</v>
      </c>
      <c r="AQ107" s="192">
        <f t="shared" si="2"/>
        <v>0</v>
      </c>
      <c r="AR107" s="192">
        <f t="shared" si="2"/>
        <v>0</v>
      </c>
    </row>
    <row r="108" spans="1:44" x14ac:dyDescent="0.2">
      <c r="B108" s="69" t="s">
        <v>189</v>
      </c>
      <c r="C108" s="193"/>
      <c r="D108" s="193" t="s">
        <v>190</v>
      </c>
      <c r="E108" s="77">
        <f t="shared" ref="E108:AR108" si="3">POWER(1+$C$89,E111-$E$111)</f>
        <v>1</v>
      </c>
      <c r="F108" s="77">
        <f t="shared" si="3"/>
        <v>1.02</v>
      </c>
      <c r="G108" s="77">
        <f t="shared" si="3"/>
        <v>1.0404</v>
      </c>
      <c r="H108" s="77">
        <f t="shared" si="3"/>
        <v>1.0612079999999999</v>
      </c>
      <c r="I108" s="77">
        <f t="shared" si="3"/>
        <v>1.08243216</v>
      </c>
      <c r="J108" s="77">
        <f t="shared" si="3"/>
        <v>1.1040808032</v>
      </c>
      <c r="K108" s="77">
        <f t="shared" si="3"/>
        <v>1.1261624192640001</v>
      </c>
      <c r="L108" s="77">
        <f t="shared" si="3"/>
        <v>1.1486856676492798</v>
      </c>
      <c r="M108" s="77">
        <f t="shared" si="3"/>
        <v>1.1716593810022655</v>
      </c>
      <c r="N108" s="77">
        <f t="shared" si="3"/>
        <v>1.1950925686223108</v>
      </c>
      <c r="O108" s="77">
        <f t="shared" si="3"/>
        <v>1.2189944199947571</v>
      </c>
      <c r="P108" s="77">
        <f t="shared" si="3"/>
        <v>1.243374308394652</v>
      </c>
      <c r="Q108" s="77">
        <f t="shared" si="3"/>
        <v>1.2682417945625453</v>
      </c>
      <c r="R108" s="77">
        <f t="shared" si="3"/>
        <v>1.2936066304537961</v>
      </c>
      <c r="S108" s="77">
        <f t="shared" si="3"/>
        <v>1.3194787630628722</v>
      </c>
      <c r="T108" s="77">
        <f t="shared" si="3"/>
        <v>1.3458683383241292</v>
      </c>
      <c r="U108" s="77">
        <f t="shared" si="3"/>
        <v>1.372785705090612</v>
      </c>
      <c r="V108" s="77">
        <f t="shared" si="3"/>
        <v>1.4002414191924244</v>
      </c>
      <c r="W108" s="77">
        <f t="shared" si="3"/>
        <v>1.4282462475762727</v>
      </c>
      <c r="X108" s="77">
        <f t="shared" si="3"/>
        <v>1.4568111725277981</v>
      </c>
      <c r="Y108" s="77">
        <f t="shared" si="3"/>
        <v>1.4859473959783542</v>
      </c>
      <c r="Z108" s="77">
        <f t="shared" si="3"/>
        <v>1.5156663438979212</v>
      </c>
      <c r="AA108" s="77">
        <f t="shared" si="3"/>
        <v>1.5459796707758797</v>
      </c>
      <c r="AB108" s="77">
        <f t="shared" si="3"/>
        <v>1.576899264191397</v>
      </c>
      <c r="AC108" s="77">
        <f t="shared" si="3"/>
        <v>1.608437249475225</v>
      </c>
      <c r="AD108" s="77">
        <f t="shared" si="3"/>
        <v>1.6406059944647295</v>
      </c>
      <c r="AE108" s="77">
        <f t="shared" si="3"/>
        <v>1.6734181143540243</v>
      </c>
      <c r="AF108" s="77">
        <f t="shared" si="3"/>
        <v>1.7068864766411045</v>
      </c>
      <c r="AG108" s="77">
        <f t="shared" si="3"/>
        <v>1.7410242061739269</v>
      </c>
      <c r="AH108" s="77">
        <f t="shared" si="3"/>
        <v>1.7758446902974052</v>
      </c>
      <c r="AI108" s="77">
        <f t="shared" si="3"/>
        <v>1.8113615841033535</v>
      </c>
      <c r="AJ108" s="77">
        <f t="shared" si="3"/>
        <v>1.8475888157854201</v>
      </c>
      <c r="AK108" s="77">
        <f t="shared" si="3"/>
        <v>1.8845405921011289</v>
      </c>
      <c r="AL108" s="77">
        <f t="shared" si="3"/>
        <v>1.9222314039431516</v>
      </c>
      <c r="AM108" s="77">
        <f t="shared" si="3"/>
        <v>1.9606760320220145</v>
      </c>
      <c r="AN108" s="77">
        <f t="shared" si="3"/>
        <v>1.9998895526624547</v>
      </c>
      <c r="AO108" s="77">
        <f t="shared" si="3"/>
        <v>2.0398873437157037</v>
      </c>
      <c r="AP108" s="77">
        <f t="shared" si="3"/>
        <v>2.080685090590018</v>
      </c>
      <c r="AQ108" s="77">
        <f t="shared" si="3"/>
        <v>2.1222987924018186</v>
      </c>
      <c r="AR108" s="78">
        <f t="shared" si="3"/>
        <v>2.1647447682498542</v>
      </c>
    </row>
    <row r="109" spans="1:44" ht="12.95" customHeight="1" x14ac:dyDescent="0.2"/>
    <row r="110" spans="1:44" ht="12.95" customHeight="1" x14ac:dyDescent="0.25">
      <c r="B110" s="276" t="s">
        <v>191</v>
      </c>
      <c r="C110" s="263"/>
      <c r="D110" s="263"/>
      <c r="E110" s="263"/>
      <c r="F110" s="263"/>
      <c r="G110" s="263"/>
      <c r="H110" s="263"/>
      <c r="I110" s="263"/>
      <c r="J110" s="263"/>
      <c r="K110" s="263"/>
      <c r="L110" s="263"/>
      <c r="M110" s="263"/>
      <c r="N110" s="155"/>
      <c r="O110" s="155"/>
      <c r="P110" s="155"/>
      <c r="Q110" s="155"/>
      <c r="R110" s="155"/>
      <c r="S110" s="155"/>
      <c r="T110" s="155"/>
      <c r="U110" s="155"/>
      <c r="V110" s="155"/>
      <c r="W110" s="155"/>
      <c r="X110" s="155"/>
      <c r="Y110" s="155"/>
      <c r="Z110" s="155"/>
      <c r="AA110" s="155"/>
      <c r="AB110" s="155"/>
      <c r="AC110" s="155"/>
      <c r="AD110" s="155"/>
      <c r="AE110" s="155"/>
      <c r="AF110" s="155"/>
      <c r="AG110" s="155"/>
      <c r="AH110" s="155"/>
      <c r="AI110" s="155"/>
      <c r="AJ110" s="155"/>
      <c r="AK110" s="155"/>
      <c r="AL110" s="155"/>
      <c r="AM110" s="155"/>
      <c r="AN110" s="155"/>
      <c r="AO110" s="155"/>
      <c r="AP110" s="155"/>
      <c r="AQ110" s="155"/>
      <c r="AR110" s="156"/>
    </row>
    <row r="111" spans="1:44" ht="12.95" customHeight="1" x14ac:dyDescent="0.2">
      <c r="B111" s="157" t="s">
        <v>192</v>
      </c>
      <c r="C111" s="143"/>
      <c r="D111" s="144">
        <v>0</v>
      </c>
      <c r="E111" s="144">
        <v>1</v>
      </c>
      <c r="F111" s="144">
        <v>2</v>
      </c>
      <c r="G111" s="144">
        <v>3</v>
      </c>
      <c r="H111" s="144">
        <v>4</v>
      </c>
      <c r="I111" s="144">
        <v>5</v>
      </c>
      <c r="J111" s="144">
        <v>6</v>
      </c>
      <c r="K111" s="144">
        <v>7</v>
      </c>
      <c r="L111" s="144">
        <v>8</v>
      </c>
      <c r="M111" s="144">
        <v>9</v>
      </c>
      <c r="N111" s="144">
        <v>10</v>
      </c>
      <c r="O111" s="144">
        <v>11</v>
      </c>
      <c r="P111" s="144">
        <v>12</v>
      </c>
      <c r="Q111" s="144">
        <v>13</v>
      </c>
      <c r="R111" s="144">
        <v>14</v>
      </c>
      <c r="S111" s="144">
        <v>15</v>
      </c>
      <c r="T111" s="144">
        <v>16</v>
      </c>
      <c r="U111" s="144">
        <v>17</v>
      </c>
      <c r="V111" s="144">
        <v>18</v>
      </c>
      <c r="W111" s="144">
        <v>19</v>
      </c>
      <c r="X111" s="144">
        <v>20</v>
      </c>
      <c r="Y111" s="144">
        <v>21</v>
      </c>
      <c r="Z111" s="144">
        <v>22</v>
      </c>
      <c r="AA111" s="144">
        <v>23</v>
      </c>
      <c r="AB111" s="144">
        <v>24</v>
      </c>
      <c r="AC111" s="144">
        <v>25</v>
      </c>
      <c r="AD111" s="144">
        <v>26</v>
      </c>
      <c r="AE111" s="144">
        <v>27</v>
      </c>
      <c r="AF111" s="144">
        <v>28</v>
      </c>
      <c r="AG111" s="144">
        <v>29</v>
      </c>
      <c r="AH111" s="144">
        <v>30</v>
      </c>
      <c r="AI111" s="144">
        <v>31</v>
      </c>
      <c r="AJ111" s="144">
        <v>32</v>
      </c>
      <c r="AK111" s="144">
        <v>33</v>
      </c>
      <c r="AL111" s="144">
        <v>34</v>
      </c>
      <c r="AM111" s="144">
        <v>35</v>
      </c>
      <c r="AN111" s="144">
        <v>36</v>
      </c>
      <c r="AO111" s="144">
        <v>37</v>
      </c>
      <c r="AP111" s="144">
        <v>38</v>
      </c>
      <c r="AQ111" s="144">
        <v>39</v>
      </c>
      <c r="AR111" s="158">
        <v>40</v>
      </c>
    </row>
    <row r="112" spans="1:44" ht="12.95" customHeight="1" x14ac:dyDescent="0.2">
      <c r="B112" s="50" t="s">
        <v>193</v>
      </c>
      <c r="C112" s="145" t="s">
        <v>183</v>
      </c>
      <c r="D112" s="146">
        <f>-C151</f>
        <v>-3035145411.5459833</v>
      </c>
      <c r="E112" s="147"/>
      <c r="F112" s="147"/>
      <c r="G112" s="147"/>
      <c r="H112" s="147"/>
      <c r="I112" s="147"/>
      <c r="J112" s="147"/>
      <c r="K112" s="147"/>
      <c r="L112" s="147"/>
      <c r="M112" s="147"/>
      <c r="N112" s="147"/>
      <c r="O112" s="147"/>
      <c r="P112" s="147"/>
      <c r="Q112" s="147"/>
      <c r="R112" s="147"/>
      <c r="S112" s="147"/>
      <c r="T112" s="147"/>
      <c r="U112" s="147"/>
      <c r="V112" s="147"/>
      <c r="W112" s="147"/>
      <c r="X112" s="147"/>
      <c r="Y112" s="147"/>
      <c r="Z112" s="147"/>
      <c r="AA112" s="147"/>
      <c r="AB112" s="147"/>
      <c r="AC112" s="147"/>
      <c r="AD112" s="147"/>
      <c r="AE112" s="147"/>
      <c r="AF112" s="147"/>
      <c r="AG112" s="147"/>
      <c r="AH112" s="147"/>
      <c r="AI112" s="147"/>
      <c r="AJ112" s="147"/>
      <c r="AK112" s="147"/>
      <c r="AL112" s="147"/>
      <c r="AM112" s="147"/>
      <c r="AN112" s="147"/>
      <c r="AO112" s="147"/>
      <c r="AP112" s="147"/>
      <c r="AQ112" s="147"/>
      <c r="AR112" s="159"/>
    </row>
    <row r="113" spans="2:44" ht="12.95" customHeight="1" x14ac:dyDescent="0.2">
      <c r="B113" s="157" t="s">
        <v>194</v>
      </c>
      <c r="C113" s="148"/>
      <c r="D113" s="149"/>
      <c r="E113" s="149"/>
      <c r="F113" s="149"/>
      <c r="G113" s="149"/>
      <c r="H113" s="149"/>
      <c r="I113" s="149"/>
      <c r="J113" s="149"/>
      <c r="K113" s="149"/>
      <c r="L113" s="149"/>
      <c r="M113" s="149"/>
      <c r="N113" s="149"/>
      <c r="O113" s="149"/>
      <c r="P113" s="149"/>
      <c r="Q113" s="149"/>
      <c r="R113" s="149"/>
      <c r="S113" s="149"/>
      <c r="T113" s="149"/>
      <c r="U113" s="149"/>
      <c r="V113" s="149"/>
      <c r="W113" s="149"/>
      <c r="X113" s="149"/>
      <c r="Y113" s="149"/>
      <c r="Z113" s="149"/>
      <c r="AA113" s="149"/>
      <c r="AB113" s="149"/>
      <c r="AC113" s="149"/>
      <c r="AD113" s="149"/>
      <c r="AE113" s="149"/>
      <c r="AF113" s="149"/>
      <c r="AG113" s="149"/>
      <c r="AH113" s="149"/>
      <c r="AI113" s="149"/>
      <c r="AJ113" s="149"/>
      <c r="AK113" s="149"/>
      <c r="AL113" s="149"/>
      <c r="AM113" s="149"/>
      <c r="AN113" s="149"/>
      <c r="AO113" s="149"/>
      <c r="AP113" s="149"/>
      <c r="AQ113" s="149"/>
      <c r="AR113" s="160"/>
    </row>
    <row r="114" spans="2:44" x14ac:dyDescent="0.2">
      <c r="B114" s="50" t="s">
        <v>195</v>
      </c>
      <c r="C114" s="150" t="str">
        <f>$C$7</f>
        <v>kWh</v>
      </c>
      <c r="D114" s="145"/>
      <c r="E114" s="194">
        <f t="shared" ref="E114:AR114" si="4">IF(E111&lt;=$C$76,$C$28*$C$30,IF(AND(E111&gt;$C$76,E111&lt;=$C$73),$C$28*$C$81,0))*IF($C$33=0,1,$C$34/$C$33)</f>
        <v>3738200000</v>
      </c>
      <c r="F114" s="194">
        <f t="shared" si="4"/>
        <v>3738200000</v>
      </c>
      <c r="G114" s="194">
        <f t="shared" si="4"/>
        <v>3738200000</v>
      </c>
      <c r="H114" s="194">
        <f t="shared" si="4"/>
        <v>3738200000</v>
      </c>
      <c r="I114" s="194">
        <f t="shared" si="4"/>
        <v>3738200000</v>
      </c>
      <c r="J114" s="194">
        <f t="shared" si="4"/>
        <v>3738200000</v>
      </c>
      <c r="K114" s="194">
        <f t="shared" si="4"/>
        <v>3738200000</v>
      </c>
      <c r="L114" s="194">
        <f t="shared" si="4"/>
        <v>3738200000</v>
      </c>
      <c r="M114" s="194">
        <f t="shared" si="4"/>
        <v>3738200000</v>
      </c>
      <c r="N114" s="194">
        <f t="shared" si="4"/>
        <v>3738200000</v>
      </c>
      <c r="O114" s="194">
        <f t="shared" si="4"/>
        <v>3738200000</v>
      </c>
      <c r="P114" s="194">
        <f t="shared" si="4"/>
        <v>3738200000</v>
      </c>
      <c r="Q114" s="194">
        <f t="shared" si="4"/>
        <v>3738200000</v>
      </c>
      <c r="R114" s="194">
        <f t="shared" si="4"/>
        <v>3738200000</v>
      </c>
      <c r="S114" s="194">
        <f t="shared" si="4"/>
        <v>3738200000</v>
      </c>
      <c r="T114" s="194">
        <f t="shared" si="4"/>
        <v>3898200000</v>
      </c>
      <c r="U114" s="194">
        <f t="shared" si="4"/>
        <v>3898200000</v>
      </c>
      <c r="V114" s="194">
        <f t="shared" si="4"/>
        <v>3898200000</v>
      </c>
      <c r="W114" s="194">
        <f t="shared" si="4"/>
        <v>3898200000</v>
      </c>
      <c r="X114" s="194">
        <f t="shared" si="4"/>
        <v>3898200000</v>
      </c>
      <c r="Y114" s="194">
        <f t="shared" si="4"/>
        <v>3898200000</v>
      </c>
      <c r="Z114" s="194">
        <f t="shared" si="4"/>
        <v>3898200000</v>
      </c>
      <c r="AA114" s="194">
        <f t="shared" si="4"/>
        <v>3898200000</v>
      </c>
      <c r="AB114" s="194">
        <f t="shared" si="4"/>
        <v>3898200000</v>
      </c>
      <c r="AC114" s="194">
        <f t="shared" si="4"/>
        <v>3898200000</v>
      </c>
      <c r="AD114" s="194">
        <f t="shared" si="4"/>
        <v>3898200000</v>
      </c>
      <c r="AE114" s="194">
        <f t="shared" si="4"/>
        <v>3898200000</v>
      </c>
      <c r="AF114" s="194">
        <f t="shared" si="4"/>
        <v>3898200000</v>
      </c>
      <c r="AG114" s="194">
        <f t="shared" si="4"/>
        <v>3898200000</v>
      </c>
      <c r="AH114" s="194">
        <f t="shared" si="4"/>
        <v>3898200000</v>
      </c>
      <c r="AI114" s="194">
        <f t="shared" si="4"/>
        <v>3898200000</v>
      </c>
      <c r="AJ114" s="194">
        <f t="shared" si="4"/>
        <v>3898200000</v>
      </c>
      <c r="AK114" s="194">
        <f t="shared" si="4"/>
        <v>3898200000</v>
      </c>
      <c r="AL114" s="194">
        <f t="shared" si="4"/>
        <v>3898200000</v>
      </c>
      <c r="AM114" s="194">
        <f t="shared" si="4"/>
        <v>3898200000</v>
      </c>
      <c r="AN114" s="194">
        <f t="shared" si="4"/>
        <v>0</v>
      </c>
      <c r="AO114" s="194">
        <f t="shared" si="4"/>
        <v>0</v>
      </c>
      <c r="AP114" s="194">
        <f t="shared" si="4"/>
        <v>0</v>
      </c>
      <c r="AQ114" s="194">
        <f t="shared" si="4"/>
        <v>0</v>
      </c>
      <c r="AR114" s="195">
        <f t="shared" si="4"/>
        <v>0</v>
      </c>
    </row>
    <row r="115" spans="2:44" x14ac:dyDescent="0.2">
      <c r="B115" s="50" t="s">
        <v>196</v>
      </c>
      <c r="C115" s="150" t="str">
        <f>$C$7</f>
        <v>kWh</v>
      </c>
      <c r="D115" s="145"/>
      <c r="E115" s="194">
        <f t="shared" ref="E115:AR115" si="5">IF($C$23="Ja",0,IF(E111&lt;=$C$76,$C$26*$C$29,IF(AND(E111&gt;$C$76,E111&lt;=$C$73),$C$26*$C$83,0)))</f>
        <v>0</v>
      </c>
      <c r="F115" s="194">
        <f t="shared" si="5"/>
        <v>0</v>
      </c>
      <c r="G115" s="194">
        <f t="shared" si="5"/>
        <v>0</v>
      </c>
      <c r="H115" s="194">
        <f t="shared" si="5"/>
        <v>0</v>
      </c>
      <c r="I115" s="194">
        <f t="shared" si="5"/>
        <v>0</v>
      </c>
      <c r="J115" s="194">
        <f t="shared" si="5"/>
        <v>0</v>
      </c>
      <c r="K115" s="194">
        <f t="shared" si="5"/>
        <v>0</v>
      </c>
      <c r="L115" s="194">
        <f t="shared" si="5"/>
        <v>0</v>
      </c>
      <c r="M115" s="194">
        <f t="shared" si="5"/>
        <v>0</v>
      </c>
      <c r="N115" s="194">
        <f t="shared" si="5"/>
        <v>0</v>
      </c>
      <c r="O115" s="194">
        <f t="shared" si="5"/>
        <v>0</v>
      </c>
      <c r="P115" s="194">
        <f t="shared" si="5"/>
        <v>0</v>
      </c>
      <c r="Q115" s="194">
        <f t="shared" si="5"/>
        <v>0</v>
      </c>
      <c r="R115" s="194">
        <f t="shared" si="5"/>
        <v>0</v>
      </c>
      <c r="S115" s="194">
        <f t="shared" si="5"/>
        <v>0</v>
      </c>
      <c r="T115" s="194">
        <f t="shared" si="5"/>
        <v>0</v>
      </c>
      <c r="U115" s="194">
        <f t="shared" si="5"/>
        <v>0</v>
      </c>
      <c r="V115" s="194">
        <f t="shared" si="5"/>
        <v>0</v>
      </c>
      <c r="W115" s="194">
        <f t="shared" si="5"/>
        <v>0</v>
      </c>
      <c r="X115" s="194">
        <f t="shared" si="5"/>
        <v>0</v>
      </c>
      <c r="Y115" s="194">
        <f t="shared" si="5"/>
        <v>0</v>
      </c>
      <c r="Z115" s="194">
        <f t="shared" si="5"/>
        <v>0</v>
      </c>
      <c r="AA115" s="194">
        <f t="shared" si="5"/>
        <v>0</v>
      </c>
      <c r="AB115" s="194">
        <f t="shared" si="5"/>
        <v>0</v>
      </c>
      <c r="AC115" s="194">
        <f t="shared" si="5"/>
        <v>0</v>
      </c>
      <c r="AD115" s="194">
        <f t="shared" si="5"/>
        <v>0</v>
      </c>
      <c r="AE115" s="194">
        <f t="shared" si="5"/>
        <v>0</v>
      </c>
      <c r="AF115" s="194">
        <f t="shared" si="5"/>
        <v>0</v>
      </c>
      <c r="AG115" s="194">
        <f t="shared" si="5"/>
        <v>0</v>
      </c>
      <c r="AH115" s="194">
        <f t="shared" si="5"/>
        <v>0</v>
      </c>
      <c r="AI115" s="194">
        <f t="shared" si="5"/>
        <v>0</v>
      </c>
      <c r="AJ115" s="194">
        <f t="shared" si="5"/>
        <v>0</v>
      </c>
      <c r="AK115" s="194">
        <f t="shared" si="5"/>
        <v>0</v>
      </c>
      <c r="AL115" s="194">
        <f t="shared" si="5"/>
        <v>0</v>
      </c>
      <c r="AM115" s="194">
        <f t="shared" si="5"/>
        <v>0</v>
      </c>
      <c r="AN115" s="194">
        <f t="shared" si="5"/>
        <v>0</v>
      </c>
      <c r="AO115" s="194">
        <f t="shared" si="5"/>
        <v>0</v>
      </c>
      <c r="AP115" s="194">
        <f t="shared" si="5"/>
        <v>0</v>
      </c>
      <c r="AQ115" s="194">
        <f t="shared" si="5"/>
        <v>0</v>
      </c>
      <c r="AR115" s="195">
        <f t="shared" si="5"/>
        <v>0</v>
      </c>
    </row>
    <row r="116" spans="2:44" x14ac:dyDescent="0.2">
      <c r="B116" s="50" t="s">
        <v>197</v>
      </c>
      <c r="C116" s="145" t="s">
        <v>198</v>
      </c>
      <c r="D116" s="145"/>
      <c r="E116" s="194">
        <f t="shared" ref="E116:AR116" si="6">IF(OR(E111&gt;$C$73,$C$23&lt;&gt;"JA"),0,$C$26*$C$29*$C$174/$C$173)</f>
        <v>0</v>
      </c>
      <c r="F116" s="194">
        <f t="shared" si="6"/>
        <v>0</v>
      </c>
      <c r="G116" s="194">
        <f t="shared" si="6"/>
        <v>0</v>
      </c>
      <c r="H116" s="194">
        <f t="shared" si="6"/>
        <v>0</v>
      </c>
      <c r="I116" s="194">
        <f t="shared" si="6"/>
        <v>0</v>
      </c>
      <c r="J116" s="194">
        <f t="shared" si="6"/>
        <v>0</v>
      </c>
      <c r="K116" s="194">
        <f t="shared" si="6"/>
        <v>0</v>
      </c>
      <c r="L116" s="194">
        <f t="shared" si="6"/>
        <v>0</v>
      </c>
      <c r="M116" s="194">
        <f t="shared" si="6"/>
        <v>0</v>
      </c>
      <c r="N116" s="194">
        <f t="shared" si="6"/>
        <v>0</v>
      </c>
      <c r="O116" s="194">
        <f t="shared" si="6"/>
        <v>0</v>
      </c>
      <c r="P116" s="194">
        <f t="shared" si="6"/>
        <v>0</v>
      </c>
      <c r="Q116" s="194">
        <f t="shared" si="6"/>
        <v>0</v>
      </c>
      <c r="R116" s="194">
        <f t="shared" si="6"/>
        <v>0</v>
      </c>
      <c r="S116" s="194">
        <f t="shared" si="6"/>
        <v>0</v>
      </c>
      <c r="T116" s="194">
        <f t="shared" si="6"/>
        <v>0</v>
      </c>
      <c r="U116" s="194">
        <f t="shared" si="6"/>
        <v>0</v>
      </c>
      <c r="V116" s="194">
        <f t="shared" si="6"/>
        <v>0</v>
      </c>
      <c r="W116" s="194">
        <f t="shared" si="6"/>
        <v>0</v>
      </c>
      <c r="X116" s="194">
        <f t="shared" si="6"/>
        <v>0</v>
      </c>
      <c r="Y116" s="194">
        <f t="shared" si="6"/>
        <v>0</v>
      </c>
      <c r="Z116" s="194">
        <f t="shared" si="6"/>
        <v>0</v>
      </c>
      <c r="AA116" s="194">
        <f t="shared" si="6"/>
        <v>0</v>
      </c>
      <c r="AB116" s="194">
        <f t="shared" si="6"/>
        <v>0</v>
      </c>
      <c r="AC116" s="194">
        <f t="shared" si="6"/>
        <v>0</v>
      </c>
      <c r="AD116" s="194">
        <f t="shared" si="6"/>
        <v>0</v>
      </c>
      <c r="AE116" s="194">
        <f t="shared" si="6"/>
        <v>0</v>
      </c>
      <c r="AF116" s="194">
        <f t="shared" si="6"/>
        <v>0</v>
      </c>
      <c r="AG116" s="194">
        <f t="shared" si="6"/>
        <v>0</v>
      </c>
      <c r="AH116" s="194">
        <f t="shared" si="6"/>
        <v>0</v>
      </c>
      <c r="AI116" s="194">
        <f t="shared" si="6"/>
        <v>0</v>
      </c>
      <c r="AJ116" s="194">
        <f t="shared" si="6"/>
        <v>0</v>
      </c>
      <c r="AK116" s="194">
        <f t="shared" si="6"/>
        <v>0</v>
      </c>
      <c r="AL116" s="194">
        <f t="shared" si="6"/>
        <v>0</v>
      </c>
      <c r="AM116" s="194">
        <f t="shared" si="6"/>
        <v>0</v>
      </c>
      <c r="AN116" s="194">
        <f t="shared" si="6"/>
        <v>0</v>
      </c>
      <c r="AO116" s="194">
        <f t="shared" si="6"/>
        <v>0</v>
      </c>
      <c r="AP116" s="194">
        <f t="shared" si="6"/>
        <v>0</v>
      </c>
      <c r="AQ116" s="194">
        <f t="shared" si="6"/>
        <v>0</v>
      </c>
      <c r="AR116" s="195">
        <f t="shared" si="6"/>
        <v>0</v>
      </c>
    </row>
    <row r="117" spans="2:44" x14ac:dyDescent="0.2">
      <c r="B117" s="161" t="s">
        <v>199</v>
      </c>
      <c r="C117" s="151" t="str">
        <f>$C$7</f>
        <v>kWh</v>
      </c>
      <c r="D117" s="152"/>
      <c r="E117" s="196">
        <f t="shared" ref="E117:AR117" si="7">SUM(E114:E116)</f>
        <v>3738200000</v>
      </c>
      <c r="F117" s="196">
        <f t="shared" si="7"/>
        <v>3738200000</v>
      </c>
      <c r="G117" s="196">
        <f t="shared" si="7"/>
        <v>3738200000</v>
      </c>
      <c r="H117" s="196">
        <f t="shared" si="7"/>
        <v>3738200000</v>
      </c>
      <c r="I117" s="196">
        <f t="shared" si="7"/>
        <v>3738200000</v>
      </c>
      <c r="J117" s="196">
        <f t="shared" si="7"/>
        <v>3738200000</v>
      </c>
      <c r="K117" s="196">
        <f t="shared" si="7"/>
        <v>3738200000</v>
      </c>
      <c r="L117" s="196">
        <f t="shared" si="7"/>
        <v>3738200000</v>
      </c>
      <c r="M117" s="196">
        <f t="shared" si="7"/>
        <v>3738200000</v>
      </c>
      <c r="N117" s="196">
        <f t="shared" si="7"/>
        <v>3738200000</v>
      </c>
      <c r="O117" s="196">
        <f t="shared" si="7"/>
        <v>3738200000</v>
      </c>
      <c r="P117" s="196">
        <f t="shared" si="7"/>
        <v>3738200000</v>
      </c>
      <c r="Q117" s="196">
        <f t="shared" si="7"/>
        <v>3738200000</v>
      </c>
      <c r="R117" s="196">
        <f t="shared" si="7"/>
        <v>3738200000</v>
      </c>
      <c r="S117" s="196">
        <f t="shared" si="7"/>
        <v>3738200000</v>
      </c>
      <c r="T117" s="196">
        <f t="shared" si="7"/>
        <v>3898200000</v>
      </c>
      <c r="U117" s="196">
        <f t="shared" si="7"/>
        <v>3898200000</v>
      </c>
      <c r="V117" s="196">
        <f t="shared" si="7"/>
        <v>3898200000</v>
      </c>
      <c r="W117" s="196">
        <f t="shared" si="7"/>
        <v>3898200000</v>
      </c>
      <c r="X117" s="196">
        <f t="shared" si="7"/>
        <v>3898200000</v>
      </c>
      <c r="Y117" s="196">
        <f t="shared" si="7"/>
        <v>3898200000</v>
      </c>
      <c r="Z117" s="196">
        <f t="shared" si="7"/>
        <v>3898200000</v>
      </c>
      <c r="AA117" s="196">
        <f t="shared" si="7"/>
        <v>3898200000</v>
      </c>
      <c r="AB117" s="196">
        <f t="shared" si="7"/>
        <v>3898200000</v>
      </c>
      <c r="AC117" s="196">
        <f t="shared" si="7"/>
        <v>3898200000</v>
      </c>
      <c r="AD117" s="196">
        <f t="shared" si="7"/>
        <v>3898200000</v>
      </c>
      <c r="AE117" s="196">
        <f t="shared" si="7"/>
        <v>3898200000</v>
      </c>
      <c r="AF117" s="196">
        <f t="shared" si="7"/>
        <v>3898200000</v>
      </c>
      <c r="AG117" s="196">
        <f t="shared" si="7"/>
        <v>3898200000</v>
      </c>
      <c r="AH117" s="196">
        <f t="shared" si="7"/>
        <v>3898200000</v>
      </c>
      <c r="AI117" s="196">
        <f t="shared" si="7"/>
        <v>3898200000</v>
      </c>
      <c r="AJ117" s="196">
        <f t="shared" si="7"/>
        <v>3898200000</v>
      </c>
      <c r="AK117" s="196">
        <f t="shared" si="7"/>
        <v>3898200000</v>
      </c>
      <c r="AL117" s="196">
        <f t="shared" si="7"/>
        <v>3898200000</v>
      </c>
      <c r="AM117" s="196">
        <f t="shared" si="7"/>
        <v>3898200000</v>
      </c>
      <c r="AN117" s="196">
        <f t="shared" si="7"/>
        <v>0</v>
      </c>
      <c r="AO117" s="196">
        <f t="shared" si="7"/>
        <v>0</v>
      </c>
      <c r="AP117" s="196">
        <f t="shared" si="7"/>
        <v>0</v>
      </c>
      <c r="AQ117" s="196">
        <f t="shared" si="7"/>
        <v>0</v>
      </c>
      <c r="AR117" s="197">
        <f t="shared" si="7"/>
        <v>0</v>
      </c>
    </row>
    <row r="118" spans="2:44" ht="12.95" customHeight="1" x14ac:dyDescent="0.2">
      <c r="B118" s="157" t="s">
        <v>200</v>
      </c>
      <c r="C118" s="148"/>
      <c r="D118" s="149"/>
      <c r="E118" s="149"/>
      <c r="F118" s="149"/>
      <c r="G118" s="149"/>
      <c r="H118" s="149"/>
      <c r="I118" s="149"/>
      <c r="J118" s="149"/>
      <c r="K118" s="149"/>
      <c r="L118" s="149"/>
      <c r="M118" s="149"/>
      <c r="N118" s="149"/>
      <c r="O118" s="149"/>
      <c r="P118" s="149"/>
      <c r="Q118" s="149"/>
      <c r="R118" s="149"/>
      <c r="S118" s="149"/>
      <c r="T118" s="149"/>
      <c r="U118" s="149"/>
      <c r="V118" s="149"/>
      <c r="W118" s="149"/>
      <c r="X118" s="149"/>
      <c r="Y118" s="149"/>
      <c r="Z118" s="149"/>
      <c r="AA118" s="149"/>
      <c r="AB118" s="149"/>
      <c r="AC118" s="149"/>
      <c r="AD118" s="149"/>
      <c r="AE118" s="149"/>
      <c r="AF118" s="149"/>
      <c r="AG118" s="149"/>
      <c r="AH118" s="149"/>
      <c r="AI118" s="149"/>
      <c r="AJ118" s="149"/>
      <c r="AK118" s="149"/>
      <c r="AL118" s="149"/>
      <c r="AM118" s="149"/>
      <c r="AN118" s="149"/>
      <c r="AO118" s="149"/>
      <c r="AP118" s="149"/>
      <c r="AQ118" s="149"/>
      <c r="AR118" s="160"/>
    </row>
    <row r="119" spans="2:44" x14ac:dyDescent="0.2">
      <c r="B119" s="50" t="s">
        <v>201</v>
      </c>
      <c r="C119" s="145" t="s">
        <v>183</v>
      </c>
      <c r="D119" s="145"/>
      <c r="E119" s="194">
        <f t="shared" ref="E119:AR119" si="8">IF(E111&gt;$C$73,0,-E108*(($C$42*$C$21+$C$43*SUM($C$26,$C$28))+E117*$C$49))+IF($C$101=E111,$D$101*E108,0)+IF($C$102=E111,$D$102*E108,0)</f>
        <v>-88620265.321447998</v>
      </c>
      <c r="F119" s="194">
        <f t="shared" si="8"/>
        <v>-90392670.627876967</v>
      </c>
      <c r="G119" s="194">
        <f t="shared" si="8"/>
        <v>-92200524.040434495</v>
      </c>
      <c r="H119" s="194">
        <f t="shared" si="8"/>
        <v>-94044534.521243185</v>
      </c>
      <c r="I119" s="194">
        <f t="shared" si="8"/>
        <v>-95925425.211668044</v>
      </c>
      <c r="J119" s="194">
        <f t="shared" si="8"/>
        <v>-97843933.71590142</v>
      </c>
      <c r="K119" s="194">
        <f t="shared" si="8"/>
        <v>-99800812.39021945</v>
      </c>
      <c r="L119" s="194">
        <f t="shared" si="8"/>
        <v>-101796828.63802381</v>
      </c>
      <c r="M119" s="194">
        <f t="shared" si="8"/>
        <v>-103832765.2107843</v>
      </c>
      <c r="N119" s="194">
        <f t="shared" si="8"/>
        <v>-105909420.51499999</v>
      </c>
      <c r="O119" s="194">
        <f t="shared" si="8"/>
        <v>-108027608.92529999</v>
      </c>
      <c r="P119" s="194">
        <f t="shared" si="8"/>
        <v>-110188161.10380597</v>
      </c>
      <c r="Q119" s="194">
        <f t="shared" si="8"/>
        <v>-112391924.32588211</v>
      </c>
      <c r="R119" s="194">
        <f t="shared" si="8"/>
        <v>-114639762.81239974</v>
      </c>
      <c r="S119" s="194">
        <f t="shared" si="8"/>
        <v>-116932558.06864774</v>
      </c>
      <c r="T119" s="194">
        <f t="shared" si="8"/>
        <v>-311864968.44420356</v>
      </c>
      <c r="U119" s="194">
        <f t="shared" si="8"/>
        <v>-123853090.54276608</v>
      </c>
      <c r="V119" s="194">
        <f t="shared" si="8"/>
        <v>-126330152.35362142</v>
      </c>
      <c r="W119" s="194">
        <f t="shared" si="8"/>
        <v>-128856755.40069383</v>
      </c>
      <c r="X119" s="194">
        <f t="shared" si="8"/>
        <v>-131433890.5087077</v>
      </c>
      <c r="Y119" s="194">
        <f t="shared" si="8"/>
        <v>-134062568.31888187</v>
      </c>
      <c r="Z119" s="194">
        <f t="shared" si="8"/>
        <v>-136743819.68525949</v>
      </c>
      <c r="AA119" s="194">
        <f t="shared" si="8"/>
        <v>-139478696.07896468</v>
      </c>
      <c r="AB119" s="194">
        <f t="shared" si="8"/>
        <v>-142268270.00054395</v>
      </c>
      <c r="AC119" s="194">
        <f t="shared" si="8"/>
        <v>-145113635.40055484</v>
      </c>
      <c r="AD119" s="194">
        <f t="shared" si="8"/>
        <v>-148015908.10856596</v>
      </c>
      <c r="AE119" s="194">
        <f t="shared" si="8"/>
        <v>-150976226.27073729</v>
      </c>
      <c r="AF119" s="194">
        <f t="shared" si="8"/>
        <v>-153995750.796152</v>
      </c>
      <c r="AG119" s="194">
        <f t="shared" si="8"/>
        <v>-157075665.81207508</v>
      </c>
      <c r="AH119" s="194">
        <f t="shared" si="8"/>
        <v>-160217179.12831655</v>
      </c>
      <c r="AI119" s="194">
        <f t="shared" si="8"/>
        <v>-163421522.7108829</v>
      </c>
      <c r="AJ119" s="194">
        <f t="shared" si="8"/>
        <v>-166689953.16510051</v>
      </c>
      <c r="AK119" s="194">
        <f t="shared" si="8"/>
        <v>-170023752.22840255</v>
      </c>
      <c r="AL119" s="194">
        <f t="shared" si="8"/>
        <v>-173424227.27297062</v>
      </c>
      <c r="AM119" s="194">
        <f t="shared" si="8"/>
        <v>-176892711.81843001</v>
      </c>
      <c r="AN119" s="194">
        <f t="shared" si="8"/>
        <v>0</v>
      </c>
      <c r="AO119" s="194">
        <f t="shared" si="8"/>
        <v>0</v>
      </c>
      <c r="AP119" s="194">
        <f t="shared" si="8"/>
        <v>0</v>
      </c>
      <c r="AQ119" s="194">
        <f t="shared" si="8"/>
        <v>0</v>
      </c>
      <c r="AR119" s="195">
        <f t="shared" si="8"/>
        <v>0</v>
      </c>
    </row>
    <row r="120" spans="2:44" x14ac:dyDescent="0.2">
      <c r="B120" s="50" t="s">
        <v>202</v>
      </c>
      <c r="C120" s="145" t="s">
        <v>183</v>
      </c>
      <c r="D120" s="145"/>
      <c r="E120" s="194">
        <f t="shared" ref="E120:AR120" si="9">IF(OR(E111&gt;$C$73, $C$52=0), 0, -E108*$C$54/$C$52*$C$21*MAX($C$29,$C$30)*$C$175/1000)</f>
        <v>0</v>
      </c>
      <c r="F120" s="194">
        <f t="shared" si="9"/>
        <v>0</v>
      </c>
      <c r="G120" s="194">
        <f t="shared" si="9"/>
        <v>0</v>
      </c>
      <c r="H120" s="194">
        <f t="shared" si="9"/>
        <v>0</v>
      </c>
      <c r="I120" s="194">
        <f t="shared" si="9"/>
        <v>0</v>
      </c>
      <c r="J120" s="194">
        <f t="shared" si="9"/>
        <v>0</v>
      </c>
      <c r="K120" s="194">
        <f t="shared" si="9"/>
        <v>0</v>
      </c>
      <c r="L120" s="194">
        <f t="shared" si="9"/>
        <v>0</v>
      </c>
      <c r="M120" s="194">
        <f t="shared" si="9"/>
        <v>0</v>
      </c>
      <c r="N120" s="194">
        <f t="shared" si="9"/>
        <v>0</v>
      </c>
      <c r="O120" s="194">
        <f t="shared" si="9"/>
        <v>0</v>
      </c>
      <c r="P120" s="194">
        <f t="shared" si="9"/>
        <v>0</v>
      </c>
      <c r="Q120" s="194">
        <f t="shared" si="9"/>
        <v>0</v>
      </c>
      <c r="R120" s="194">
        <f t="shared" si="9"/>
        <v>0</v>
      </c>
      <c r="S120" s="194">
        <f t="shared" si="9"/>
        <v>0</v>
      </c>
      <c r="T120" s="194">
        <f t="shared" si="9"/>
        <v>0</v>
      </c>
      <c r="U120" s="194">
        <f t="shared" si="9"/>
        <v>0</v>
      </c>
      <c r="V120" s="194">
        <f t="shared" si="9"/>
        <v>0</v>
      </c>
      <c r="W120" s="194">
        <f t="shared" si="9"/>
        <v>0</v>
      </c>
      <c r="X120" s="194">
        <f t="shared" si="9"/>
        <v>0</v>
      </c>
      <c r="Y120" s="194">
        <f t="shared" si="9"/>
        <v>0</v>
      </c>
      <c r="Z120" s="194">
        <f t="shared" si="9"/>
        <v>0</v>
      </c>
      <c r="AA120" s="194">
        <f t="shared" si="9"/>
        <v>0</v>
      </c>
      <c r="AB120" s="194">
        <f t="shared" si="9"/>
        <v>0</v>
      </c>
      <c r="AC120" s="194">
        <f t="shared" si="9"/>
        <v>0</v>
      </c>
      <c r="AD120" s="194">
        <f t="shared" si="9"/>
        <v>0</v>
      </c>
      <c r="AE120" s="194">
        <f t="shared" si="9"/>
        <v>0</v>
      </c>
      <c r="AF120" s="194">
        <f t="shared" si="9"/>
        <v>0</v>
      </c>
      <c r="AG120" s="194">
        <f t="shared" si="9"/>
        <v>0</v>
      </c>
      <c r="AH120" s="194">
        <f t="shared" si="9"/>
        <v>0</v>
      </c>
      <c r="AI120" s="194">
        <f t="shared" si="9"/>
        <v>0</v>
      </c>
      <c r="AJ120" s="194">
        <f t="shared" si="9"/>
        <v>0</v>
      </c>
      <c r="AK120" s="194">
        <f t="shared" si="9"/>
        <v>0</v>
      </c>
      <c r="AL120" s="194">
        <f t="shared" si="9"/>
        <v>0</v>
      </c>
      <c r="AM120" s="194">
        <f t="shared" si="9"/>
        <v>0</v>
      </c>
      <c r="AN120" s="194">
        <f t="shared" si="9"/>
        <v>0</v>
      </c>
      <c r="AO120" s="194">
        <f t="shared" si="9"/>
        <v>0</v>
      </c>
      <c r="AP120" s="194">
        <f t="shared" si="9"/>
        <v>0</v>
      </c>
      <c r="AQ120" s="194">
        <f t="shared" si="9"/>
        <v>0</v>
      </c>
      <c r="AR120" s="195">
        <f t="shared" si="9"/>
        <v>0</v>
      </c>
    </row>
    <row r="121" spans="2:44" x14ac:dyDescent="0.2">
      <c r="B121" s="50" t="s">
        <v>203</v>
      </c>
      <c r="C121" s="145" t="s">
        <v>178</v>
      </c>
      <c r="D121" s="145"/>
      <c r="E121" s="198">
        <f t="shared" ref="E121:AR121" si="10">IF(AND(E111&gt;$C$76,E111&lt;=$C$73),(IF($C$81&gt;0,$C$80*E108,0)), )</f>
        <v>0</v>
      </c>
      <c r="F121" s="198">
        <f t="shared" si="10"/>
        <v>0</v>
      </c>
      <c r="G121" s="198">
        <f t="shared" si="10"/>
        <v>0</v>
      </c>
      <c r="H121" s="198">
        <f t="shared" si="10"/>
        <v>0</v>
      </c>
      <c r="I121" s="198">
        <f t="shared" si="10"/>
        <v>0</v>
      </c>
      <c r="J121" s="198">
        <f t="shared" si="10"/>
        <v>0</v>
      </c>
      <c r="K121" s="198">
        <f t="shared" si="10"/>
        <v>0</v>
      </c>
      <c r="L121" s="198">
        <f t="shared" si="10"/>
        <v>0</v>
      </c>
      <c r="M121" s="198">
        <f t="shared" si="10"/>
        <v>0</v>
      </c>
      <c r="N121" s="198">
        <f t="shared" si="10"/>
        <v>0</v>
      </c>
      <c r="O121" s="198">
        <f t="shared" si="10"/>
        <v>0</v>
      </c>
      <c r="P121" s="198">
        <f t="shared" si="10"/>
        <v>0</v>
      </c>
      <c r="Q121" s="198">
        <f t="shared" si="10"/>
        <v>0</v>
      </c>
      <c r="R121" s="198">
        <f t="shared" si="10"/>
        <v>0</v>
      </c>
      <c r="S121" s="198">
        <f t="shared" si="10"/>
        <v>0</v>
      </c>
      <c r="T121" s="198">
        <f t="shared" si="10"/>
        <v>7.6096388475197049E-2</v>
      </c>
      <c r="U121" s="198">
        <f t="shared" si="10"/>
        <v>7.7618316244701002E-2</v>
      </c>
      <c r="V121" s="198">
        <f t="shared" si="10"/>
        <v>7.917068256959503E-2</v>
      </c>
      <c r="W121" s="198">
        <f t="shared" si="10"/>
        <v>8.0754096220986921E-2</v>
      </c>
      <c r="X121" s="198">
        <f t="shared" si="10"/>
        <v>8.2369178145406646E-2</v>
      </c>
      <c r="Y121" s="198">
        <f t="shared" si="10"/>
        <v>8.4016561708314785E-2</v>
      </c>
      <c r="Z121" s="198">
        <f t="shared" si="10"/>
        <v>8.5696892942481076E-2</v>
      </c>
      <c r="AA121" s="198">
        <f t="shared" si="10"/>
        <v>8.7410830801330705E-2</v>
      </c>
      <c r="AB121" s="198">
        <f t="shared" si="10"/>
        <v>8.9159047417357307E-2</v>
      </c>
      <c r="AC121" s="198">
        <f t="shared" si="10"/>
        <v>9.0942228365704453E-2</v>
      </c>
      <c r="AD121" s="198">
        <f t="shared" si="10"/>
        <v>9.2761072933018551E-2</v>
      </c>
      <c r="AE121" s="198">
        <f t="shared" si="10"/>
        <v>9.4616294391678929E-2</v>
      </c>
      <c r="AF121" s="198">
        <f t="shared" si="10"/>
        <v>9.6508620279512486E-2</v>
      </c>
      <c r="AG121" s="198">
        <f t="shared" si="10"/>
        <v>9.8438792685102763E-2</v>
      </c>
      <c r="AH121" s="198">
        <f t="shared" si="10"/>
        <v>0.1004075685388048</v>
      </c>
      <c r="AI121" s="198">
        <f t="shared" si="10"/>
        <v>0.1024157199095809</v>
      </c>
      <c r="AJ121" s="198">
        <f t="shared" si="10"/>
        <v>0.1044640343077725</v>
      </c>
      <c r="AK121" s="198">
        <f t="shared" si="10"/>
        <v>0.10655331499392796</v>
      </c>
      <c r="AL121" s="198">
        <f t="shared" si="10"/>
        <v>0.10868438129380653</v>
      </c>
      <c r="AM121" s="198">
        <f t="shared" si="10"/>
        <v>0.11085806891968265</v>
      </c>
      <c r="AN121" s="198">
        <f t="shared" si="10"/>
        <v>0</v>
      </c>
      <c r="AO121" s="198">
        <f t="shared" si="10"/>
        <v>0</v>
      </c>
      <c r="AP121" s="198">
        <f t="shared" si="10"/>
        <v>0</v>
      </c>
      <c r="AQ121" s="198">
        <f t="shared" si="10"/>
        <v>0</v>
      </c>
      <c r="AR121" s="199">
        <f t="shared" si="10"/>
        <v>0</v>
      </c>
    </row>
    <row r="122" spans="2:44" x14ac:dyDescent="0.2">
      <c r="B122" s="50" t="s">
        <v>204</v>
      </c>
      <c r="C122" s="145" t="s">
        <v>178</v>
      </c>
      <c r="D122" s="145"/>
      <c r="E122" s="198">
        <f t="shared" ref="E122:AR122" si="11">IF($C$23="Ja",0,IF(AND(E111&gt;$C$76,E111&lt;=$C$73),(IF($C$83&gt;0,$C$82*E108,0)), ))</f>
        <v>0</v>
      </c>
      <c r="F122" s="198">
        <f t="shared" si="11"/>
        <v>0</v>
      </c>
      <c r="G122" s="198">
        <f t="shared" si="11"/>
        <v>0</v>
      </c>
      <c r="H122" s="198">
        <f t="shared" si="11"/>
        <v>0</v>
      </c>
      <c r="I122" s="198">
        <f t="shared" si="11"/>
        <v>0</v>
      </c>
      <c r="J122" s="198">
        <f t="shared" si="11"/>
        <v>0</v>
      </c>
      <c r="K122" s="198">
        <f t="shared" si="11"/>
        <v>0</v>
      </c>
      <c r="L122" s="198">
        <f t="shared" si="11"/>
        <v>0</v>
      </c>
      <c r="M122" s="198">
        <f t="shared" si="11"/>
        <v>0</v>
      </c>
      <c r="N122" s="198">
        <f t="shared" si="11"/>
        <v>0</v>
      </c>
      <c r="O122" s="198">
        <f t="shared" si="11"/>
        <v>0</v>
      </c>
      <c r="P122" s="198">
        <f t="shared" si="11"/>
        <v>0</v>
      </c>
      <c r="Q122" s="198">
        <f t="shared" si="11"/>
        <v>0</v>
      </c>
      <c r="R122" s="198">
        <f t="shared" si="11"/>
        <v>0</v>
      </c>
      <c r="S122" s="198">
        <f t="shared" si="11"/>
        <v>0</v>
      </c>
      <c r="T122" s="198">
        <f t="shared" si="11"/>
        <v>0</v>
      </c>
      <c r="U122" s="198">
        <f t="shared" si="11"/>
        <v>0</v>
      </c>
      <c r="V122" s="198">
        <f t="shared" si="11"/>
        <v>0</v>
      </c>
      <c r="W122" s="198">
        <f t="shared" si="11"/>
        <v>0</v>
      </c>
      <c r="X122" s="198">
        <f t="shared" si="11"/>
        <v>0</v>
      </c>
      <c r="Y122" s="198">
        <f t="shared" si="11"/>
        <v>0</v>
      </c>
      <c r="Z122" s="198">
        <f t="shared" si="11"/>
        <v>0</v>
      </c>
      <c r="AA122" s="198">
        <f t="shared" si="11"/>
        <v>0</v>
      </c>
      <c r="AB122" s="198">
        <f t="shared" si="11"/>
        <v>0</v>
      </c>
      <c r="AC122" s="198">
        <f t="shared" si="11"/>
        <v>0</v>
      </c>
      <c r="AD122" s="198">
        <f t="shared" si="11"/>
        <v>0</v>
      </c>
      <c r="AE122" s="198">
        <f t="shared" si="11"/>
        <v>0</v>
      </c>
      <c r="AF122" s="198">
        <f t="shared" si="11"/>
        <v>0</v>
      </c>
      <c r="AG122" s="198">
        <f t="shared" si="11"/>
        <v>0</v>
      </c>
      <c r="AH122" s="198">
        <f t="shared" si="11"/>
        <v>0</v>
      </c>
      <c r="AI122" s="198">
        <f t="shared" si="11"/>
        <v>0</v>
      </c>
      <c r="AJ122" s="198">
        <f t="shared" si="11"/>
        <v>0</v>
      </c>
      <c r="AK122" s="198">
        <f t="shared" si="11"/>
        <v>0</v>
      </c>
      <c r="AL122" s="198">
        <f t="shared" si="11"/>
        <v>0</v>
      </c>
      <c r="AM122" s="198">
        <f t="shared" si="11"/>
        <v>0</v>
      </c>
      <c r="AN122" s="198">
        <f t="shared" si="11"/>
        <v>0</v>
      </c>
      <c r="AO122" s="198">
        <f t="shared" si="11"/>
        <v>0</v>
      </c>
      <c r="AP122" s="198">
        <f t="shared" si="11"/>
        <v>0</v>
      </c>
      <c r="AQ122" s="198">
        <f t="shared" si="11"/>
        <v>0</v>
      </c>
      <c r="AR122" s="199">
        <f t="shared" si="11"/>
        <v>0</v>
      </c>
    </row>
    <row r="123" spans="2:44" x14ac:dyDescent="0.2">
      <c r="B123" s="50" t="s">
        <v>205</v>
      </c>
      <c r="C123" s="145" t="str">
        <f>CONCATENATE("Euro/",$C$7)</f>
        <v>Euro/kWh</v>
      </c>
      <c r="D123" s="145"/>
      <c r="E123" s="198">
        <f t="shared" ref="E123:AR123" si="12">E107</f>
        <v>0</v>
      </c>
      <c r="F123" s="198">
        <f t="shared" si="12"/>
        <v>0</v>
      </c>
      <c r="G123" s="198">
        <f t="shared" si="12"/>
        <v>0</v>
      </c>
      <c r="H123" s="198">
        <f t="shared" si="12"/>
        <v>0</v>
      </c>
      <c r="I123" s="198">
        <f t="shared" si="12"/>
        <v>0</v>
      </c>
      <c r="J123" s="198">
        <f t="shared" si="12"/>
        <v>0</v>
      </c>
      <c r="K123" s="198">
        <f t="shared" si="12"/>
        <v>0</v>
      </c>
      <c r="L123" s="198">
        <f t="shared" si="12"/>
        <v>0</v>
      </c>
      <c r="M123" s="198">
        <f t="shared" si="12"/>
        <v>0</v>
      </c>
      <c r="N123" s="198">
        <f t="shared" si="12"/>
        <v>0</v>
      </c>
      <c r="O123" s="198">
        <f t="shared" si="12"/>
        <v>0</v>
      </c>
      <c r="P123" s="198">
        <f t="shared" si="12"/>
        <v>0</v>
      </c>
      <c r="Q123" s="198">
        <f t="shared" si="12"/>
        <v>0</v>
      </c>
      <c r="R123" s="198">
        <f t="shared" si="12"/>
        <v>0</v>
      </c>
      <c r="S123" s="198">
        <f t="shared" si="12"/>
        <v>0</v>
      </c>
      <c r="T123" s="198">
        <f t="shared" si="12"/>
        <v>0</v>
      </c>
      <c r="U123" s="198">
        <f t="shared" si="12"/>
        <v>0</v>
      </c>
      <c r="V123" s="198">
        <f t="shared" si="12"/>
        <v>0</v>
      </c>
      <c r="W123" s="198">
        <f t="shared" si="12"/>
        <v>0</v>
      </c>
      <c r="X123" s="198">
        <f t="shared" si="12"/>
        <v>0</v>
      </c>
      <c r="Y123" s="198">
        <f t="shared" si="12"/>
        <v>0</v>
      </c>
      <c r="Z123" s="198">
        <f t="shared" si="12"/>
        <v>0</v>
      </c>
      <c r="AA123" s="198">
        <f t="shared" si="12"/>
        <v>0</v>
      </c>
      <c r="AB123" s="198">
        <f t="shared" si="12"/>
        <v>0</v>
      </c>
      <c r="AC123" s="198">
        <f t="shared" si="12"/>
        <v>0</v>
      </c>
      <c r="AD123" s="198">
        <f t="shared" si="12"/>
        <v>0</v>
      </c>
      <c r="AE123" s="198">
        <f t="shared" si="12"/>
        <v>0</v>
      </c>
      <c r="AF123" s="198">
        <f t="shared" si="12"/>
        <v>0</v>
      </c>
      <c r="AG123" s="198">
        <f t="shared" si="12"/>
        <v>0</v>
      </c>
      <c r="AH123" s="198">
        <f t="shared" si="12"/>
        <v>0</v>
      </c>
      <c r="AI123" s="198">
        <f t="shared" si="12"/>
        <v>0</v>
      </c>
      <c r="AJ123" s="198">
        <f t="shared" si="12"/>
        <v>0</v>
      </c>
      <c r="AK123" s="198">
        <f t="shared" si="12"/>
        <v>0</v>
      </c>
      <c r="AL123" s="198">
        <f t="shared" si="12"/>
        <v>0</v>
      </c>
      <c r="AM123" s="198">
        <f t="shared" si="12"/>
        <v>0</v>
      </c>
      <c r="AN123" s="198">
        <f t="shared" si="12"/>
        <v>0</v>
      </c>
      <c r="AO123" s="198">
        <f t="shared" si="12"/>
        <v>0</v>
      </c>
      <c r="AP123" s="198">
        <f t="shared" si="12"/>
        <v>0</v>
      </c>
      <c r="AQ123" s="198">
        <f t="shared" si="12"/>
        <v>0</v>
      </c>
      <c r="AR123" s="199">
        <f t="shared" si="12"/>
        <v>0</v>
      </c>
    </row>
    <row r="124" spans="2:44" x14ac:dyDescent="0.2">
      <c r="B124" s="50" t="s">
        <v>28</v>
      </c>
      <c r="C124" s="145" t="str">
        <f>CONCATENATE("Euro/",$C$7)</f>
        <v>Euro/kWh</v>
      </c>
      <c r="D124" s="145"/>
      <c r="E124" s="198">
        <f t="shared" ref="E124:AR124" si="13">E106</f>
        <v>0</v>
      </c>
      <c r="F124" s="198">
        <f t="shared" si="13"/>
        <v>0</v>
      </c>
      <c r="G124" s="198">
        <f t="shared" si="13"/>
        <v>0</v>
      </c>
      <c r="H124" s="198">
        <f t="shared" si="13"/>
        <v>0</v>
      </c>
      <c r="I124" s="198">
        <f t="shared" si="13"/>
        <v>0</v>
      </c>
      <c r="J124" s="198">
        <f t="shared" si="13"/>
        <v>0</v>
      </c>
      <c r="K124" s="198">
        <f t="shared" si="13"/>
        <v>0</v>
      </c>
      <c r="L124" s="198">
        <f t="shared" si="13"/>
        <v>0</v>
      </c>
      <c r="M124" s="198">
        <f t="shared" si="13"/>
        <v>0</v>
      </c>
      <c r="N124" s="198">
        <f t="shared" si="13"/>
        <v>0</v>
      </c>
      <c r="O124" s="198">
        <f t="shared" si="13"/>
        <v>0</v>
      </c>
      <c r="P124" s="198">
        <f t="shared" si="13"/>
        <v>0</v>
      </c>
      <c r="Q124" s="198">
        <f t="shared" si="13"/>
        <v>0</v>
      </c>
      <c r="R124" s="198">
        <f t="shared" si="13"/>
        <v>0</v>
      </c>
      <c r="S124" s="198">
        <f t="shared" si="13"/>
        <v>0</v>
      </c>
      <c r="T124" s="198">
        <f t="shared" si="13"/>
        <v>0</v>
      </c>
      <c r="U124" s="198">
        <f t="shared" si="13"/>
        <v>0</v>
      </c>
      <c r="V124" s="198">
        <f t="shared" si="13"/>
        <v>0</v>
      </c>
      <c r="W124" s="198">
        <f t="shared" si="13"/>
        <v>0</v>
      </c>
      <c r="X124" s="198">
        <f t="shared" si="13"/>
        <v>0</v>
      </c>
      <c r="Y124" s="198">
        <f t="shared" si="13"/>
        <v>0</v>
      </c>
      <c r="Z124" s="198">
        <f t="shared" si="13"/>
        <v>0</v>
      </c>
      <c r="AA124" s="198">
        <f t="shared" si="13"/>
        <v>0</v>
      </c>
      <c r="AB124" s="198">
        <f t="shared" si="13"/>
        <v>0</v>
      </c>
      <c r="AC124" s="198">
        <f t="shared" si="13"/>
        <v>0</v>
      </c>
      <c r="AD124" s="198">
        <f t="shared" si="13"/>
        <v>0</v>
      </c>
      <c r="AE124" s="198">
        <f t="shared" si="13"/>
        <v>0</v>
      </c>
      <c r="AF124" s="198">
        <f t="shared" si="13"/>
        <v>0</v>
      </c>
      <c r="AG124" s="198">
        <f t="shared" si="13"/>
        <v>0</v>
      </c>
      <c r="AH124" s="198">
        <f t="shared" si="13"/>
        <v>0</v>
      </c>
      <c r="AI124" s="198">
        <f t="shared" si="13"/>
        <v>0</v>
      </c>
      <c r="AJ124" s="198">
        <f t="shared" si="13"/>
        <v>0</v>
      </c>
      <c r="AK124" s="198">
        <f t="shared" si="13"/>
        <v>0</v>
      </c>
      <c r="AL124" s="198">
        <f t="shared" si="13"/>
        <v>0</v>
      </c>
      <c r="AM124" s="198">
        <f t="shared" si="13"/>
        <v>0</v>
      </c>
      <c r="AN124" s="198">
        <f t="shared" si="13"/>
        <v>0</v>
      </c>
      <c r="AO124" s="198">
        <f t="shared" si="13"/>
        <v>0</v>
      </c>
      <c r="AP124" s="198">
        <f t="shared" si="13"/>
        <v>0</v>
      </c>
      <c r="AQ124" s="198">
        <f t="shared" si="13"/>
        <v>0</v>
      </c>
      <c r="AR124" s="199">
        <f t="shared" si="13"/>
        <v>0</v>
      </c>
    </row>
    <row r="125" spans="2:44" x14ac:dyDescent="0.2">
      <c r="B125" s="50" t="s">
        <v>206</v>
      </c>
      <c r="C125" s="145" t="s">
        <v>183</v>
      </c>
      <c r="D125" s="145"/>
      <c r="E125" s="194">
        <f t="shared" ref="E125:AR125" si="14">MAX(0,E124-E123)*E117</f>
        <v>0</v>
      </c>
      <c r="F125" s="194">
        <f t="shared" si="14"/>
        <v>0</v>
      </c>
      <c r="G125" s="194">
        <f t="shared" si="14"/>
        <v>0</v>
      </c>
      <c r="H125" s="194">
        <f t="shared" si="14"/>
        <v>0</v>
      </c>
      <c r="I125" s="194">
        <f t="shared" si="14"/>
        <v>0</v>
      </c>
      <c r="J125" s="194">
        <f t="shared" si="14"/>
        <v>0</v>
      </c>
      <c r="K125" s="194">
        <f t="shared" si="14"/>
        <v>0</v>
      </c>
      <c r="L125" s="194">
        <f t="shared" si="14"/>
        <v>0</v>
      </c>
      <c r="M125" s="194">
        <f t="shared" si="14"/>
        <v>0</v>
      </c>
      <c r="N125" s="194">
        <f t="shared" si="14"/>
        <v>0</v>
      </c>
      <c r="O125" s="194">
        <f t="shared" si="14"/>
        <v>0</v>
      </c>
      <c r="P125" s="194">
        <f t="shared" si="14"/>
        <v>0</v>
      </c>
      <c r="Q125" s="194">
        <f t="shared" si="14"/>
        <v>0</v>
      </c>
      <c r="R125" s="194">
        <f t="shared" si="14"/>
        <v>0</v>
      </c>
      <c r="S125" s="194">
        <f t="shared" si="14"/>
        <v>0</v>
      </c>
      <c r="T125" s="194">
        <f t="shared" si="14"/>
        <v>0</v>
      </c>
      <c r="U125" s="194">
        <f t="shared" si="14"/>
        <v>0</v>
      </c>
      <c r="V125" s="194">
        <f t="shared" si="14"/>
        <v>0</v>
      </c>
      <c r="W125" s="194">
        <f t="shared" si="14"/>
        <v>0</v>
      </c>
      <c r="X125" s="194">
        <f t="shared" si="14"/>
        <v>0</v>
      </c>
      <c r="Y125" s="194">
        <f t="shared" si="14"/>
        <v>0</v>
      </c>
      <c r="Z125" s="194">
        <f t="shared" si="14"/>
        <v>0</v>
      </c>
      <c r="AA125" s="194">
        <f t="shared" si="14"/>
        <v>0</v>
      </c>
      <c r="AB125" s="194">
        <f t="shared" si="14"/>
        <v>0</v>
      </c>
      <c r="AC125" s="194">
        <f t="shared" si="14"/>
        <v>0</v>
      </c>
      <c r="AD125" s="194">
        <f t="shared" si="14"/>
        <v>0</v>
      </c>
      <c r="AE125" s="194">
        <f t="shared" si="14"/>
        <v>0</v>
      </c>
      <c r="AF125" s="194">
        <f t="shared" si="14"/>
        <v>0</v>
      </c>
      <c r="AG125" s="194">
        <f t="shared" si="14"/>
        <v>0</v>
      </c>
      <c r="AH125" s="194">
        <f t="shared" si="14"/>
        <v>0</v>
      </c>
      <c r="AI125" s="194">
        <f t="shared" si="14"/>
        <v>0</v>
      </c>
      <c r="AJ125" s="194">
        <f t="shared" si="14"/>
        <v>0</v>
      </c>
      <c r="AK125" s="194">
        <f t="shared" si="14"/>
        <v>0</v>
      </c>
      <c r="AL125" s="194">
        <f t="shared" si="14"/>
        <v>0</v>
      </c>
      <c r="AM125" s="194">
        <f t="shared" si="14"/>
        <v>0</v>
      </c>
      <c r="AN125" s="194">
        <f t="shared" si="14"/>
        <v>0</v>
      </c>
      <c r="AO125" s="194">
        <f t="shared" si="14"/>
        <v>0</v>
      </c>
      <c r="AP125" s="194">
        <f t="shared" si="14"/>
        <v>0</v>
      </c>
      <c r="AQ125" s="194">
        <f t="shared" si="14"/>
        <v>0</v>
      </c>
      <c r="AR125" s="195">
        <f t="shared" si="14"/>
        <v>0</v>
      </c>
    </row>
    <row r="126" spans="2:44" x14ac:dyDescent="0.2">
      <c r="B126" s="50" t="s">
        <v>207</v>
      </c>
      <c r="C126" s="145" t="s">
        <v>183</v>
      </c>
      <c r="D126" s="145"/>
      <c r="E126" s="194">
        <f t="shared" ref="E126:AR126" si="15">IF(E107&gt;0,,E121*E114+E122*SUM(E115:E116))</f>
        <v>0</v>
      </c>
      <c r="F126" s="194">
        <f t="shared" si="15"/>
        <v>0</v>
      </c>
      <c r="G126" s="194">
        <f t="shared" si="15"/>
        <v>0</v>
      </c>
      <c r="H126" s="194">
        <f t="shared" si="15"/>
        <v>0</v>
      </c>
      <c r="I126" s="194">
        <f t="shared" si="15"/>
        <v>0</v>
      </c>
      <c r="J126" s="194">
        <f t="shared" si="15"/>
        <v>0</v>
      </c>
      <c r="K126" s="194">
        <f t="shared" si="15"/>
        <v>0</v>
      </c>
      <c r="L126" s="194">
        <f t="shared" si="15"/>
        <v>0</v>
      </c>
      <c r="M126" s="194">
        <f t="shared" si="15"/>
        <v>0</v>
      </c>
      <c r="N126" s="194">
        <f t="shared" si="15"/>
        <v>0</v>
      </c>
      <c r="O126" s="194">
        <f t="shared" si="15"/>
        <v>0</v>
      </c>
      <c r="P126" s="194">
        <f t="shared" si="15"/>
        <v>0</v>
      </c>
      <c r="Q126" s="194">
        <f t="shared" si="15"/>
        <v>0</v>
      </c>
      <c r="R126" s="194">
        <f t="shared" si="15"/>
        <v>0</v>
      </c>
      <c r="S126" s="194">
        <f t="shared" si="15"/>
        <v>0</v>
      </c>
      <c r="T126" s="194">
        <f t="shared" si="15"/>
        <v>296638941.55401313</v>
      </c>
      <c r="U126" s="194">
        <f t="shared" si="15"/>
        <v>302571720.38509345</v>
      </c>
      <c r="V126" s="194">
        <f t="shared" si="15"/>
        <v>308623154.79279536</v>
      </c>
      <c r="W126" s="194">
        <f t="shared" si="15"/>
        <v>314795617.88865119</v>
      </c>
      <c r="X126" s="194">
        <f t="shared" si="15"/>
        <v>321091530.2464242</v>
      </c>
      <c r="Y126" s="194">
        <f t="shared" si="15"/>
        <v>327513360.85135269</v>
      </c>
      <c r="Z126" s="194">
        <f t="shared" si="15"/>
        <v>334063628.06837976</v>
      </c>
      <c r="AA126" s="194">
        <f t="shared" si="15"/>
        <v>340744900.62974733</v>
      </c>
      <c r="AB126" s="194">
        <f t="shared" si="15"/>
        <v>347559798.64234227</v>
      </c>
      <c r="AC126" s="194">
        <f t="shared" si="15"/>
        <v>354510994.61518908</v>
      </c>
      <c r="AD126" s="194">
        <f t="shared" si="15"/>
        <v>361601214.5074929</v>
      </c>
      <c r="AE126" s="194">
        <f t="shared" si="15"/>
        <v>368833238.79764283</v>
      </c>
      <c r="AF126" s="194">
        <f t="shared" si="15"/>
        <v>376209903.57359558</v>
      </c>
      <c r="AG126" s="194">
        <f t="shared" si="15"/>
        <v>383734101.64506757</v>
      </c>
      <c r="AH126" s="194">
        <f t="shared" si="15"/>
        <v>391408783.67796886</v>
      </c>
      <c r="AI126" s="194">
        <f t="shared" si="15"/>
        <v>399236959.35152829</v>
      </c>
      <c r="AJ126" s="194">
        <f t="shared" si="15"/>
        <v>407221698.53855878</v>
      </c>
      <c r="AK126" s="194">
        <f t="shared" si="15"/>
        <v>415366132.50932997</v>
      </c>
      <c r="AL126" s="194">
        <f t="shared" si="15"/>
        <v>423673455.15951663</v>
      </c>
      <c r="AM126" s="194">
        <f t="shared" si="15"/>
        <v>432146924.26270694</v>
      </c>
      <c r="AN126" s="194">
        <f t="shared" si="15"/>
        <v>0</v>
      </c>
      <c r="AO126" s="194">
        <f t="shared" si="15"/>
        <v>0</v>
      </c>
      <c r="AP126" s="194">
        <f t="shared" si="15"/>
        <v>0</v>
      </c>
      <c r="AQ126" s="194">
        <f t="shared" si="15"/>
        <v>0</v>
      </c>
      <c r="AR126" s="195">
        <f t="shared" si="15"/>
        <v>0</v>
      </c>
    </row>
    <row r="127" spans="2:44" x14ac:dyDescent="0.2">
      <c r="B127" s="50" t="s">
        <v>208</v>
      </c>
      <c r="C127" s="145" t="s">
        <v>183</v>
      </c>
      <c r="D127" s="153"/>
      <c r="E127" s="194">
        <f t="shared" ref="E127:AR127" si="16">E123*E117</f>
        <v>0</v>
      </c>
      <c r="F127" s="194">
        <f t="shared" si="16"/>
        <v>0</v>
      </c>
      <c r="G127" s="194">
        <f t="shared" si="16"/>
        <v>0</v>
      </c>
      <c r="H127" s="194">
        <f t="shared" si="16"/>
        <v>0</v>
      </c>
      <c r="I127" s="194">
        <f t="shared" si="16"/>
        <v>0</v>
      </c>
      <c r="J127" s="194">
        <f t="shared" si="16"/>
        <v>0</v>
      </c>
      <c r="K127" s="194">
        <f t="shared" si="16"/>
        <v>0</v>
      </c>
      <c r="L127" s="194">
        <f t="shared" si="16"/>
        <v>0</v>
      </c>
      <c r="M127" s="194">
        <f t="shared" si="16"/>
        <v>0</v>
      </c>
      <c r="N127" s="194">
        <f t="shared" si="16"/>
        <v>0</v>
      </c>
      <c r="O127" s="194">
        <f t="shared" si="16"/>
        <v>0</v>
      </c>
      <c r="P127" s="194">
        <f t="shared" si="16"/>
        <v>0</v>
      </c>
      <c r="Q127" s="194">
        <f t="shared" si="16"/>
        <v>0</v>
      </c>
      <c r="R127" s="194">
        <f t="shared" si="16"/>
        <v>0</v>
      </c>
      <c r="S127" s="194">
        <f t="shared" si="16"/>
        <v>0</v>
      </c>
      <c r="T127" s="194">
        <f t="shared" si="16"/>
        <v>0</v>
      </c>
      <c r="U127" s="194">
        <f t="shared" si="16"/>
        <v>0</v>
      </c>
      <c r="V127" s="194">
        <f t="shared" si="16"/>
        <v>0</v>
      </c>
      <c r="W127" s="194">
        <f t="shared" si="16"/>
        <v>0</v>
      </c>
      <c r="X127" s="194">
        <f t="shared" si="16"/>
        <v>0</v>
      </c>
      <c r="Y127" s="194">
        <f t="shared" si="16"/>
        <v>0</v>
      </c>
      <c r="Z127" s="194">
        <f t="shared" si="16"/>
        <v>0</v>
      </c>
      <c r="AA127" s="194">
        <f t="shared" si="16"/>
        <v>0</v>
      </c>
      <c r="AB127" s="194">
        <f t="shared" si="16"/>
        <v>0</v>
      </c>
      <c r="AC127" s="194">
        <f t="shared" si="16"/>
        <v>0</v>
      </c>
      <c r="AD127" s="194">
        <f t="shared" si="16"/>
        <v>0</v>
      </c>
      <c r="AE127" s="194">
        <f t="shared" si="16"/>
        <v>0</v>
      </c>
      <c r="AF127" s="194">
        <f t="shared" si="16"/>
        <v>0</v>
      </c>
      <c r="AG127" s="194">
        <f t="shared" si="16"/>
        <v>0</v>
      </c>
      <c r="AH127" s="194">
        <f t="shared" si="16"/>
        <v>0</v>
      </c>
      <c r="AI127" s="194">
        <f t="shared" si="16"/>
        <v>0</v>
      </c>
      <c r="AJ127" s="194">
        <f t="shared" si="16"/>
        <v>0</v>
      </c>
      <c r="AK127" s="194">
        <f t="shared" si="16"/>
        <v>0</v>
      </c>
      <c r="AL127" s="194">
        <f t="shared" si="16"/>
        <v>0</v>
      </c>
      <c r="AM127" s="194">
        <f t="shared" si="16"/>
        <v>0</v>
      </c>
      <c r="AN127" s="194">
        <f t="shared" si="16"/>
        <v>0</v>
      </c>
      <c r="AO127" s="194">
        <f t="shared" si="16"/>
        <v>0</v>
      </c>
      <c r="AP127" s="194">
        <f t="shared" si="16"/>
        <v>0</v>
      </c>
      <c r="AQ127" s="194">
        <f t="shared" si="16"/>
        <v>0</v>
      </c>
      <c r="AR127" s="195">
        <f t="shared" si="16"/>
        <v>0</v>
      </c>
    </row>
    <row r="128" spans="2:44" ht="12.95" customHeight="1" x14ac:dyDescent="0.2">
      <c r="B128" s="157" t="s">
        <v>209</v>
      </c>
      <c r="C128" s="148"/>
      <c r="D128" s="149"/>
      <c r="E128" s="149"/>
      <c r="F128" s="149"/>
      <c r="G128" s="149"/>
      <c r="H128" s="149"/>
      <c r="I128" s="149"/>
      <c r="J128" s="149"/>
      <c r="K128" s="149"/>
      <c r="L128" s="149"/>
      <c r="M128" s="149"/>
      <c r="N128" s="149"/>
      <c r="O128" s="149"/>
      <c r="P128" s="149"/>
      <c r="Q128" s="149"/>
      <c r="R128" s="149"/>
      <c r="S128" s="149"/>
      <c r="T128" s="149"/>
      <c r="U128" s="149"/>
      <c r="V128" s="149"/>
      <c r="W128" s="149"/>
      <c r="X128" s="149"/>
      <c r="Y128" s="149"/>
      <c r="Z128" s="149"/>
      <c r="AA128" s="149"/>
      <c r="AB128" s="149"/>
      <c r="AC128" s="149"/>
      <c r="AD128" s="149"/>
      <c r="AE128" s="149"/>
      <c r="AF128" s="149"/>
      <c r="AG128" s="149"/>
      <c r="AH128" s="149"/>
      <c r="AI128" s="149"/>
      <c r="AJ128" s="149"/>
      <c r="AK128" s="149"/>
      <c r="AL128" s="149"/>
      <c r="AM128" s="149"/>
      <c r="AN128" s="149"/>
      <c r="AO128" s="149"/>
      <c r="AP128" s="149"/>
      <c r="AQ128" s="149"/>
      <c r="AR128" s="160"/>
    </row>
    <row r="129" spans="1:44" x14ac:dyDescent="0.2">
      <c r="B129" s="50" t="s">
        <v>210</v>
      </c>
      <c r="C129" s="145" t="s">
        <v>183</v>
      </c>
      <c r="D129" s="145"/>
      <c r="E129" s="194">
        <f t="shared" ref="E129:AR129" si="17">SUM(E125:E127)</f>
        <v>0</v>
      </c>
      <c r="F129" s="194">
        <f t="shared" si="17"/>
        <v>0</v>
      </c>
      <c r="G129" s="194">
        <f t="shared" si="17"/>
        <v>0</v>
      </c>
      <c r="H129" s="194">
        <f t="shared" si="17"/>
        <v>0</v>
      </c>
      <c r="I129" s="194">
        <f t="shared" si="17"/>
        <v>0</v>
      </c>
      <c r="J129" s="194">
        <f t="shared" si="17"/>
        <v>0</v>
      </c>
      <c r="K129" s="194">
        <f t="shared" si="17"/>
        <v>0</v>
      </c>
      <c r="L129" s="194">
        <f t="shared" si="17"/>
        <v>0</v>
      </c>
      <c r="M129" s="194">
        <f t="shared" si="17"/>
        <v>0</v>
      </c>
      <c r="N129" s="194">
        <f t="shared" si="17"/>
        <v>0</v>
      </c>
      <c r="O129" s="194">
        <f t="shared" si="17"/>
        <v>0</v>
      </c>
      <c r="P129" s="194">
        <f t="shared" si="17"/>
        <v>0</v>
      </c>
      <c r="Q129" s="194">
        <f t="shared" si="17"/>
        <v>0</v>
      </c>
      <c r="R129" s="194">
        <f t="shared" si="17"/>
        <v>0</v>
      </c>
      <c r="S129" s="194">
        <f t="shared" si="17"/>
        <v>0</v>
      </c>
      <c r="T129" s="194">
        <f t="shared" si="17"/>
        <v>296638941.55401313</v>
      </c>
      <c r="U129" s="194">
        <f t="shared" si="17"/>
        <v>302571720.38509345</v>
      </c>
      <c r="V129" s="194">
        <f t="shared" si="17"/>
        <v>308623154.79279536</v>
      </c>
      <c r="W129" s="194">
        <f t="shared" si="17"/>
        <v>314795617.88865119</v>
      </c>
      <c r="X129" s="194">
        <f t="shared" si="17"/>
        <v>321091530.2464242</v>
      </c>
      <c r="Y129" s="194">
        <f t="shared" si="17"/>
        <v>327513360.85135269</v>
      </c>
      <c r="Z129" s="194">
        <f t="shared" si="17"/>
        <v>334063628.06837976</v>
      </c>
      <c r="AA129" s="194">
        <f t="shared" si="17"/>
        <v>340744900.62974733</v>
      </c>
      <c r="AB129" s="194">
        <f t="shared" si="17"/>
        <v>347559798.64234227</v>
      </c>
      <c r="AC129" s="194">
        <f t="shared" si="17"/>
        <v>354510994.61518908</v>
      </c>
      <c r="AD129" s="194">
        <f t="shared" si="17"/>
        <v>361601214.5074929</v>
      </c>
      <c r="AE129" s="194">
        <f t="shared" si="17"/>
        <v>368833238.79764283</v>
      </c>
      <c r="AF129" s="194">
        <f t="shared" si="17"/>
        <v>376209903.57359558</v>
      </c>
      <c r="AG129" s="194">
        <f t="shared" si="17"/>
        <v>383734101.64506757</v>
      </c>
      <c r="AH129" s="194">
        <f t="shared" si="17"/>
        <v>391408783.67796886</v>
      </c>
      <c r="AI129" s="194">
        <f t="shared" si="17"/>
        <v>399236959.35152829</v>
      </c>
      <c r="AJ129" s="194">
        <f t="shared" si="17"/>
        <v>407221698.53855878</v>
      </c>
      <c r="AK129" s="194">
        <f t="shared" si="17"/>
        <v>415366132.50932997</v>
      </c>
      <c r="AL129" s="194">
        <f t="shared" si="17"/>
        <v>423673455.15951663</v>
      </c>
      <c r="AM129" s="194">
        <f t="shared" si="17"/>
        <v>432146924.26270694</v>
      </c>
      <c r="AN129" s="194">
        <f t="shared" si="17"/>
        <v>0</v>
      </c>
      <c r="AO129" s="194">
        <f t="shared" si="17"/>
        <v>0</v>
      </c>
      <c r="AP129" s="194">
        <f t="shared" si="17"/>
        <v>0</v>
      </c>
      <c r="AQ129" s="194">
        <f t="shared" si="17"/>
        <v>0</v>
      </c>
      <c r="AR129" s="195">
        <f t="shared" si="17"/>
        <v>0</v>
      </c>
    </row>
    <row r="130" spans="1:44" x14ac:dyDescent="0.2">
      <c r="B130" s="50" t="s">
        <v>211</v>
      </c>
      <c r="C130" s="145" t="s">
        <v>183</v>
      </c>
      <c r="D130" s="145"/>
      <c r="E130" s="194">
        <f t="shared" ref="E130:AR130" si="18">SUM(E119:E120)</f>
        <v>-88620265.321447998</v>
      </c>
      <c r="F130" s="194">
        <f t="shared" si="18"/>
        <v>-90392670.627876967</v>
      </c>
      <c r="G130" s="194">
        <f t="shared" si="18"/>
        <v>-92200524.040434495</v>
      </c>
      <c r="H130" s="194">
        <f t="shared" si="18"/>
        <v>-94044534.521243185</v>
      </c>
      <c r="I130" s="194">
        <f t="shared" si="18"/>
        <v>-95925425.211668044</v>
      </c>
      <c r="J130" s="194">
        <f t="shared" si="18"/>
        <v>-97843933.71590142</v>
      </c>
      <c r="K130" s="194">
        <f t="shared" si="18"/>
        <v>-99800812.39021945</v>
      </c>
      <c r="L130" s="194">
        <f t="shared" si="18"/>
        <v>-101796828.63802381</v>
      </c>
      <c r="M130" s="194">
        <f t="shared" si="18"/>
        <v>-103832765.2107843</v>
      </c>
      <c r="N130" s="194">
        <f t="shared" si="18"/>
        <v>-105909420.51499999</v>
      </c>
      <c r="O130" s="194">
        <f t="shared" si="18"/>
        <v>-108027608.92529999</v>
      </c>
      <c r="P130" s="194">
        <f t="shared" si="18"/>
        <v>-110188161.10380597</v>
      </c>
      <c r="Q130" s="194">
        <f t="shared" si="18"/>
        <v>-112391924.32588211</v>
      </c>
      <c r="R130" s="194">
        <f t="shared" si="18"/>
        <v>-114639762.81239974</v>
      </c>
      <c r="S130" s="194">
        <f t="shared" si="18"/>
        <v>-116932558.06864774</v>
      </c>
      <c r="T130" s="194">
        <f t="shared" si="18"/>
        <v>-311864968.44420356</v>
      </c>
      <c r="U130" s="194">
        <f t="shared" si="18"/>
        <v>-123853090.54276608</v>
      </c>
      <c r="V130" s="194">
        <f t="shared" si="18"/>
        <v>-126330152.35362142</v>
      </c>
      <c r="W130" s="194">
        <f t="shared" si="18"/>
        <v>-128856755.40069383</v>
      </c>
      <c r="X130" s="194">
        <f t="shared" si="18"/>
        <v>-131433890.5087077</v>
      </c>
      <c r="Y130" s="194">
        <f t="shared" si="18"/>
        <v>-134062568.31888187</v>
      </c>
      <c r="Z130" s="194">
        <f t="shared" si="18"/>
        <v>-136743819.68525949</v>
      </c>
      <c r="AA130" s="194">
        <f t="shared" si="18"/>
        <v>-139478696.07896468</v>
      </c>
      <c r="AB130" s="194">
        <f t="shared" si="18"/>
        <v>-142268270.00054395</v>
      </c>
      <c r="AC130" s="194">
        <f t="shared" si="18"/>
        <v>-145113635.40055484</v>
      </c>
      <c r="AD130" s="194">
        <f t="shared" si="18"/>
        <v>-148015908.10856596</v>
      </c>
      <c r="AE130" s="194">
        <f t="shared" si="18"/>
        <v>-150976226.27073729</v>
      </c>
      <c r="AF130" s="194">
        <f t="shared" si="18"/>
        <v>-153995750.796152</v>
      </c>
      <c r="AG130" s="194">
        <f t="shared" si="18"/>
        <v>-157075665.81207508</v>
      </c>
      <c r="AH130" s="194">
        <f t="shared" si="18"/>
        <v>-160217179.12831655</v>
      </c>
      <c r="AI130" s="194">
        <f t="shared" si="18"/>
        <v>-163421522.7108829</v>
      </c>
      <c r="AJ130" s="194">
        <f t="shared" si="18"/>
        <v>-166689953.16510051</v>
      </c>
      <c r="AK130" s="194">
        <f t="shared" si="18"/>
        <v>-170023752.22840255</v>
      </c>
      <c r="AL130" s="194">
        <f t="shared" si="18"/>
        <v>-173424227.27297062</v>
      </c>
      <c r="AM130" s="194">
        <f t="shared" si="18"/>
        <v>-176892711.81843001</v>
      </c>
      <c r="AN130" s="194">
        <f t="shared" si="18"/>
        <v>0</v>
      </c>
      <c r="AO130" s="194">
        <f t="shared" si="18"/>
        <v>0</v>
      </c>
      <c r="AP130" s="194">
        <f t="shared" si="18"/>
        <v>0</v>
      </c>
      <c r="AQ130" s="194">
        <f t="shared" si="18"/>
        <v>0</v>
      </c>
      <c r="AR130" s="195">
        <f t="shared" si="18"/>
        <v>0</v>
      </c>
    </row>
    <row r="131" spans="1:44" x14ac:dyDescent="0.2">
      <c r="B131" s="161" t="s">
        <v>212</v>
      </c>
      <c r="C131" s="152" t="s">
        <v>183</v>
      </c>
      <c r="D131" s="154"/>
      <c r="E131" s="200">
        <f t="shared" ref="E131:AR131" si="19">SUM(E129:E130)</f>
        <v>-88620265.321447998</v>
      </c>
      <c r="F131" s="200">
        <f t="shared" si="19"/>
        <v>-90392670.627876967</v>
      </c>
      <c r="G131" s="200">
        <f t="shared" si="19"/>
        <v>-92200524.040434495</v>
      </c>
      <c r="H131" s="200">
        <f t="shared" si="19"/>
        <v>-94044534.521243185</v>
      </c>
      <c r="I131" s="200">
        <f t="shared" si="19"/>
        <v>-95925425.211668044</v>
      </c>
      <c r="J131" s="200">
        <f t="shared" si="19"/>
        <v>-97843933.71590142</v>
      </c>
      <c r="K131" s="200">
        <f t="shared" si="19"/>
        <v>-99800812.39021945</v>
      </c>
      <c r="L131" s="200">
        <f t="shared" si="19"/>
        <v>-101796828.63802381</v>
      </c>
      <c r="M131" s="200">
        <f t="shared" si="19"/>
        <v>-103832765.2107843</v>
      </c>
      <c r="N131" s="200">
        <f t="shared" si="19"/>
        <v>-105909420.51499999</v>
      </c>
      <c r="O131" s="200">
        <f t="shared" si="19"/>
        <v>-108027608.92529999</v>
      </c>
      <c r="P131" s="200">
        <f t="shared" si="19"/>
        <v>-110188161.10380597</v>
      </c>
      <c r="Q131" s="200">
        <f t="shared" si="19"/>
        <v>-112391924.32588211</v>
      </c>
      <c r="R131" s="200">
        <f t="shared" si="19"/>
        <v>-114639762.81239974</v>
      </c>
      <c r="S131" s="200">
        <f t="shared" si="19"/>
        <v>-116932558.06864774</v>
      </c>
      <c r="T131" s="200">
        <f t="shared" si="19"/>
        <v>-15226026.890190423</v>
      </c>
      <c r="U131" s="200">
        <f t="shared" si="19"/>
        <v>178718629.84232736</v>
      </c>
      <c r="V131" s="200">
        <f t="shared" si="19"/>
        <v>182293002.43917394</v>
      </c>
      <c r="W131" s="200">
        <f t="shared" si="19"/>
        <v>185938862.48795736</v>
      </c>
      <c r="X131" s="200">
        <f t="shared" si="19"/>
        <v>189657639.7377165</v>
      </c>
      <c r="Y131" s="200">
        <f t="shared" si="19"/>
        <v>193450792.53247082</v>
      </c>
      <c r="Z131" s="200">
        <f t="shared" si="19"/>
        <v>197319808.38312027</v>
      </c>
      <c r="AA131" s="200">
        <f t="shared" si="19"/>
        <v>201266204.55078265</v>
      </c>
      <c r="AB131" s="200">
        <f t="shared" si="19"/>
        <v>205291528.64179832</v>
      </c>
      <c r="AC131" s="200">
        <f t="shared" si="19"/>
        <v>209397359.21463424</v>
      </c>
      <c r="AD131" s="200">
        <f t="shared" si="19"/>
        <v>213585306.39892694</v>
      </c>
      <c r="AE131" s="200">
        <f t="shared" si="19"/>
        <v>217857012.52690554</v>
      </c>
      <c r="AF131" s="200">
        <f t="shared" si="19"/>
        <v>222214152.77744359</v>
      </c>
      <c r="AG131" s="200">
        <f t="shared" si="19"/>
        <v>226658435.83299249</v>
      </c>
      <c r="AH131" s="200">
        <f t="shared" si="19"/>
        <v>231191604.54965231</v>
      </c>
      <c r="AI131" s="200">
        <f t="shared" si="19"/>
        <v>235815436.64064538</v>
      </c>
      <c r="AJ131" s="200">
        <f t="shared" si="19"/>
        <v>240531745.37345827</v>
      </c>
      <c r="AK131" s="200">
        <f t="shared" si="19"/>
        <v>245342380.28092742</v>
      </c>
      <c r="AL131" s="200">
        <f t="shared" si="19"/>
        <v>250249227.88654602</v>
      </c>
      <c r="AM131" s="200">
        <f t="shared" si="19"/>
        <v>255254212.44427693</v>
      </c>
      <c r="AN131" s="200">
        <f t="shared" si="19"/>
        <v>0</v>
      </c>
      <c r="AO131" s="200">
        <f t="shared" si="19"/>
        <v>0</v>
      </c>
      <c r="AP131" s="200">
        <f t="shared" si="19"/>
        <v>0</v>
      </c>
      <c r="AQ131" s="200">
        <f t="shared" si="19"/>
        <v>0</v>
      </c>
      <c r="AR131" s="201">
        <f t="shared" si="19"/>
        <v>0</v>
      </c>
    </row>
    <row r="132" spans="1:44" ht="12.95" customHeight="1" x14ac:dyDescent="0.2">
      <c r="B132" s="157" t="s">
        <v>213</v>
      </c>
      <c r="C132" s="148"/>
      <c r="D132" s="149"/>
      <c r="E132" s="149"/>
      <c r="F132" s="149"/>
      <c r="G132" s="149"/>
      <c r="H132" s="149"/>
      <c r="I132" s="149"/>
      <c r="J132" s="149"/>
      <c r="K132" s="149"/>
      <c r="L132" s="149"/>
      <c r="M132" s="149"/>
      <c r="N132" s="149"/>
      <c r="O132" s="149"/>
      <c r="P132" s="149"/>
      <c r="Q132" s="149"/>
      <c r="R132" s="149"/>
      <c r="S132" s="149"/>
      <c r="T132" s="149"/>
      <c r="U132" s="149"/>
      <c r="V132" s="149"/>
      <c r="W132" s="149"/>
      <c r="X132" s="149"/>
      <c r="Y132" s="149"/>
      <c r="Z132" s="149"/>
      <c r="AA132" s="149"/>
      <c r="AB132" s="149"/>
      <c r="AC132" s="149"/>
      <c r="AD132" s="149"/>
      <c r="AE132" s="149"/>
      <c r="AF132" s="149"/>
      <c r="AG132" s="149"/>
      <c r="AH132" s="149"/>
      <c r="AI132" s="149"/>
      <c r="AJ132" s="149"/>
      <c r="AK132" s="149"/>
      <c r="AL132" s="149"/>
      <c r="AM132" s="149"/>
      <c r="AN132" s="149"/>
      <c r="AO132" s="149"/>
      <c r="AP132" s="149"/>
      <c r="AQ132" s="149"/>
      <c r="AR132" s="160"/>
    </row>
    <row r="133" spans="1:44" x14ac:dyDescent="0.2">
      <c r="B133" s="50" t="s">
        <v>214</v>
      </c>
      <c r="C133" s="145" t="s">
        <v>183</v>
      </c>
      <c r="D133" s="145"/>
      <c r="E133" s="194">
        <f t="shared" ref="E133:AR133" si="20">IF(E111&gt;$C$75,0,-$C$151/$C$75)</f>
        <v>-151757270.57729918</v>
      </c>
      <c r="F133" s="194">
        <f t="shared" si="20"/>
        <v>-151757270.57729918</v>
      </c>
      <c r="G133" s="194">
        <f t="shared" si="20"/>
        <v>-151757270.57729918</v>
      </c>
      <c r="H133" s="194">
        <f t="shared" si="20"/>
        <v>-151757270.57729918</v>
      </c>
      <c r="I133" s="194">
        <f t="shared" si="20"/>
        <v>-151757270.57729918</v>
      </c>
      <c r="J133" s="194">
        <f t="shared" si="20"/>
        <v>-151757270.57729918</v>
      </c>
      <c r="K133" s="194">
        <f t="shared" si="20"/>
        <v>-151757270.57729918</v>
      </c>
      <c r="L133" s="194">
        <f t="shared" si="20"/>
        <v>-151757270.57729918</v>
      </c>
      <c r="M133" s="194">
        <f t="shared" si="20"/>
        <v>-151757270.57729918</v>
      </c>
      <c r="N133" s="194">
        <f t="shared" si="20"/>
        <v>-151757270.57729918</v>
      </c>
      <c r="O133" s="194">
        <f t="shared" si="20"/>
        <v>-151757270.57729918</v>
      </c>
      <c r="P133" s="194">
        <f t="shared" si="20"/>
        <v>-151757270.57729918</v>
      </c>
      <c r="Q133" s="194">
        <f t="shared" si="20"/>
        <v>-151757270.57729918</v>
      </c>
      <c r="R133" s="194">
        <f t="shared" si="20"/>
        <v>-151757270.57729918</v>
      </c>
      <c r="S133" s="194">
        <f t="shared" si="20"/>
        <v>-151757270.57729918</v>
      </c>
      <c r="T133" s="194">
        <f t="shared" si="20"/>
        <v>-151757270.57729918</v>
      </c>
      <c r="U133" s="194">
        <f t="shared" si="20"/>
        <v>-151757270.57729918</v>
      </c>
      <c r="V133" s="194">
        <f t="shared" si="20"/>
        <v>-151757270.57729918</v>
      </c>
      <c r="W133" s="194">
        <f t="shared" si="20"/>
        <v>-151757270.57729918</v>
      </c>
      <c r="X133" s="194">
        <f t="shared" si="20"/>
        <v>-151757270.57729918</v>
      </c>
      <c r="Y133" s="194">
        <f t="shared" si="20"/>
        <v>0</v>
      </c>
      <c r="Z133" s="194">
        <f t="shared" si="20"/>
        <v>0</v>
      </c>
      <c r="AA133" s="194">
        <f t="shared" si="20"/>
        <v>0</v>
      </c>
      <c r="AB133" s="194">
        <f t="shared" si="20"/>
        <v>0</v>
      </c>
      <c r="AC133" s="194">
        <f t="shared" si="20"/>
        <v>0</v>
      </c>
      <c r="AD133" s="194">
        <f t="shared" si="20"/>
        <v>0</v>
      </c>
      <c r="AE133" s="194">
        <f t="shared" si="20"/>
        <v>0</v>
      </c>
      <c r="AF133" s="194">
        <f t="shared" si="20"/>
        <v>0</v>
      </c>
      <c r="AG133" s="194">
        <f t="shared" si="20"/>
        <v>0</v>
      </c>
      <c r="AH133" s="194">
        <f t="shared" si="20"/>
        <v>0</v>
      </c>
      <c r="AI133" s="194">
        <f t="shared" si="20"/>
        <v>0</v>
      </c>
      <c r="AJ133" s="194">
        <f t="shared" si="20"/>
        <v>0</v>
      </c>
      <c r="AK133" s="194">
        <f t="shared" si="20"/>
        <v>0</v>
      </c>
      <c r="AL133" s="194">
        <f t="shared" si="20"/>
        <v>0</v>
      </c>
      <c r="AM133" s="194">
        <f t="shared" si="20"/>
        <v>0</v>
      </c>
      <c r="AN133" s="194">
        <f t="shared" si="20"/>
        <v>0</v>
      </c>
      <c r="AO133" s="194">
        <f t="shared" si="20"/>
        <v>0</v>
      </c>
      <c r="AP133" s="194">
        <f t="shared" si="20"/>
        <v>0</v>
      </c>
      <c r="AQ133" s="194">
        <f t="shared" si="20"/>
        <v>0</v>
      </c>
      <c r="AR133" s="195">
        <f t="shared" si="20"/>
        <v>0</v>
      </c>
    </row>
    <row r="134" spans="1:44" x14ac:dyDescent="0.2">
      <c r="B134" s="50" t="s">
        <v>215</v>
      </c>
      <c r="C134" s="145" t="s">
        <v>183</v>
      </c>
      <c r="D134" s="145"/>
      <c r="E134" s="194">
        <f t="shared" ref="E134:AR134" si="21">IF(E111&gt;$C$74,0,IPMT($C$90,E111,$C$74,$C$156))</f>
        <v>-102436157.63967694</v>
      </c>
      <c r="F134" s="194">
        <f t="shared" si="21"/>
        <v>-97507564.006987289</v>
      </c>
      <c r="G134" s="194">
        <f t="shared" si="21"/>
        <v>-92357183.660826653</v>
      </c>
      <c r="H134" s="194">
        <f t="shared" si="21"/>
        <v>-86975036.199088752</v>
      </c>
      <c r="I134" s="194">
        <f t="shared" si="21"/>
        <v>-81350692.101572663</v>
      </c>
      <c r="J134" s="194">
        <f t="shared" si="21"/>
        <v>-75473252.519668356</v>
      </c>
      <c r="K134" s="194">
        <f t="shared" si="21"/>
        <v>-69331328.156578332</v>
      </c>
      <c r="L134" s="194">
        <f t="shared" si="21"/>
        <v>-62913017.197149292</v>
      </c>
      <c r="M134" s="194">
        <f t="shared" si="21"/>
        <v>-56205882.244545907</v>
      </c>
      <c r="N134" s="194">
        <f t="shared" si="21"/>
        <v>-49196926.219075382</v>
      </c>
      <c r="O134" s="194">
        <f t="shared" si="21"/>
        <v>-41872567.172458701</v>
      </c>
      <c r="P134" s="194">
        <f t="shared" si="21"/>
        <v>-34218611.968744248</v>
      </c>
      <c r="Q134" s="194">
        <f t="shared" si="21"/>
        <v>-26220228.780862648</v>
      </c>
      <c r="R134" s="194">
        <f t="shared" si="21"/>
        <v>-17861918.34952639</v>
      </c>
      <c r="S134" s="194">
        <f t="shared" si="21"/>
        <v>-9127483.9487799872</v>
      </c>
      <c r="T134" s="194">
        <f t="shared" si="21"/>
        <v>0</v>
      </c>
      <c r="U134" s="194">
        <f t="shared" si="21"/>
        <v>0</v>
      </c>
      <c r="V134" s="194">
        <f t="shared" si="21"/>
        <v>0</v>
      </c>
      <c r="W134" s="194">
        <f t="shared" si="21"/>
        <v>0</v>
      </c>
      <c r="X134" s="194">
        <f t="shared" si="21"/>
        <v>0</v>
      </c>
      <c r="Y134" s="194">
        <f t="shared" si="21"/>
        <v>0</v>
      </c>
      <c r="Z134" s="194">
        <f t="shared" si="21"/>
        <v>0</v>
      </c>
      <c r="AA134" s="194">
        <f t="shared" si="21"/>
        <v>0</v>
      </c>
      <c r="AB134" s="194">
        <f t="shared" si="21"/>
        <v>0</v>
      </c>
      <c r="AC134" s="194">
        <f t="shared" si="21"/>
        <v>0</v>
      </c>
      <c r="AD134" s="194">
        <f t="shared" si="21"/>
        <v>0</v>
      </c>
      <c r="AE134" s="194">
        <f t="shared" si="21"/>
        <v>0</v>
      </c>
      <c r="AF134" s="194">
        <f t="shared" si="21"/>
        <v>0</v>
      </c>
      <c r="AG134" s="194">
        <f t="shared" si="21"/>
        <v>0</v>
      </c>
      <c r="AH134" s="194">
        <f t="shared" si="21"/>
        <v>0</v>
      </c>
      <c r="AI134" s="194">
        <f t="shared" si="21"/>
        <v>0</v>
      </c>
      <c r="AJ134" s="194">
        <f t="shared" si="21"/>
        <v>0</v>
      </c>
      <c r="AK134" s="194">
        <f t="shared" si="21"/>
        <v>0</v>
      </c>
      <c r="AL134" s="194">
        <f t="shared" si="21"/>
        <v>0</v>
      </c>
      <c r="AM134" s="194">
        <f t="shared" si="21"/>
        <v>0</v>
      </c>
      <c r="AN134" s="194">
        <f t="shared" si="21"/>
        <v>0</v>
      </c>
      <c r="AO134" s="194">
        <f t="shared" si="21"/>
        <v>0</v>
      </c>
      <c r="AP134" s="194">
        <f t="shared" si="21"/>
        <v>0</v>
      </c>
      <c r="AQ134" s="194">
        <f t="shared" si="21"/>
        <v>0</v>
      </c>
      <c r="AR134" s="195">
        <f t="shared" si="21"/>
        <v>0</v>
      </c>
    </row>
    <row r="135" spans="1:44" x14ac:dyDescent="0.2">
      <c r="B135" s="50" t="s">
        <v>216</v>
      </c>
      <c r="C135" s="145" t="s">
        <v>183</v>
      </c>
      <c r="D135" s="145"/>
      <c r="E135" s="194">
        <f t="shared" ref="E135:AR135" si="22">IF(E111&gt;$C$74,0,PPMT($C$90,E111,$C$74,$C$156))</f>
        <v>-109524302.9486583</v>
      </c>
      <c r="F135" s="194">
        <f t="shared" si="22"/>
        <v>-114452896.58134794</v>
      </c>
      <c r="G135" s="194">
        <f t="shared" si="22"/>
        <v>-119603276.92750859</v>
      </c>
      <c r="H135" s="194">
        <f t="shared" si="22"/>
        <v>-124985424.38924649</v>
      </c>
      <c r="I135" s="194">
        <f t="shared" si="22"/>
        <v>-130609768.48676258</v>
      </c>
      <c r="J135" s="194">
        <f t="shared" si="22"/>
        <v>-136487208.06866691</v>
      </c>
      <c r="K135" s="194">
        <f t="shared" si="22"/>
        <v>-142629132.43175691</v>
      </c>
      <c r="L135" s="194">
        <f t="shared" si="22"/>
        <v>-149047443.39118597</v>
      </c>
      <c r="M135" s="194">
        <f t="shared" si="22"/>
        <v>-155754578.34378934</v>
      </c>
      <c r="N135" s="194">
        <f t="shared" si="22"/>
        <v>-162763534.36925986</v>
      </c>
      <c r="O135" s="194">
        <f t="shared" si="22"/>
        <v>-170087893.41587657</v>
      </c>
      <c r="P135" s="194">
        <f t="shared" si="22"/>
        <v>-177741848.61959103</v>
      </c>
      <c r="Q135" s="194">
        <f t="shared" si="22"/>
        <v>-185740231.80747259</v>
      </c>
      <c r="R135" s="194">
        <f t="shared" si="22"/>
        <v>-194098542.23880884</v>
      </c>
      <c r="S135" s="194">
        <f t="shared" si="22"/>
        <v>-202832976.63955528</v>
      </c>
      <c r="T135" s="194">
        <f t="shared" si="22"/>
        <v>0</v>
      </c>
      <c r="U135" s="194">
        <f t="shared" si="22"/>
        <v>0</v>
      </c>
      <c r="V135" s="194">
        <f t="shared" si="22"/>
        <v>0</v>
      </c>
      <c r="W135" s="194">
        <f t="shared" si="22"/>
        <v>0</v>
      </c>
      <c r="X135" s="194">
        <f t="shared" si="22"/>
        <v>0</v>
      </c>
      <c r="Y135" s="194">
        <f t="shared" si="22"/>
        <v>0</v>
      </c>
      <c r="Z135" s="194">
        <f t="shared" si="22"/>
        <v>0</v>
      </c>
      <c r="AA135" s="194">
        <f t="shared" si="22"/>
        <v>0</v>
      </c>
      <c r="AB135" s="194">
        <f t="shared" si="22"/>
        <v>0</v>
      </c>
      <c r="AC135" s="194">
        <f t="shared" si="22"/>
        <v>0</v>
      </c>
      <c r="AD135" s="194">
        <f t="shared" si="22"/>
        <v>0</v>
      </c>
      <c r="AE135" s="194">
        <f t="shared" si="22"/>
        <v>0</v>
      </c>
      <c r="AF135" s="194">
        <f t="shared" si="22"/>
        <v>0</v>
      </c>
      <c r="AG135" s="194">
        <f t="shared" si="22"/>
        <v>0</v>
      </c>
      <c r="AH135" s="194">
        <f t="shared" si="22"/>
        <v>0</v>
      </c>
      <c r="AI135" s="194">
        <f t="shared" si="22"/>
        <v>0</v>
      </c>
      <c r="AJ135" s="194">
        <f t="shared" si="22"/>
        <v>0</v>
      </c>
      <c r="AK135" s="194">
        <f t="shared" si="22"/>
        <v>0</v>
      </c>
      <c r="AL135" s="194">
        <f t="shared" si="22"/>
        <v>0</v>
      </c>
      <c r="AM135" s="194">
        <f t="shared" si="22"/>
        <v>0</v>
      </c>
      <c r="AN135" s="194">
        <f t="shared" si="22"/>
        <v>0</v>
      </c>
      <c r="AO135" s="194">
        <f t="shared" si="22"/>
        <v>0</v>
      </c>
      <c r="AP135" s="194">
        <f t="shared" si="22"/>
        <v>0</v>
      </c>
      <c r="AQ135" s="194">
        <f t="shared" si="22"/>
        <v>0</v>
      </c>
      <c r="AR135" s="195">
        <f t="shared" si="22"/>
        <v>0</v>
      </c>
    </row>
    <row r="136" spans="1:44" s="33" customFormat="1" ht="12.95" customHeight="1" x14ac:dyDescent="0.2">
      <c r="A136" s="244"/>
      <c r="B136" s="161" t="s">
        <v>217</v>
      </c>
      <c r="C136" s="152" t="s">
        <v>183</v>
      </c>
      <c r="D136" s="152"/>
      <c r="E136" s="200">
        <f t="shared" ref="E136:AR136" si="23">SUM(E134,E135)</f>
        <v>-211960460.58833525</v>
      </c>
      <c r="F136" s="200">
        <f t="shared" si="23"/>
        <v>-211960460.58833522</v>
      </c>
      <c r="G136" s="200">
        <f t="shared" si="23"/>
        <v>-211960460.58833525</v>
      </c>
      <c r="H136" s="200">
        <f t="shared" si="23"/>
        <v>-211960460.58833525</v>
      </c>
      <c r="I136" s="200">
        <f t="shared" si="23"/>
        <v>-211960460.58833525</v>
      </c>
      <c r="J136" s="200">
        <f t="shared" si="23"/>
        <v>-211960460.58833528</v>
      </c>
      <c r="K136" s="200">
        <f t="shared" si="23"/>
        <v>-211960460.58833525</v>
      </c>
      <c r="L136" s="200">
        <f t="shared" si="23"/>
        <v>-211960460.58833528</v>
      </c>
      <c r="M136" s="200">
        <f t="shared" si="23"/>
        <v>-211960460.58833525</v>
      </c>
      <c r="N136" s="200">
        <f t="shared" si="23"/>
        <v>-211960460.58833525</v>
      </c>
      <c r="O136" s="200">
        <f t="shared" si="23"/>
        <v>-211960460.58833528</v>
      </c>
      <c r="P136" s="200">
        <f t="shared" si="23"/>
        <v>-211960460.58833528</v>
      </c>
      <c r="Q136" s="200">
        <f t="shared" si="23"/>
        <v>-211960460.58833525</v>
      </c>
      <c r="R136" s="200">
        <f t="shared" si="23"/>
        <v>-211960460.58833522</v>
      </c>
      <c r="S136" s="200">
        <f t="shared" si="23"/>
        <v>-211960460.58833528</v>
      </c>
      <c r="T136" s="200">
        <f t="shared" si="23"/>
        <v>0</v>
      </c>
      <c r="U136" s="200">
        <f t="shared" si="23"/>
        <v>0</v>
      </c>
      <c r="V136" s="200">
        <f t="shared" si="23"/>
        <v>0</v>
      </c>
      <c r="W136" s="200">
        <f t="shared" si="23"/>
        <v>0</v>
      </c>
      <c r="X136" s="200">
        <f t="shared" si="23"/>
        <v>0</v>
      </c>
      <c r="Y136" s="200">
        <f t="shared" si="23"/>
        <v>0</v>
      </c>
      <c r="Z136" s="200">
        <f t="shared" si="23"/>
        <v>0</v>
      </c>
      <c r="AA136" s="200">
        <f t="shared" si="23"/>
        <v>0</v>
      </c>
      <c r="AB136" s="200">
        <f t="shared" si="23"/>
        <v>0</v>
      </c>
      <c r="AC136" s="200">
        <f t="shared" si="23"/>
        <v>0</v>
      </c>
      <c r="AD136" s="200">
        <f t="shared" si="23"/>
        <v>0</v>
      </c>
      <c r="AE136" s="200">
        <f t="shared" si="23"/>
        <v>0</v>
      </c>
      <c r="AF136" s="200">
        <f t="shared" si="23"/>
        <v>0</v>
      </c>
      <c r="AG136" s="200">
        <f t="shared" si="23"/>
        <v>0</v>
      </c>
      <c r="AH136" s="200">
        <f t="shared" si="23"/>
        <v>0</v>
      </c>
      <c r="AI136" s="200">
        <f t="shared" si="23"/>
        <v>0</v>
      </c>
      <c r="AJ136" s="200">
        <f t="shared" si="23"/>
        <v>0</v>
      </c>
      <c r="AK136" s="200">
        <f t="shared" si="23"/>
        <v>0</v>
      </c>
      <c r="AL136" s="200">
        <f t="shared" si="23"/>
        <v>0</v>
      </c>
      <c r="AM136" s="200">
        <f t="shared" si="23"/>
        <v>0</v>
      </c>
      <c r="AN136" s="200">
        <f t="shared" si="23"/>
        <v>0</v>
      </c>
      <c r="AO136" s="200">
        <f t="shared" si="23"/>
        <v>0</v>
      </c>
      <c r="AP136" s="200">
        <f t="shared" si="23"/>
        <v>0</v>
      </c>
      <c r="AQ136" s="200">
        <f t="shared" si="23"/>
        <v>0</v>
      </c>
      <c r="AR136" s="201">
        <f t="shared" si="23"/>
        <v>0</v>
      </c>
    </row>
    <row r="137" spans="1:44" ht="12.95" customHeight="1" x14ac:dyDescent="0.2">
      <c r="B137" s="157" t="s">
        <v>218</v>
      </c>
      <c r="C137" s="148"/>
      <c r="D137" s="149"/>
      <c r="E137" s="149"/>
      <c r="F137" s="149"/>
      <c r="G137" s="149"/>
      <c r="H137" s="149"/>
      <c r="I137" s="149"/>
      <c r="J137" s="149"/>
      <c r="K137" s="149"/>
      <c r="L137" s="149"/>
      <c r="M137" s="149"/>
      <c r="N137" s="149"/>
      <c r="O137" s="149"/>
      <c r="P137" s="149"/>
      <c r="Q137" s="149"/>
      <c r="R137" s="149"/>
      <c r="S137" s="149"/>
      <c r="T137" s="149"/>
      <c r="U137" s="149"/>
      <c r="V137" s="149"/>
      <c r="W137" s="149"/>
      <c r="X137" s="149"/>
      <c r="Y137" s="149"/>
      <c r="Z137" s="149"/>
      <c r="AA137" s="149"/>
      <c r="AB137" s="149"/>
      <c r="AC137" s="149"/>
      <c r="AD137" s="149"/>
      <c r="AE137" s="149"/>
      <c r="AF137" s="149"/>
      <c r="AG137" s="149"/>
      <c r="AH137" s="149"/>
      <c r="AI137" s="149"/>
      <c r="AJ137" s="149"/>
      <c r="AK137" s="149"/>
      <c r="AL137" s="149"/>
      <c r="AM137" s="149"/>
      <c r="AN137" s="149"/>
      <c r="AO137" s="149"/>
      <c r="AP137" s="149"/>
      <c r="AQ137" s="149"/>
      <c r="AR137" s="160"/>
    </row>
    <row r="138" spans="1:44" x14ac:dyDescent="0.2">
      <c r="B138" s="50" t="s">
        <v>219</v>
      </c>
      <c r="C138" s="145" t="s">
        <v>183</v>
      </c>
      <c r="D138" s="145"/>
      <c r="E138" s="194">
        <f t="shared" ref="E138:AR138" si="24">E131+E133+E134</f>
        <v>-342813693.53842413</v>
      </c>
      <c r="F138" s="194">
        <f t="shared" si="24"/>
        <v>-339657505.21216345</v>
      </c>
      <c r="G138" s="194">
        <f t="shared" si="24"/>
        <v>-336314978.27856028</v>
      </c>
      <c r="H138" s="194">
        <f t="shared" si="24"/>
        <v>-332776841.29763114</v>
      </c>
      <c r="I138" s="194">
        <f t="shared" si="24"/>
        <v>-329033387.89053988</v>
      </c>
      <c r="J138" s="194">
        <f t="shared" si="24"/>
        <v>-325074456.81286895</v>
      </c>
      <c r="K138" s="194">
        <f t="shared" si="24"/>
        <v>-320889411.12409699</v>
      </c>
      <c r="L138" s="194">
        <f t="shared" si="24"/>
        <v>-316467116.41247225</v>
      </c>
      <c r="M138" s="194">
        <f t="shared" si="24"/>
        <v>-311795918.03262937</v>
      </c>
      <c r="N138" s="194">
        <f t="shared" si="24"/>
        <v>-306863617.31137455</v>
      </c>
      <c r="O138" s="194">
        <f t="shared" si="24"/>
        <v>-301657446.67505789</v>
      </c>
      <c r="P138" s="194">
        <f t="shared" si="24"/>
        <v>-296164043.64984941</v>
      </c>
      <c r="Q138" s="194">
        <f t="shared" si="24"/>
        <v>-290369423.68404394</v>
      </c>
      <c r="R138" s="194">
        <f t="shared" si="24"/>
        <v>-284258951.73922533</v>
      </c>
      <c r="S138" s="194">
        <f t="shared" si="24"/>
        <v>-277817312.59472692</v>
      </c>
      <c r="T138" s="194">
        <f t="shared" si="24"/>
        <v>-166983297.4674896</v>
      </c>
      <c r="U138" s="194">
        <f t="shared" si="24"/>
        <v>26961359.265028179</v>
      </c>
      <c r="V138" s="194">
        <f t="shared" si="24"/>
        <v>30535731.861874759</v>
      </c>
      <c r="W138" s="194">
        <f t="shared" si="24"/>
        <v>34181591.910658181</v>
      </c>
      <c r="X138" s="194">
        <f t="shared" si="24"/>
        <v>37900369.160417318</v>
      </c>
      <c r="Y138" s="194">
        <f t="shared" si="24"/>
        <v>193450792.53247082</v>
      </c>
      <c r="Z138" s="194">
        <f t="shared" si="24"/>
        <v>197319808.38312027</v>
      </c>
      <c r="AA138" s="194">
        <f t="shared" si="24"/>
        <v>201266204.55078265</v>
      </c>
      <c r="AB138" s="194">
        <f t="shared" si="24"/>
        <v>205291528.64179832</v>
      </c>
      <c r="AC138" s="194">
        <f t="shared" si="24"/>
        <v>209397359.21463424</v>
      </c>
      <c r="AD138" s="194">
        <f t="shared" si="24"/>
        <v>213585306.39892694</v>
      </c>
      <c r="AE138" s="194">
        <f t="shared" si="24"/>
        <v>217857012.52690554</v>
      </c>
      <c r="AF138" s="194">
        <f t="shared" si="24"/>
        <v>222214152.77744359</v>
      </c>
      <c r="AG138" s="194">
        <f t="shared" si="24"/>
        <v>226658435.83299249</v>
      </c>
      <c r="AH138" s="194">
        <f t="shared" si="24"/>
        <v>231191604.54965231</v>
      </c>
      <c r="AI138" s="194">
        <f t="shared" si="24"/>
        <v>235815436.64064538</v>
      </c>
      <c r="AJ138" s="194">
        <f t="shared" si="24"/>
        <v>240531745.37345827</v>
      </c>
      <c r="AK138" s="194">
        <f t="shared" si="24"/>
        <v>245342380.28092742</v>
      </c>
      <c r="AL138" s="194">
        <f t="shared" si="24"/>
        <v>250249227.88654602</v>
      </c>
      <c r="AM138" s="194">
        <f t="shared" si="24"/>
        <v>255254212.44427693</v>
      </c>
      <c r="AN138" s="194">
        <f t="shared" si="24"/>
        <v>0</v>
      </c>
      <c r="AO138" s="194">
        <f t="shared" si="24"/>
        <v>0</v>
      </c>
      <c r="AP138" s="194">
        <f t="shared" si="24"/>
        <v>0</v>
      </c>
      <c r="AQ138" s="194">
        <f t="shared" si="24"/>
        <v>0</v>
      </c>
      <c r="AR138" s="195">
        <f t="shared" si="24"/>
        <v>0</v>
      </c>
    </row>
    <row r="139" spans="1:44" x14ac:dyDescent="0.2">
      <c r="B139" s="50" t="s">
        <v>220</v>
      </c>
      <c r="C139" s="145" t="s">
        <v>183</v>
      </c>
      <c r="D139" s="145"/>
      <c r="E139" s="194">
        <f t="shared" ref="E139:AR139" si="25">-$C$94*E138</f>
        <v>88445932.932913423</v>
      </c>
      <c r="F139" s="194">
        <f t="shared" si="25"/>
        <v>87631636.344738171</v>
      </c>
      <c r="G139" s="194">
        <f t="shared" si="25"/>
        <v>86769264.395868555</v>
      </c>
      <c r="H139" s="194">
        <f t="shared" si="25"/>
        <v>85856425.054788843</v>
      </c>
      <c r="I139" s="194">
        <f t="shared" si="25"/>
        <v>84890614.075759292</v>
      </c>
      <c r="J139" s="194">
        <f t="shared" si="25"/>
        <v>83869209.857720196</v>
      </c>
      <c r="K139" s="194">
        <f t="shared" si="25"/>
        <v>82789468.070017025</v>
      </c>
      <c r="L139" s="194">
        <f t="shared" si="25"/>
        <v>81648516.034417838</v>
      </c>
      <c r="M139" s="194">
        <f t="shared" si="25"/>
        <v>80443346.852418378</v>
      </c>
      <c r="N139" s="194">
        <f t="shared" si="25"/>
        <v>79170813.266334638</v>
      </c>
      <c r="O139" s="194">
        <f t="shared" si="25"/>
        <v>77827621.24216494</v>
      </c>
      <c r="P139" s="194">
        <f t="shared" si="25"/>
        <v>76410323.261661157</v>
      </c>
      <c r="Q139" s="194">
        <f t="shared" si="25"/>
        <v>74915311.310483336</v>
      </c>
      <c r="R139" s="194">
        <f t="shared" si="25"/>
        <v>73338809.548720136</v>
      </c>
      <c r="S139" s="194">
        <f t="shared" si="25"/>
        <v>71676866.649439543</v>
      </c>
      <c r="T139" s="194">
        <f t="shared" si="25"/>
        <v>43081690.746612318</v>
      </c>
      <c r="U139" s="194">
        <f t="shared" si="25"/>
        <v>-6956030.6903772699</v>
      </c>
      <c r="V139" s="194">
        <f t="shared" si="25"/>
        <v>-7878218.8203636883</v>
      </c>
      <c r="W139" s="194">
        <f t="shared" si="25"/>
        <v>-8818850.7129498105</v>
      </c>
      <c r="X139" s="194">
        <f t="shared" si="25"/>
        <v>-9778295.2433876693</v>
      </c>
      <c r="Y139" s="194">
        <f t="shared" si="25"/>
        <v>-49910304.473377474</v>
      </c>
      <c r="Z139" s="194">
        <f t="shared" si="25"/>
        <v>-50908510.562845029</v>
      </c>
      <c r="AA139" s="194">
        <f t="shared" si="25"/>
        <v>-51926680.774101928</v>
      </c>
      <c r="AB139" s="194">
        <f t="shared" si="25"/>
        <v>-52965214.389583968</v>
      </c>
      <c r="AC139" s="194">
        <f t="shared" si="25"/>
        <v>-54024518.677375637</v>
      </c>
      <c r="AD139" s="194">
        <f t="shared" si="25"/>
        <v>-55105009.050923154</v>
      </c>
      <c r="AE139" s="194">
        <f t="shared" si="25"/>
        <v>-56207109.231941633</v>
      </c>
      <c r="AF139" s="194">
        <f t="shared" si="25"/>
        <v>-57331251.416580446</v>
      </c>
      <c r="AG139" s="194">
        <f t="shared" si="25"/>
        <v>-58477876.444912069</v>
      </c>
      <c r="AH139" s="194">
        <f t="shared" si="25"/>
        <v>-59647433.9738103</v>
      </c>
      <c r="AI139" s="194">
        <f t="shared" si="25"/>
        <v>-60840382.653286509</v>
      </c>
      <c r="AJ139" s="194">
        <f t="shared" si="25"/>
        <v>-62057190.306352235</v>
      </c>
      <c r="AK139" s="194">
        <f t="shared" si="25"/>
        <v>-63298334.112479277</v>
      </c>
      <c r="AL139" s="194">
        <f t="shared" si="25"/>
        <v>-64564300.794728875</v>
      </c>
      <c r="AM139" s="194">
        <f t="shared" si="25"/>
        <v>-65855586.810623452</v>
      </c>
      <c r="AN139" s="194">
        <f t="shared" si="25"/>
        <v>0</v>
      </c>
      <c r="AO139" s="194">
        <f t="shared" si="25"/>
        <v>0</v>
      </c>
      <c r="AP139" s="194">
        <f t="shared" si="25"/>
        <v>0</v>
      </c>
      <c r="AQ139" s="194">
        <f t="shared" si="25"/>
        <v>0</v>
      </c>
      <c r="AR139" s="195">
        <f t="shared" si="25"/>
        <v>0</v>
      </c>
    </row>
    <row r="140" spans="1:44" ht="12.95" customHeight="1" x14ac:dyDescent="0.2">
      <c r="B140" s="157" t="s">
        <v>221</v>
      </c>
      <c r="C140" s="148"/>
      <c r="D140" s="149"/>
      <c r="E140" s="149"/>
      <c r="F140" s="149"/>
      <c r="G140" s="149"/>
      <c r="H140" s="149"/>
      <c r="I140" s="149"/>
      <c r="J140" s="149"/>
      <c r="K140" s="149"/>
      <c r="L140" s="149"/>
      <c r="M140" s="149"/>
      <c r="N140" s="149"/>
      <c r="O140" s="149"/>
      <c r="P140" s="149"/>
      <c r="Q140" s="149"/>
      <c r="R140" s="149"/>
      <c r="S140" s="149"/>
      <c r="T140" s="149"/>
      <c r="U140" s="149"/>
      <c r="V140" s="149"/>
      <c r="W140" s="149"/>
      <c r="X140" s="149"/>
      <c r="Y140" s="149"/>
      <c r="Z140" s="149"/>
      <c r="AA140" s="149"/>
      <c r="AB140" s="149"/>
      <c r="AC140" s="149"/>
      <c r="AD140" s="149"/>
      <c r="AE140" s="149"/>
      <c r="AF140" s="149"/>
      <c r="AG140" s="149"/>
      <c r="AH140" s="149"/>
      <c r="AI140" s="149"/>
      <c r="AJ140" s="149"/>
      <c r="AK140" s="149"/>
      <c r="AL140" s="149"/>
      <c r="AM140" s="149"/>
      <c r="AN140" s="149"/>
      <c r="AO140" s="149"/>
      <c r="AP140" s="149"/>
      <c r="AQ140" s="149"/>
      <c r="AR140" s="160"/>
    </row>
    <row r="141" spans="1:44" x14ac:dyDescent="0.2">
      <c r="B141" s="161" t="s">
        <v>222</v>
      </c>
      <c r="C141" s="152" t="s">
        <v>183</v>
      </c>
      <c r="D141" s="152"/>
      <c r="E141" s="200">
        <f t="shared" ref="E141:AR141" si="26">E131+E136+E139</f>
        <v>-212134792.97686982</v>
      </c>
      <c r="F141" s="200">
        <f t="shared" si="26"/>
        <v>-214721494.87147397</v>
      </c>
      <c r="G141" s="200">
        <f t="shared" si="26"/>
        <v>-217391720.23290122</v>
      </c>
      <c r="H141" s="200">
        <f t="shared" si="26"/>
        <v>-220148570.0547896</v>
      </c>
      <c r="I141" s="200">
        <f t="shared" si="26"/>
        <v>-222995271.724244</v>
      </c>
      <c r="J141" s="200">
        <f t="shared" si="26"/>
        <v>-225935184.44651651</v>
      </c>
      <c r="K141" s="200">
        <f t="shared" si="26"/>
        <v>-228971804.90853769</v>
      </c>
      <c r="L141" s="200">
        <f t="shared" si="26"/>
        <v>-232108773.19194123</v>
      </c>
      <c r="M141" s="200">
        <f t="shared" si="26"/>
        <v>-235349878.94670117</v>
      </c>
      <c r="N141" s="200">
        <f t="shared" si="26"/>
        <v>-238699067.83700061</v>
      </c>
      <c r="O141" s="200">
        <f t="shared" si="26"/>
        <v>-242160448.27147034</v>
      </c>
      <c r="P141" s="200">
        <f t="shared" si="26"/>
        <v>-245738298.43048006</v>
      </c>
      <c r="Q141" s="200">
        <f t="shared" si="26"/>
        <v>-249437073.60373402</v>
      </c>
      <c r="R141" s="200">
        <f t="shared" si="26"/>
        <v>-253261413.85201484</v>
      </c>
      <c r="S141" s="200">
        <f t="shared" si="26"/>
        <v>-257216152.00754347</v>
      </c>
      <c r="T141" s="200">
        <f t="shared" si="26"/>
        <v>27855663.856421895</v>
      </c>
      <c r="U141" s="200">
        <f t="shared" si="26"/>
        <v>171762599.15195009</v>
      </c>
      <c r="V141" s="200">
        <f t="shared" si="26"/>
        <v>174414783.61881024</v>
      </c>
      <c r="W141" s="200">
        <f t="shared" si="26"/>
        <v>177120011.77500755</v>
      </c>
      <c r="X141" s="200">
        <f t="shared" si="26"/>
        <v>179879344.49432883</v>
      </c>
      <c r="Y141" s="200">
        <f t="shared" si="26"/>
        <v>143540488.05909336</v>
      </c>
      <c r="Z141" s="200">
        <f t="shared" si="26"/>
        <v>146411297.82027525</v>
      </c>
      <c r="AA141" s="200">
        <f t="shared" si="26"/>
        <v>149339523.77668071</v>
      </c>
      <c r="AB141" s="200">
        <f t="shared" si="26"/>
        <v>152326314.25221434</v>
      </c>
      <c r="AC141" s="200">
        <f t="shared" si="26"/>
        <v>155372840.5372586</v>
      </c>
      <c r="AD141" s="200">
        <f t="shared" si="26"/>
        <v>158480297.3480038</v>
      </c>
      <c r="AE141" s="200">
        <f t="shared" si="26"/>
        <v>161649903.2949639</v>
      </c>
      <c r="AF141" s="200">
        <f t="shared" si="26"/>
        <v>164882901.36086315</v>
      </c>
      <c r="AG141" s="200">
        <f t="shared" si="26"/>
        <v>168180559.38808042</v>
      </c>
      <c r="AH141" s="200">
        <f t="shared" si="26"/>
        <v>171544170.57584202</v>
      </c>
      <c r="AI141" s="200">
        <f t="shared" si="26"/>
        <v>174975053.98735887</v>
      </c>
      <c r="AJ141" s="200">
        <f t="shared" si="26"/>
        <v>178474555.06710604</v>
      </c>
      <c r="AK141" s="200">
        <f t="shared" si="26"/>
        <v>182044046.16844815</v>
      </c>
      <c r="AL141" s="200">
        <f t="shared" si="26"/>
        <v>185684927.09181714</v>
      </c>
      <c r="AM141" s="200">
        <f t="shared" si="26"/>
        <v>189398625.63365346</v>
      </c>
      <c r="AN141" s="200">
        <f t="shared" si="26"/>
        <v>0</v>
      </c>
      <c r="AO141" s="200">
        <f t="shared" si="26"/>
        <v>0</v>
      </c>
      <c r="AP141" s="200">
        <f t="shared" si="26"/>
        <v>0</v>
      </c>
      <c r="AQ141" s="200">
        <f t="shared" si="26"/>
        <v>0</v>
      </c>
      <c r="AR141" s="201">
        <f t="shared" si="26"/>
        <v>0</v>
      </c>
    </row>
    <row r="142" spans="1:44" x14ac:dyDescent="0.2">
      <c r="B142" s="50" t="s">
        <v>223</v>
      </c>
      <c r="C142" s="145" t="s">
        <v>183</v>
      </c>
      <c r="D142" s="153">
        <f>-SUM(C156:C157)</f>
        <v>-3035145411.5459833</v>
      </c>
      <c r="E142" s="194">
        <f t="shared" ref="E142:AR142" si="27">E131+E139</f>
        <v>-174332.3885345757</v>
      </c>
      <c r="F142" s="194">
        <f t="shared" si="27"/>
        <v>-2761034.2831387967</v>
      </c>
      <c r="G142" s="194">
        <f t="shared" si="27"/>
        <v>-5431259.6445659399</v>
      </c>
      <c r="H142" s="194">
        <f t="shared" si="27"/>
        <v>-8188109.466454342</v>
      </c>
      <c r="I142" s="194">
        <f t="shared" si="27"/>
        <v>-11034811.135908753</v>
      </c>
      <c r="J142" s="194">
        <f t="shared" si="27"/>
        <v>-13974723.858181223</v>
      </c>
      <c r="K142" s="194">
        <f t="shared" si="27"/>
        <v>-17011344.320202425</v>
      </c>
      <c r="L142" s="194">
        <f t="shared" si="27"/>
        <v>-20148312.603605971</v>
      </c>
      <c r="M142" s="194">
        <f t="shared" si="27"/>
        <v>-23389418.358365923</v>
      </c>
      <c r="N142" s="194">
        <f t="shared" si="27"/>
        <v>-26738607.248665348</v>
      </c>
      <c r="O142" s="194">
        <f t="shared" si="27"/>
        <v>-30199987.683135048</v>
      </c>
      <c r="P142" s="194">
        <f t="shared" si="27"/>
        <v>-33777837.842144817</v>
      </c>
      <c r="Q142" s="194">
        <f t="shared" si="27"/>
        <v>-37476613.015398771</v>
      </c>
      <c r="R142" s="194">
        <f t="shared" si="27"/>
        <v>-41300953.263679609</v>
      </c>
      <c r="S142" s="194">
        <f t="shared" si="27"/>
        <v>-45255691.419208199</v>
      </c>
      <c r="T142" s="194">
        <f t="shared" si="27"/>
        <v>27855663.856421895</v>
      </c>
      <c r="U142" s="194">
        <f t="shared" si="27"/>
        <v>171762599.15195009</v>
      </c>
      <c r="V142" s="194">
        <f t="shared" si="27"/>
        <v>174414783.61881024</v>
      </c>
      <c r="W142" s="194">
        <f t="shared" si="27"/>
        <v>177120011.77500755</v>
      </c>
      <c r="X142" s="194">
        <f t="shared" si="27"/>
        <v>179879344.49432883</v>
      </c>
      <c r="Y142" s="194">
        <f t="shared" si="27"/>
        <v>143540488.05909336</v>
      </c>
      <c r="Z142" s="194">
        <f t="shared" si="27"/>
        <v>146411297.82027525</v>
      </c>
      <c r="AA142" s="194">
        <f t="shared" si="27"/>
        <v>149339523.77668071</v>
      </c>
      <c r="AB142" s="194">
        <f t="shared" si="27"/>
        <v>152326314.25221434</v>
      </c>
      <c r="AC142" s="194">
        <f t="shared" si="27"/>
        <v>155372840.5372586</v>
      </c>
      <c r="AD142" s="194">
        <f t="shared" si="27"/>
        <v>158480297.3480038</v>
      </c>
      <c r="AE142" s="194">
        <f t="shared" si="27"/>
        <v>161649903.2949639</v>
      </c>
      <c r="AF142" s="194">
        <f t="shared" si="27"/>
        <v>164882901.36086315</v>
      </c>
      <c r="AG142" s="194">
        <f t="shared" si="27"/>
        <v>168180559.38808042</v>
      </c>
      <c r="AH142" s="194">
        <f t="shared" si="27"/>
        <v>171544170.57584202</v>
      </c>
      <c r="AI142" s="194">
        <f t="shared" si="27"/>
        <v>174975053.98735887</v>
      </c>
      <c r="AJ142" s="194">
        <f t="shared" si="27"/>
        <v>178474555.06710604</v>
      </c>
      <c r="AK142" s="194">
        <f t="shared" si="27"/>
        <v>182044046.16844815</v>
      </c>
      <c r="AL142" s="194">
        <f t="shared" si="27"/>
        <v>185684927.09181714</v>
      </c>
      <c r="AM142" s="194">
        <f t="shared" si="27"/>
        <v>189398625.63365346</v>
      </c>
      <c r="AN142" s="194">
        <f t="shared" si="27"/>
        <v>0</v>
      </c>
      <c r="AO142" s="194">
        <f t="shared" si="27"/>
        <v>0</v>
      </c>
      <c r="AP142" s="194">
        <f t="shared" si="27"/>
        <v>0</v>
      </c>
      <c r="AQ142" s="194">
        <f t="shared" si="27"/>
        <v>0</v>
      </c>
      <c r="AR142" s="195">
        <f t="shared" si="27"/>
        <v>0</v>
      </c>
    </row>
    <row r="143" spans="1:44" x14ac:dyDescent="0.2">
      <c r="B143" s="50" t="s">
        <v>224</v>
      </c>
      <c r="C143" s="145" t="s">
        <v>183</v>
      </c>
      <c r="D143" s="153">
        <f>-C157</f>
        <v>-758786352.88649583</v>
      </c>
      <c r="E143" s="194">
        <f t="shared" ref="E143:AR143" si="28">E141</f>
        <v>-212134792.97686982</v>
      </c>
      <c r="F143" s="194">
        <f t="shared" si="28"/>
        <v>-214721494.87147397</v>
      </c>
      <c r="G143" s="194">
        <f t="shared" si="28"/>
        <v>-217391720.23290122</v>
      </c>
      <c r="H143" s="194">
        <f t="shared" si="28"/>
        <v>-220148570.0547896</v>
      </c>
      <c r="I143" s="194">
        <f t="shared" si="28"/>
        <v>-222995271.724244</v>
      </c>
      <c r="J143" s="194">
        <f t="shared" si="28"/>
        <v>-225935184.44651651</v>
      </c>
      <c r="K143" s="194">
        <f t="shared" si="28"/>
        <v>-228971804.90853769</v>
      </c>
      <c r="L143" s="194">
        <f t="shared" si="28"/>
        <v>-232108773.19194123</v>
      </c>
      <c r="M143" s="194">
        <f t="shared" si="28"/>
        <v>-235349878.94670117</v>
      </c>
      <c r="N143" s="194">
        <f t="shared" si="28"/>
        <v>-238699067.83700061</v>
      </c>
      <c r="O143" s="194">
        <f t="shared" si="28"/>
        <v>-242160448.27147034</v>
      </c>
      <c r="P143" s="194">
        <f t="shared" si="28"/>
        <v>-245738298.43048006</v>
      </c>
      <c r="Q143" s="194">
        <f t="shared" si="28"/>
        <v>-249437073.60373402</v>
      </c>
      <c r="R143" s="194">
        <f t="shared" si="28"/>
        <v>-253261413.85201484</v>
      </c>
      <c r="S143" s="194">
        <f t="shared" si="28"/>
        <v>-257216152.00754347</v>
      </c>
      <c r="T143" s="194">
        <f t="shared" si="28"/>
        <v>27855663.856421895</v>
      </c>
      <c r="U143" s="194">
        <f t="shared" si="28"/>
        <v>171762599.15195009</v>
      </c>
      <c r="V143" s="194">
        <f t="shared" si="28"/>
        <v>174414783.61881024</v>
      </c>
      <c r="W143" s="194">
        <f t="shared" si="28"/>
        <v>177120011.77500755</v>
      </c>
      <c r="X143" s="194">
        <f t="shared" si="28"/>
        <v>179879344.49432883</v>
      </c>
      <c r="Y143" s="194">
        <f t="shared" si="28"/>
        <v>143540488.05909336</v>
      </c>
      <c r="Z143" s="194">
        <f t="shared" si="28"/>
        <v>146411297.82027525</v>
      </c>
      <c r="AA143" s="194">
        <f t="shared" si="28"/>
        <v>149339523.77668071</v>
      </c>
      <c r="AB143" s="194">
        <f t="shared" si="28"/>
        <v>152326314.25221434</v>
      </c>
      <c r="AC143" s="194">
        <f t="shared" si="28"/>
        <v>155372840.5372586</v>
      </c>
      <c r="AD143" s="194">
        <f t="shared" si="28"/>
        <v>158480297.3480038</v>
      </c>
      <c r="AE143" s="194">
        <f t="shared" si="28"/>
        <v>161649903.2949639</v>
      </c>
      <c r="AF143" s="194">
        <f t="shared" si="28"/>
        <v>164882901.36086315</v>
      </c>
      <c r="AG143" s="194">
        <f t="shared" si="28"/>
        <v>168180559.38808042</v>
      </c>
      <c r="AH143" s="194">
        <f t="shared" si="28"/>
        <v>171544170.57584202</v>
      </c>
      <c r="AI143" s="194">
        <f t="shared" si="28"/>
        <v>174975053.98735887</v>
      </c>
      <c r="AJ143" s="194">
        <f t="shared" si="28"/>
        <v>178474555.06710604</v>
      </c>
      <c r="AK143" s="194">
        <f t="shared" si="28"/>
        <v>182044046.16844815</v>
      </c>
      <c r="AL143" s="194">
        <f t="shared" si="28"/>
        <v>185684927.09181714</v>
      </c>
      <c r="AM143" s="194">
        <f t="shared" si="28"/>
        <v>189398625.63365346</v>
      </c>
      <c r="AN143" s="194">
        <f t="shared" si="28"/>
        <v>0</v>
      </c>
      <c r="AO143" s="194">
        <f t="shared" si="28"/>
        <v>0</v>
      </c>
      <c r="AP143" s="194">
        <f t="shared" si="28"/>
        <v>0</v>
      </c>
      <c r="AQ143" s="194">
        <f t="shared" si="28"/>
        <v>0</v>
      </c>
      <c r="AR143" s="195">
        <f t="shared" si="28"/>
        <v>0</v>
      </c>
    </row>
    <row r="144" spans="1:44" x14ac:dyDescent="0.2">
      <c r="B144" s="50" t="s">
        <v>225</v>
      </c>
      <c r="C144" s="150" t="str">
        <f>$C$7</f>
        <v>kWh</v>
      </c>
      <c r="D144" s="145"/>
      <c r="E144" s="194">
        <f t="shared" ref="E144:AR144" si="29">IF(E111&gt;$C$76,0,E117)</f>
        <v>3738200000</v>
      </c>
      <c r="F144" s="194">
        <f t="shared" si="29"/>
        <v>3738200000</v>
      </c>
      <c r="G144" s="194">
        <f t="shared" si="29"/>
        <v>3738200000</v>
      </c>
      <c r="H144" s="194">
        <f t="shared" si="29"/>
        <v>3738200000</v>
      </c>
      <c r="I144" s="194">
        <f t="shared" si="29"/>
        <v>3738200000</v>
      </c>
      <c r="J144" s="194">
        <f t="shared" si="29"/>
        <v>3738200000</v>
      </c>
      <c r="K144" s="194">
        <f t="shared" si="29"/>
        <v>3738200000</v>
      </c>
      <c r="L144" s="194">
        <f t="shared" si="29"/>
        <v>3738200000</v>
      </c>
      <c r="M144" s="194">
        <f t="shared" si="29"/>
        <v>3738200000</v>
      </c>
      <c r="N144" s="194">
        <f t="shared" si="29"/>
        <v>3738200000</v>
      </c>
      <c r="O144" s="194">
        <f t="shared" si="29"/>
        <v>3738200000</v>
      </c>
      <c r="P144" s="194">
        <f t="shared" si="29"/>
        <v>3738200000</v>
      </c>
      <c r="Q144" s="194">
        <f t="shared" si="29"/>
        <v>3738200000</v>
      </c>
      <c r="R144" s="194">
        <f t="shared" si="29"/>
        <v>3738200000</v>
      </c>
      <c r="S144" s="194">
        <f t="shared" si="29"/>
        <v>3738200000</v>
      </c>
      <c r="T144" s="194">
        <f t="shared" si="29"/>
        <v>0</v>
      </c>
      <c r="U144" s="194">
        <f t="shared" si="29"/>
        <v>0</v>
      </c>
      <c r="V144" s="194">
        <f t="shared" si="29"/>
        <v>0</v>
      </c>
      <c r="W144" s="194">
        <f t="shared" si="29"/>
        <v>0</v>
      </c>
      <c r="X144" s="194">
        <f t="shared" si="29"/>
        <v>0</v>
      </c>
      <c r="Y144" s="194">
        <f t="shared" si="29"/>
        <v>0</v>
      </c>
      <c r="Z144" s="194">
        <f t="shared" si="29"/>
        <v>0</v>
      </c>
      <c r="AA144" s="194">
        <f t="shared" si="29"/>
        <v>0</v>
      </c>
      <c r="AB144" s="194">
        <f t="shared" si="29"/>
        <v>0</v>
      </c>
      <c r="AC144" s="194">
        <f t="shared" si="29"/>
        <v>0</v>
      </c>
      <c r="AD144" s="194">
        <f t="shared" si="29"/>
        <v>0</v>
      </c>
      <c r="AE144" s="194">
        <f t="shared" si="29"/>
        <v>0</v>
      </c>
      <c r="AF144" s="194">
        <f t="shared" si="29"/>
        <v>0</v>
      </c>
      <c r="AG144" s="194">
        <f t="shared" si="29"/>
        <v>0</v>
      </c>
      <c r="AH144" s="194">
        <f t="shared" si="29"/>
        <v>0</v>
      </c>
      <c r="AI144" s="194">
        <f t="shared" si="29"/>
        <v>0</v>
      </c>
      <c r="AJ144" s="194">
        <f t="shared" si="29"/>
        <v>0</v>
      </c>
      <c r="AK144" s="194">
        <f t="shared" si="29"/>
        <v>0</v>
      </c>
      <c r="AL144" s="194">
        <f t="shared" si="29"/>
        <v>0</v>
      </c>
      <c r="AM144" s="194">
        <f t="shared" si="29"/>
        <v>0</v>
      </c>
      <c r="AN144" s="194">
        <f t="shared" si="29"/>
        <v>0</v>
      </c>
      <c r="AO144" s="194">
        <f t="shared" si="29"/>
        <v>0</v>
      </c>
      <c r="AP144" s="194">
        <f t="shared" si="29"/>
        <v>0</v>
      </c>
      <c r="AQ144" s="194">
        <f t="shared" si="29"/>
        <v>0</v>
      </c>
      <c r="AR144" s="195">
        <f t="shared" si="29"/>
        <v>0</v>
      </c>
    </row>
    <row r="145" spans="1:44" x14ac:dyDescent="0.2">
      <c r="B145" s="162" t="s">
        <v>226</v>
      </c>
      <c r="C145" s="145" t="s">
        <v>183</v>
      </c>
      <c r="D145" s="202">
        <f>-D112</f>
        <v>3035145411.5459833</v>
      </c>
      <c r="E145" s="202">
        <f t="shared" ref="E145:AR145" si="30">IF(E111&lt;=$C76,D145-($C$5*E117+E131+E134),D145-(E131+E134))</f>
        <v>2839671954.5071082</v>
      </c>
      <c r="F145" s="202">
        <f t="shared" si="30"/>
        <v>2641042309.1419725</v>
      </c>
      <c r="G145" s="202">
        <f t="shared" si="30"/>
        <v>2439070136.8432336</v>
      </c>
      <c r="H145" s="202">
        <f t="shared" si="30"/>
        <v>2233559827.5635657</v>
      </c>
      <c r="I145" s="202">
        <f t="shared" si="30"/>
        <v>2024306064.8768065</v>
      </c>
      <c r="J145" s="202">
        <f t="shared" si="30"/>
        <v>1811093371.1123762</v>
      </c>
      <c r="K145" s="202">
        <f t="shared" si="30"/>
        <v>1593695631.659174</v>
      </c>
      <c r="L145" s="202">
        <f t="shared" si="30"/>
        <v>1371875597.4943471</v>
      </c>
      <c r="M145" s="202">
        <f t="shared" si="30"/>
        <v>1145384364.9496772</v>
      </c>
      <c r="N145" s="202">
        <f t="shared" si="30"/>
        <v>913960831.68375254</v>
      </c>
      <c r="O145" s="202">
        <f t="shared" si="30"/>
        <v>677331127.78151131</v>
      </c>
      <c r="P145" s="202">
        <f t="shared" si="30"/>
        <v>435208020.85406148</v>
      </c>
      <c r="Q145" s="202">
        <f t="shared" si="30"/>
        <v>187290293.96080622</v>
      </c>
      <c r="R145" s="202">
        <f t="shared" si="30"/>
        <v>-66737904.877267629</v>
      </c>
      <c r="S145" s="202">
        <f t="shared" si="30"/>
        <v>-327207742.85983992</v>
      </c>
      <c r="T145" s="202">
        <f t="shared" si="30"/>
        <v>-311981715.96964949</v>
      </c>
      <c r="U145" s="202">
        <f t="shared" si="30"/>
        <v>-490700345.81197685</v>
      </c>
      <c r="V145" s="202">
        <f t="shared" si="30"/>
        <v>-672993348.25115085</v>
      </c>
      <c r="W145" s="202">
        <f t="shared" si="30"/>
        <v>-858932210.7391082</v>
      </c>
      <c r="X145" s="202">
        <f t="shared" si="30"/>
        <v>-1048589850.4768248</v>
      </c>
      <c r="Y145" s="202">
        <f t="shared" si="30"/>
        <v>-1242040643.0092955</v>
      </c>
      <c r="Z145" s="202">
        <f t="shared" si="30"/>
        <v>-1439360451.3924158</v>
      </c>
      <c r="AA145" s="202">
        <f t="shared" si="30"/>
        <v>-1640626655.9431984</v>
      </c>
      <c r="AB145" s="202">
        <f t="shared" si="30"/>
        <v>-1845918184.5849967</v>
      </c>
      <c r="AC145" s="202">
        <f t="shared" si="30"/>
        <v>-2055315543.7996309</v>
      </c>
      <c r="AD145" s="202">
        <f t="shared" si="30"/>
        <v>-2268900850.1985579</v>
      </c>
      <c r="AE145" s="202">
        <f t="shared" si="30"/>
        <v>-2486757862.7254634</v>
      </c>
      <c r="AF145" s="202">
        <f t="shared" si="30"/>
        <v>-2708972015.5029068</v>
      </c>
      <c r="AG145" s="202">
        <f t="shared" si="30"/>
        <v>-2935630451.3358994</v>
      </c>
      <c r="AH145" s="202">
        <f t="shared" si="30"/>
        <v>-3166822055.8855515</v>
      </c>
      <c r="AI145" s="202">
        <f t="shared" si="30"/>
        <v>-3402637492.526197</v>
      </c>
      <c r="AJ145" s="202">
        <f t="shared" si="30"/>
        <v>-3643169237.8996553</v>
      </c>
      <c r="AK145" s="202">
        <f t="shared" si="30"/>
        <v>-3888511618.180583</v>
      </c>
      <c r="AL145" s="202">
        <f t="shared" si="30"/>
        <v>-4138760846.0671291</v>
      </c>
      <c r="AM145" s="202">
        <f t="shared" si="30"/>
        <v>-4394015058.5114059</v>
      </c>
      <c r="AN145" s="202">
        <f t="shared" si="30"/>
        <v>-4394015058.5114059</v>
      </c>
      <c r="AO145" s="202">
        <f t="shared" si="30"/>
        <v>-4394015058.5114059</v>
      </c>
      <c r="AP145" s="202">
        <f t="shared" si="30"/>
        <v>-4394015058.5114059</v>
      </c>
      <c r="AQ145" s="202">
        <f t="shared" si="30"/>
        <v>-4394015058.5114059</v>
      </c>
      <c r="AR145" s="203">
        <f t="shared" si="30"/>
        <v>-4394015058.5114059</v>
      </c>
    </row>
    <row r="146" spans="1:44" ht="12.95" customHeight="1" x14ac:dyDescent="0.2">
      <c r="B146" s="163" t="s">
        <v>227</v>
      </c>
      <c r="C146" s="204"/>
      <c r="D146" s="204"/>
      <c r="E146" s="205">
        <f t="shared" ref="E146:AR146" si="31">IF(E111&gt;$C$74,"",(-$C$94*(E138+$C$5*E117)+E131+$C$5*E117)/-E136)</f>
        <v>1.3522844674703425</v>
      </c>
      <c r="F146" s="205">
        <f t="shared" si="31"/>
        <v>1.3400807673678594</v>
      </c>
      <c r="G146" s="205">
        <f t="shared" si="31"/>
        <v>1.3274830151549444</v>
      </c>
      <c r="H146" s="205">
        <f t="shared" si="31"/>
        <v>1.3144765807745122</v>
      </c>
      <c r="I146" s="205">
        <f t="shared" si="31"/>
        <v>1.301046237862665</v>
      </c>
      <c r="J146" s="205">
        <f t="shared" si="31"/>
        <v>1.2871761381558036</v>
      </c>
      <c r="K146" s="205">
        <f t="shared" si="31"/>
        <v>1.2728497847708726</v>
      </c>
      <c r="L146" s="205">
        <f t="shared" si="31"/>
        <v>1.2580500043085339</v>
      </c>
      <c r="M146" s="205">
        <f t="shared" si="31"/>
        <v>1.2427589177268026</v>
      </c>
      <c r="N146" s="205">
        <f t="shared" si="31"/>
        <v>1.2269579099303336</v>
      </c>
      <c r="O146" s="205">
        <f t="shared" si="31"/>
        <v>1.2106275980180927</v>
      </c>
      <c r="P146" s="205">
        <f t="shared" si="31"/>
        <v>1.1937477981295721</v>
      </c>
      <c r="Q146" s="205">
        <f t="shared" si="31"/>
        <v>1.1762974908270343</v>
      </c>
      <c r="R146" s="205">
        <f t="shared" si="31"/>
        <v>1.1582547849484677</v>
      </c>
      <c r="S146" s="205">
        <f t="shared" si="31"/>
        <v>1.1395968798630025</v>
      </c>
      <c r="T146" s="205" t="str">
        <f t="shared" si="31"/>
        <v/>
      </c>
      <c r="U146" s="205" t="str">
        <f t="shared" si="31"/>
        <v/>
      </c>
      <c r="V146" s="205" t="str">
        <f t="shared" si="31"/>
        <v/>
      </c>
      <c r="W146" s="205" t="str">
        <f t="shared" si="31"/>
        <v/>
      </c>
      <c r="X146" s="205" t="str">
        <f t="shared" si="31"/>
        <v/>
      </c>
      <c r="Y146" s="205" t="str">
        <f t="shared" si="31"/>
        <v/>
      </c>
      <c r="Z146" s="205" t="str">
        <f t="shared" si="31"/>
        <v/>
      </c>
      <c r="AA146" s="205" t="str">
        <f t="shared" si="31"/>
        <v/>
      </c>
      <c r="AB146" s="205" t="str">
        <f t="shared" si="31"/>
        <v/>
      </c>
      <c r="AC146" s="205" t="str">
        <f t="shared" si="31"/>
        <v/>
      </c>
      <c r="AD146" s="205" t="str">
        <f t="shared" si="31"/>
        <v/>
      </c>
      <c r="AE146" s="205" t="str">
        <f t="shared" si="31"/>
        <v/>
      </c>
      <c r="AF146" s="205" t="str">
        <f t="shared" si="31"/>
        <v/>
      </c>
      <c r="AG146" s="205" t="str">
        <f t="shared" si="31"/>
        <v/>
      </c>
      <c r="AH146" s="205" t="str">
        <f t="shared" si="31"/>
        <v/>
      </c>
      <c r="AI146" s="205" t="str">
        <f t="shared" si="31"/>
        <v/>
      </c>
      <c r="AJ146" s="205" t="str">
        <f t="shared" si="31"/>
        <v/>
      </c>
      <c r="AK146" s="205" t="str">
        <f t="shared" si="31"/>
        <v/>
      </c>
      <c r="AL146" s="205" t="str">
        <f t="shared" si="31"/>
        <v/>
      </c>
      <c r="AM146" s="205" t="str">
        <f t="shared" si="31"/>
        <v/>
      </c>
      <c r="AN146" s="205" t="str">
        <f t="shared" si="31"/>
        <v/>
      </c>
      <c r="AO146" s="205" t="str">
        <f t="shared" si="31"/>
        <v/>
      </c>
      <c r="AP146" s="205" t="str">
        <f t="shared" si="31"/>
        <v/>
      </c>
      <c r="AQ146" s="205" t="str">
        <f t="shared" si="31"/>
        <v/>
      </c>
      <c r="AR146" s="206" t="str">
        <f t="shared" si="31"/>
        <v/>
      </c>
    </row>
    <row r="147" spans="1:44" ht="12.95" customHeight="1" x14ac:dyDescent="0.2">
      <c r="A147" s="33"/>
      <c r="B147" s="33"/>
      <c r="C147" s="33"/>
      <c r="D147" s="244"/>
      <c r="E147" s="207"/>
      <c r="F147" s="207"/>
      <c r="G147" s="207"/>
      <c r="H147" s="207"/>
      <c r="I147" s="207"/>
      <c r="J147" s="207"/>
      <c r="K147" s="207"/>
      <c r="L147" s="207"/>
      <c r="M147" s="207"/>
      <c r="N147" s="207"/>
      <c r="O147" s="207"/>
      <c r="P147" s="207"/>
      <c r="Q147" s="207"/>
      <c r="R147" s="207"/>
      <c r="S147" s="207"/>
      <c r="T147" s="207"/>
      <c r="U147" s="207"/>
      <c r="V147" s="207"/>
      <c r="W147" s="207"/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</row>
    <row r="148" spans="1:44" ht="12.95" customHeight="1" x14ac:dyDescent="0.2">
      <c r="B148" s="64" t="s">
        <v>228</v>
      </c>
      <c r="C148" s="57" t="s">
        <v>37</v>
      </c>
      <c r="D148" s="136" t="s">
        <v>114</v>
      </c>
      <c r="E148" s="34"/>
      <c r="F148" s="34"/>
      <c r="G148" s="34"/>
      <c r="H148" s="34"/>
      <c r="I148" s="34"/>
      <c r="J148" s="34"/>
      <c r="K148" s="34"/>
      <c r="L148" s="34"/>
      <c r="M148" s="34"/>
    </row>
    <row r="149" spans="1:44" x14ac:dyDescent="0.2">
      <c r="B149" s="50" t="s">
        <v>229</v>
      </c>
      <c r="C149" s="226">
        <f>NPV($C$91,E141:AR141)</f>
        <v>-1423423670.9522815</v>
      </c>
      <c r="D149" s="219" t="s">
        <v>230</v>
      </c>
    </row>
    <row r="150" spans="1:44" x14ac:dyDescent="0.2">
      <c r="B150" s="50" t="s">
        <v>231</v>
      </c>
      <c r="C150" s="227">
        <f>(1-$C$94)*NPV($C$91,E144:AR144)</f>
        <v>21097320436.577576</v>
      </c>
      <c r="D150" s="219" t="str">
        <f>$C$7</f>
        <v>kWh</v>
      </c>
      <c r="F150" s="208"/>
    </row>
    <row r="151" spans="1:44" x14ac:dyDescent="0.2">
      <c r="B151" s="50" t="s">
        <v>232</v>
      </c>
      <c r="C151" s="227">
        <f>$C$41*1000000</f>
        <v>3035145411.5459833</v>
      </c>
      <c r="D151" s="219" t="s">
        <v>183</v>
      </c>
      <c r="F151" s="209"/>
    </row>
    <row r="152" spans="1:44" x14ac:dyDescent="0.2">
      <c r="B152" s="50" t="s">
        <v>233</v>
      </c>
      <c r="C152" s="228">
        <f>AVERAGE(E146:AR146)</f>
        <v>1.2534458916872562</v>
      </c>
      <c r="D152" s="219"/>
      <c r="F152" s="209"/>
    </row>
    <row r="153" spans="1:44" x14ac:dyDescent="0.2">
      <c r="B153" s="50" t="s">
        <v>234</v>
      </c>
      <c r="C153" s="179" t="str">
        <f>CONCATENATE(ROUND(((1-$C$94)*$C$90*$C$92+$C$93*$C$91)*100,1),"% / ",ROUND((((1+(1-$C$94)*$C$90*$C$92+$C$93*$C$91)/(1+$C$89))-1)*100,1),"%")</f>
        <v>5% / 2,9%</v>
      </c>
      <c r="D153" s="219"/>
      <c r="F153" s="208"/>
      <c r="G153" s="35"/>
    </row>
    <row r="154" spans="1:44" x14ac:dyDescent="0.2">
      <c r="B154" s="50" t="s">
        <v>235</v>
      </c>
      <c r="C154" s="179">
        <f>IFERROR(IRR(D142:AR142),"n.v.t.")</f>
        <v>-1.6818546333472462E-3</v>
      </c>
      <c r="D154" s="219"/>
      <c r="F154" s="209"/>
      <c r="G154" s="35"/>
    </row>
    <row r="155" spans="1:44" x14ac:dyDescent="0.2">
      <c r="B155" s="50" t="s">
        <v>236</v>
      </c>
      <c r="C155" s="179">
        <f>IFERROR(IRR(D143:AR143),"n.v.t.")</f>
        <v>-1.4392032453892645E-2</v>
      </c>
      <c r="D155" s="219"/>
      <c r="G155" s="35"/>
    </row>
    <row r="156" spans="1:44" x14ac:dyDescent="0.2">
      <c r="B156" s="50" t="s">
        <v>237</v>
      </c>
      <c r="C156" s="227">
        <f>$C$92*C151-C97</f>
        <v>2276359058.6594877</v>
      </c>
      <c r="D156" s="219" t="s">
        <v>183</v>
      </c>
      <c r="F156" s="22"/>
    </row>
    <row r="157" spans="1:44" x14ac:dyDescent="0.2">
      <c r="B157" s="50" t="s">
        <v>238</v>
      </c>
      <c r="C157" s="227">
        <f>$C$93*C151-C98</f>
        <v>758786352.88649583</v>
      </c>
      <c r="D157" s="219" t="s">
        <v>183</v>
      </c>
      <c r="F157" s="22"/>
    </row>
    <row r="158" spans="1:44" x14ac:dyDescent="0.2">
      <c r="B158" s="50" t="s">
        <v>123</v>
      </c>
      <c r="C158" s="179">
        <f>IF(AND(E114&gt;0,E115&gt;0),ROUND(E115/E114,2),0)</f>
        <v>0</v>
      </c>
      <c r="D158" s="219" t="s">
        <v>239</v>
      </c>
      <c r="F158" s="22"/>
    </row>
    <row r="159" spans="1:44" x14ac:dyDescent="0.2">
      <c r="B159" s="50" t="s">
        <v>240</v>
      </c>
      <c r="C159" s="179">
        <f>IF(C158=0,MAX(C29:C30),E117/SUM(C26,C28))</f>
        <v>3738.2</v>
      </c>
      <c r="D159" s="219" t="s">
        <v>147</v>
      </c>
      <c r="F159" s="22"/>
    </row>
    <row r="160" spans="1:44" ht="15" customHeight="1" x14ac:dyDescent="0.25">
      <c r="B160" s="51" t="s">
        <v>241</v>
      </c>
      <c r="C160" s="277" t="str">
        <f>CONCATENATE( "tussen ", INDEX(D111:X111, MATCH(0,D145:AR145, -1)), " en ",  1 + INDEX(D111:X111, MATCH(0,D145:AR145, -1)), " jaar")</f>
        <v>tussen 13 en 14 jaar</v>
      </c>
      <c r="D160" s="270"/>
      <c r="F160" s="210"/>
      <c r="G160" s="190"/>
      <c r="I160" s="190"/>
      <c r="J160" s="190"/>
      <c r="K160" s="190"/>
      <c r="L160" s="190"/>
      <c r="M160" s="190"/>
      <c r="N160" s="190"/>
      <c r="O160" s="190"/>
      <c r="P160" s="190"/>
      <c r="Q160" s="190"/>
      <c r="R160" s="190"/>
      <c r="S160" s="190"/>
      <c r="T160" s="190"/>
      <c r="U160" s="190"/>
      <c r="V160" s="190"/>
      <c r="W160" s="190"/>
      <c r="X160" s="190"/>
      <c r="Y160" s="190"/>
      <c r="Z160" s="190"/>
      <c r="AA160" s="190"/>
      <c r="AB160" s="190"/>
      <c r="AC160" s="190"/>
      <c r="AD160" s="190"/>
      <c r="AE160" s="190"/>
      <c r="AF160" s="190"/>
      <c r="AG160" s="190"/>
      <c r="AH160" s="190"/>
      <c r="AI160" s="190"/>
      <c r="AJ160" s="190"/>
      <c r="AK160" s="190"/>
      <c r="AL160" s="190"/>
      <c r="AM160" s="190"/>
      <c r="AN160" s="190"/>
      <c r="AO160" s="190"/>
      <c r="AP160" s="190"/>
      <c r="AQ160" s="190"/>
      <c r="AR160" s="190"/>
    </row>
    <row r="161" spans="2:44" x14ac:dyDescent="0.2">
      <c r="B161" s="6"/>
      <c r="C161" s="6"/>
      <c r="D161" s="36"/>
      <c r="E161" s="190"/>
      <c r="F161" s="210"/>
      <c r="G161" s="190"/>
      <c r="H161" s="190"/>
      <c r="I161" s="190"/>
      <c r="J161" s="190"/>
      <c r="K161" s="190"/>
      <c r="L161" s="190"/>
      <c r="M161" s="190"/>
      <c r="N161" s="190"/>
      <c r="O161" s="190"/>
      <c r="P161" s="190"/>
      <c r="Q161" s="190"/>
      <c r="R161" s="190"/>
      <c r="S161" s="190"/>
      <c r="T161" s="190"/>
      <c r="U161" s="190"/>
      <c r="V161" s="190"/>
      <c r="W161" s="190"/>
      <c r="X161" s="190"/>
      <c r="Y161" s="190"/>
      <c r="Z161" s="190"/>
      <c r="AA161" s="190"/>
      <c r="AB161" s="190"/>
      <c r="AC161" s="190"/>
      <c r="AD161" s="190"/>
      <c r="AE161" s="190"/>
      <c r="AF161" s="190"/>
      <c r="AG161" s="190"/>
      <c r="AH161" s="190"/>
      <c r="AI161" s="190"/>
      <c r="AJ161" s="190"/>
      <c r="AK161" s="190"/>
      <c r="AL161" s="190"/>
      <c r="AM161" s="190"/>
      <c r="AN161" s="190"/>
      <c r="AO161" s="190"/>
      <c r="AP161" s="190"/>
      <c r="AQ161" s="190"/>
      <c r="AR161" s="190"/>
    </row>
    <row r="162" spans="2:44" x14ac:dyDescent="0.2">
      <c r="B162" s="70" t="s">
        <v>242</v>
      </c>
      <c r="C162" s="57" t="s">
        <v>37</v>
      </c>
      <c r="D162" s="136" t="s">
        <v>114</v>
      </c>
      <c r="E162" s="190"/>
      <c r="F162" s="210"/>
      <c r="G162" s="190"/>
      <c r="H162" s="190"/>
      <c r="I162" s="190"/>
      <c r="J162" s="190"/>
      <c r="K162" s="190"/>
      <c r="L162" s="190"/>
      <c r="M162" s="190"/>
      <c r="N162" s="190"/>
      <c r="O162" s="190"/>
      <c r="P162" s="190"/>
      <c r="Q162" s="190"/>
      <c r="R162" s="190"/>
      <c r="S162" s="190"/>
      <c r="T162" s="190"/>
      <c r="U162" s="190"/>
      <c r="V162" s="190"/>
      <c r="W162" s="190"/>
      <c r="X162" s="190"/>
      <c r="Y162" s="190"/>
      <c r="Z162" s="190"/>
      <c r="AA162" s="190"/>
      <c r="AB162" s="190"/>
      <c r="AC162" s="190"/>
      <c r="AD162" s="190"/>
      <c r="AE162" s="190"/>
      <c r="AF162" s="190"/>
      <c r="AG162" s="190"/>
      <c r="AH162" s="190"/>
      <c r="AI162" s="190"/>
      <c r="AJ162" s="190"/>
      <c r="AK162" s="190"/>
      <c r="AL162" s="190"/>
      <c r="AM162" s="190"/>
      <c r="AN162" s="190"/>
      <c r="AO162" s="190"/>
      <c r="AP162" s="190"/>
      <c r="AQ162" s="190"/>
      <c r="AR162" s="190"/>
    </row>
    <row r="163" spans="2:44" ht="14.85" customHeight="1" x14ac:dyDescent="0.2">
      <c r="B163" s="50" t="s">
        <v>29</v>
      </c>
      <c r="C163" s="222">
        <f>IF(C15&gt;0,ROUND(INDEX(Correcties!$A$1:$I$3,MATCH(C15,Correcties!$A$1:$A$3,0),8),4),_xlfn.XLOOKUP($C12,Correcties!$A$3:$A$3,Correcties!$H$3:$H$3,"n.v.t"))</f>
        <v>3.7693825023999997E-2</v>
      </c>
      <c r="D163" s="219" t="str">
        <f t="shared" ref="D163:D169" si="32">CONCATENATE("Euro/",$C$7)</f>
        <v>Euro/kWh</v>
      </c>
    </row>
    <row r="164" spans="2:44" s="6" customFormat="1" x14ac:dyDescent="0.2">
      <c r="B164" s="224" t="s">
        <v>33</v>
      </c>
      <c r="C164" s="211">
        <f>IF(C15&gt;0,IFERROR(_xlfn.XLOOKUP(C15,Correcties!A3:A3,Correcties!F3:F3),"n.v.t."),_xlfn.XLOOKUP($C12,Correcties!$A$3:$A$3,Correcties!$F$3:$F$3,"n.v.t."))</f>
        <v>5.6540737536000002E-2</v>
      </c>
      <c r="D164" s="229" t="str">
        <f t="shared" si="32"/>
        <v>Euro/kWh</v>
      </c>
    </row>
    <row r="165" spans="2:44" s="6" customFormat="1" x14ac:dyDescent="0.2">
      <c r="B165" s="50" t="str">
        <f>"Voorlopig correctiebedrag "&amp;Colofon!$C$29</f>
        <v>Voorlopig correctiebedrag 2026</v>
      </c>
      <c r="C165" s="225">
        <f>IF(C15&gt;0,IFERROR(ROUND(INDEX(Correcties!$A$1:$I$3,MATCH(C15,Correcties!$A$1:$A$3,0),4),4),"n.v.t."),_xlfn.XLOOKUP($C12,Correcties!$A$3:$A$3,Correcties!$D$3:$D$3,"n.v.t."))</f>
        <v>7.425000000000001E-2</v>
      </c>
      <c r="D165" s="219" t="str">
        <f t="shared" si="32"/>
        <v>Euro/kWh</v>
      </c>
      <c r="F165" s="190"/>
      <c r="G165" s="190"/>
      <c r="H165" s="190"/>
      <c r="I165" s="190"/>
      <c r="J165" s="190"/>
      <c r="K165" s="190"/>
      <c r="L165" s="190"/>
      <c r="M165" s="190"/>
      <c r="N165" s="190"/>
      <c r="O165" s="190"/>
      <c r="P165" s="190"/>
      <c r="Q165" s="190"/>
      <c r="R165" s="190"/>
      <c r="S165" s="190"/>
      <c r="T165" s="190"/>
      <c r="U165" s="190"/>
      <c r="V165" s="190"/>
      <c r="W165" s="190"/>
      <c r="X165" s="190"/>
      <c r="Y165" s="190"/>
      <c r="Z165" s="190"/>
      <c r="AA165" s="190"/>
      <c r="AB165" s="190"/>
      <c r="AC165" s="190"/>
      <c r="AD165" s="190"/>
      <c r="AE165" s="190"/>
      <c r="AF165" s="190"/>
      <c r="AG165" s="190"/>
      <c r="AH165" s="190"/>
      <c r="AI165" s="190"/>
      <c r="AJ165" s="190"/>
      <c r="AK165" s="190"/>
      <c r="AL165" s="190"/>
      <c r="AM165" s="190"/>
      <c r="AN165" s="190"/>
      <c r="AO165" s="190"/>
      <c r="AP165" s="190"/>
      <c r="AQ165" s="190"/>
      <c r="AR165" s="190"/>
    </row>
    <row r="166" spans="2:44" s="6" customFormat="1" x14ac:dyDescent="0.2">
      <c r="B166" s="224" t="str">
        <f>"Voorlopige GvO-waarde "&amp;Colofon!$C$29</f>
        <v>Voorlopige GvO-waarde 2026</v>
      </c>
      <c r="C166" s="211">
        <f>IF(C15&gt;0,_xlfn.XLOOKUP(C15,Correcties!A7:A7,Correcties!D7:D7,0), _xlfn.XLOOKUP(C12,Correcties!A7:A7,Correcties!D7:D7,0))</f>
        <v>2E-3</v>
      </c>
      <c r="D166" s="229" t="str">
        <f t="shared" si="32"/>
        <v>Euro/kWh</v>
      </c>
    </row>
    <row r="167" spans="2:44" s="6" customFormat="1" x14ac:dyDescent="0.2">
      <c r="B167" s="50"/>
      <c r="C167" s="222"/>
      <c r="D167" s="219"/>
      <c r="F167" s="37"/>
      <c r="G167" s="37"/>
      <c r="H167" s="37"/>
      <c r="I167" s="37"/>
      <c r="J167" s="37"/>
      <c r="K167" s="37"/>
      <c r="L167" s="37"/>
      <c r="M167" s="37"/>
      <c r="N167" s="37"/>
      <c r="O167" s="37"/>
      <c r="P167" s="37"/>
    </row>
    <row r="168" spans="2:44" s="6" customFormat="1" x14ac:dyDescent="0.2">
      <c r="B168" s="58" t="s">
        <v>30</v>
      </c>
      <c r="C168" s="223">
        <f>_xlfn.XLOOKUP($C$13,Correcties!A14:A14,Correcties!D14:D14,"foutmelding")</f>
        <v>0</v>
      </c>
      <c r="D168" s="230" t="str">
        <f t="shared" si="32"/>
        <v>Euro/kWh</v>
      </c>
      <c r="F168" s="37"/>
      <c r="G168" s="37"/>
      <c r="H168" s="37"/>
      <c r="I168" s="37"/>
      <c r="J168" s="37"/>
      <c r="K168" s="37"/>
      <c r="L168" s="37"/>
      <c r="M168" s="37"/>
      <c r="N168" s="37"/>
      <c r="O168" s="37"/>
      <c r="P168" s="37"/>
    </row>
    <row r="169" spans="2:44" s="6" customFormat="1" ht="13.5" customHeight="1" x14ac:dyDescent="0.2">
      <c r="B169" s="51" t="s">
        <v>243</v>
      </c>
      <c r="C169" s="212">
        <f>IF(C14="Nee",0,_xlfn.XLOOKUP($C$13,Correcties!A14:A14,Correcties!F14:F14,"foutmelding"))</f>
        <v>0</v>
      </c>
      <c r="D169" s="221" t="str">
        <f t="shared" si="32"/>
        <v>Euro/kWh</v>
      </c>
      <c r="F169" s="37"/>
      <c r="G169" s="37"/>
      <c r="H169" s="37"/>
      <c r="I169" s="37"/>
      <c r="J169" s="37"/>
      <c r="K169" s="37"/>
      <c r="L169" s="37"/>
      <c r="M169" s="37"/>
      <c r="N169" s="37"/>
      <c r="O169" s="37"/>
      <c r="P169" s="37"/>
    </row>
    <row r="170" spans="2:44" s="6" customFormat="1" x14ac:dyDescent="0.2">
      <c r="E170" s="37"/>
      <c r="F170" s="37"/>
      <c r="G170" s="37"/>
      <c r="H170" s="37"/>
      <c r="I170" s="37"/>
      <c r="J170" s="37"/>
      <c r="K170" s="37"/>
      <c r="L170" s="37"/>
      <c r="M170" s="37"/>
      <c r="N170" s="37"/>
      <c r="O170" s="37"/>
      <c r="P170" s="37"/>
    </row>
    <row r="171" spans="2:44" s="6" customFormat="1" x14ac:dyDescent="0.2">
      <c r="B171" s="56" t="s">
        <v>244</v>
      </c>
      <c r="C171" s="57" t="s">
        <v>37</v>
      </c>
      <c r="D171" s="136" t="s">
        <v>114</v>
      </c>
    </row>
    <row r="172" spans="2:44" s="6" customFormat="1" x14ac:dyDescent="0.2">
      <c r="B172" s="50" t="s">
        <v>245</v>
      </c>
      <c r="C172" s="220">
        <v>35.799999999999997</v>
      </c>
      <c r="D172" s="219" t="s">
        <v>246</v>
      </c>
    </row>
    <row r="173" spans="2:44" s="6" customFormat="1" x14ac:dyDescent="0.2">
      <c r="B173" s="50" t="s">
        <v>247</v>
      </c>
      <c r="C173" s="220">
        <v>31.65</v>
      </c>
      <c r="D173" s="219" t="s">
        <v>246</v>
      </c>
    </row>
    <row r="174" spans="2:44" s="6" customFormat="1" x14ac:dyDescent="0.2">
      <c r="B174" s="50" t="s">
        <v>248</v>
      </c>
      <c r="C174" s="220">
        <v>35.17</v>
      </c>
      <c r="D174" s="219" t="s">
        <v>246</v>
      </c>
    </row>
    <row r="175" spans="2:44" s="6" customFormat="1" x14ac:dyDescent="0.2">
      <c r="B175" s="51" t="s">
        <v>249</v>
      </c>
      <c r="C175" s="213">
        <v>3.6</v>
      </c>
      <c r="D175" s="221" t="s">
        <v>250</v>
      </c>
    </row>
    <row r="176" spans="2:44" s="6" customFormat="1" x14ac:dyDescent="0.2">
      <c r="E176" s="38"/>
    </row>
    <row r="177" spans="5:8" s="6" customFormat="1" x14ac:dyDescent="0.2"/>
    <row r="178" spans="5:8" x14ac:dyDescent="0.2">
      <c r="E178" s="6"/>
      <c r="F178" s="6"/>
      <c r="H178" s="6"/>
    </row>
    <row r="179" spans="5:8" x14ac:dyDescent="0.2">
      <c r="E179" s="6"/>
      <c r="F179" s="6"/>
      <c r="H179" s="6"/>
    </row>
    <row r="180" spans="5:8" x14ac:dyDescent="0.2">
      <c r="E180" s="6"/>
      <c r="F180" s="6"/>
      <c r="H180" s="6"/>
    </row>
    <row r="181" spans="5:8" x14ac:dyDescent="0.2">
      <c r="H181" s="6"/>
    </row>
    <row r="182" spans="5:8" x14ac:dyDescent="0.2">
      <c r="H182" s="6"/>
    </row>
    <row r="183" spans="5:8" x14ac:dyDescent="0.2">
      <c r="H183" s="6"/>
    </row>
    <row r="184" spans="5:8" x14ac:dyDescent="0.2">
      <c r="H184" s="6"/>
    </row>
    <row r="185" spans="5:8" x14ac:dyDescent="0.2">
      <c r="H185" s="6"/>
    </row>
    <row r="186" spans="5:8" x14ac:dyDescent="0.2">
      <c r="H186" s="6"/>
    </row>
    <row r="187" spans="5:8" x14ac:dyDescent="0.2">
      <c r="H187" s="6"/>
    </row>
    <row r="188" spans="5:8" x14ac:dyDescent="0.2">
      <c r="H188" s="6"/>
    </row>
    <row r="189" spans="5:8" x14ac:dyDescent="0.2">
      <c r="H189" s="6"/>
    </row>
    <row r="190" spans="5:8" x14ac:dyDescent="0.2">
      <c r="H190" s="6"/>
    </row>
  </sheetData>
  <mergeCells count="88">
    <mergeCell ref="E20:M20"/>
    <mergeCell ref="E4:M4"/>
    <mergeCell ref="E5:M5"/>
    <mergeCell ref="E6:M6"/>
    <mergeCell ref="E8:M8"/>
    <mergeCell ref="E11:M11"/>
    <mergeCell ref="E12:M12"/>
    <mergeCell ref="E13:M13"/>
    <mergeCell ref="E15:M15"/>
    <mergeCell ref="E16:M16"/>
    <mergeCell ref="E17:M17"/>
    <mergeCell ref="E18:M18"/>
    <mergeCell ref="E34:M34"/>
    <mergeCell ref="E21:M21"/>
    <mergeCell ref="E22:M22"/>
    <mergeCell ref="E24:M24"/>
    <mergeCell ref="E25:M25"/>
    <mergeCell ref="E26:M26"/>
    <mergeCell ref="E27:M27"/>
    <mergeCell ref="E28:M28"/>
    <mergeCell ref="E29:M29"/>
    <mergeCell ref="E30:M30"/>
    <mergeCell ref="E32:M32"/>
    <mergeCell ref="E33:M33"/>
    <mergeCell ref="E47:M47"/>
    <mergeCell ref="E35:M35"/>
    <mergeCell ref="E36:M36"/>
    <mergeCell ref="E38:M38"/>
    <mergeCell ref="E39:M39"/>
    <mergeCell ref="E40:M40"/>
    <mergeCell ref="E41:M41"/>
    <mergeCell ref="E42:M42"/>
    <mergeCell ref="E43:M43"/>
    <mergeCell ref="E44:M44"/>
    <mergeCell ref="E45:M45"/>
    <mergeCell ref="E46:M46"/>
    <mergeCell ref="E60:M60"/>
    <mergeCell ref="E49:M49"/>
    <mergeCell ref="E51:M51"/>
    <mergeCell ref="E52:M52"/>
    <mergeCell ref="E53:M53"/>
    <mergeCell ref="E54:M54"/>
    <mergeCell ref="E55:M55"/>
    <mergeCell ref="E56:M56"/>
    <mergeCell ref="E57:M57"/>
    <mergeCell ref="E58:M58"/>
    <mergeCell ref="E59:M59"/>
    <mergeCell ref="E74:M74"/>
    <mergeCell ref="E62:M62"/>
    <mergeCell ref="E63:M63"/>
    <mergeCell ref="E64:M64"/>
    <mergeCell ref="E65:M65"/>
    <mergeCell ref="E66:M66"/>
    <mergeCell ref="E67:M67"/>
    <mergeCell ref="E68:M68"/>
    <mergeCell ref="E69:M69"/>
    <mergeCell ref="E70:M70"/>
    <mergeCell ref="E72:M72"/>
    <mergeCell ref="E73:M73"/>
    <mergeCell ref="E88:M88"/>
    <mergeCell ref="E75:M75"/>
    <mergeCell ref="E76:M76"/>
    <mergeCell ref="E77:M77"/>
    <mergeCell ref="E79:M79"/>
    <mergeCell ref="E80:M80"/>
    <mergeCell ref="E81:M81"/>
    <mergeCell ref="E82:M82"/>
    <mergeCell ref="E83:M83"/>
    <mergeCell ref="E84:M84"/>
    <mergeCell ref="E85:M85"/>
    <mergeCell ref="E86:M86"/>
    <mergeCell ref="E102:M102"/>
    <mergeCell ref="E89:M89"/>
    <mergeCell ref="E90:M90"/>
    <mergeCell ref="E91:M91"/>
    <mergeCell ref="E92:M92"/>
    <mergeCell ref="E93:M93"/>
    <mergeCell ref="E94:M94"/>
    <mergeCell ref="E96:M96"/>
    <mergeCell ref="E97:M97"/>
    <mergeCell ref="E98:M98"/>
    <mergeCell ref="E100:M100"/>
    <mergeCell ref="E101:M101"/>
    <mergeCell ref="E103:M103"/>
    <mergeCell ref="B106:C106"/>
    <mergeCell ref="B107:C107"/>
    <mergeCell ref="B110:M110"/>
    <mergeCell ref="C160:D160"/>
  </mergeCells>
  <conditionalFormatting sqref="G1:G3 G19 G109:G113 G148:G159 G163:G164 G166">
    <cfRule type="containsText" dxfId="11" priority="3" operator="containsText" text="Pas op">
      <formula>NOT(ISERROR(SEARCH("Pas op",G1)))</formula>
    </cfRule>
  </conditionalFormatting>
  <conditionalFormatting sqref="G104">
    <cfRule type="containsText" dxfId="10" priority="1" operator="containsText" text="Pas op">
      <formula>NOT(ISERROR(SEARCH("Pas op",G104)))</formula>
    </cfRule>
  </conditionalFormatting>
  <conditionalFormatting sqref="G176:G1048576">
    <cfRule type="containsText" dxfId="9" priority="2" operator="containsText" text="Pas op">
      <formula>NOT(ISERROR(SEARCH("Pas op",G176)))</formula>
    </cfRule>
  </conditionalFormatting>
  <dataValidations count="3">
    <dataValidation type="list" allowBlank="1" showInputMessage="1" showErrorMessage="1" sqref="C14" xr:uid="{BD364A92-DBFA-4156-8147-B528FE9496B4}">
      <formula1>"Nee,Ja,Geen warmte"</formula1>
    </dataValidation>
    <dataValidation type="list" allowBlank="1" showInputMessage="1" showErrorMessage="1" sqref="C7" xr:uid="{1E0EAD1B-53FB-475D-9119-5E1FFA21F1C4}">
      <formula1>"t CO2,kWh"</formula1>
    </dataValidation>
    <dataValidation type="list" allowBlank="1" showInputMessage="1" showErrorMessage="1" sqref="C37353 C102889 C168425 C233961 C299497 C365033 C430569 C496105 C561641 C627177 C692713 C758249 C823785 C889321 C954857" xr:uid="{D15D83BE-D081-47E6-BBAB-7A9B3DBC29B7}">
      <formula1>"ja,nee"</formula1>
    </dataValidation>
  </dataValidations>
  <pageMargins left="0.7" right="0.7" top="0.75" bottom="0.75" header="0.3" footer="0.3"/>
  <pageSetup paperSize="9" scale="14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BDFBA8-6DCD-4F6A-8359-C21060D5F333}">
  <sheetPr>
    <pageSetUpPr fitToPage="1"/>
  </sheetPr>
  <dimension ref="A1:AR190"/>
  <sheetViews>
    <sheetView showGridLines="0" zoomScaleNormal="100" workbookViewId="0"/>
  </sheetViews>
  <sheetFormatPr defaultColWidth="12.5703125" defaultRowHeight="12.75" x14ac:dyDescent="0.2"/>
  <cols>
    <col min="1" max="1" width="1.42578125" style="244" customWidth="1"/>
    <col min="2" max="2" width="53.42578125" style="244" customWidth="1"/>
    <col min="3" max="3" width="17.5703125" style="17" customWidth="1"/>
    <col min="4" max="4" width="29.42578125" style="17" bestFit="1" customWidth="1"/>
    <col min="5" max="5" width="20.42578125" style="244" customWidth="1"/>
    <col min="6" max="12" width="12.5703125" style="244" customWidth="1"/>
    <col min="13" max="13" width="15.42578125" style="244" customWidth="1"/>
    <col min="14" max="43" width="12.5703125" style="244" customWidth="1"/>
    <col min="44" max="16384" width="12.5703125" style="244"/>
  </cols>
  <sheetData>
    <row r="1" spans="1:44" ht="20.100000000000001" customHeight="1" x14ac:dyDescent="0.3">
      <c r="A1" s="16" t="str">
        <f>CONCATENATE("Berekening basisbedragen: ", Colofon!C16)</f>
        <v>Berekening basisbedragen: Advies TOWOZ 2026</v>
      </c>
    </row>
    <row r="2" spans="1:44" s="18" customFormat="1" ht="20.100000000000001" customHeight="1" x14ac:dyDescent="0.3">
      <c r="A2" s="142" t="s">
        <v>272</v>
      </c>
      <c r="C2" s="19"/>
      <c r="D2" s="19"/>
      <c r="G2" s="20"/>
    </row>
    <row r="4" spans="1:44" ht="15" customHeight="1" x14ac:dyDescent="0.25">
      <c r="B4" s="56" t="s">
        <v>124</v>
      </c>
      <c r="C4" s="57" t="s">
        <v>37</v>
      </c>
      <c r="D4" s="57" t="s">
        <v>114</v>
      </c>
      <c r="E4" s="262" t="s">
        <v>31</v>
      </c>
      <c r="F4" s="263"/>
      <c r="G4" s="263"/>
      <c r="H4" s="263"/>
      <c r="I4" s="263"/>
      <c r="J4" s="263"/>
      <c r="K4" s="263"/>
      <c r="L4" s="263"/>
      <c r="M4" s="255"/>
    </row>
    <row r="5" spans="1:44" ht="12.95" customHeight="1" x14ac:dyDescent="0.25">
      <c r="B5" s="50" t="s">
        <v>28</v>
      </c>
      <c r="C5" s="281">
        <f>ROUND((C157-C149)/C150,4)</f>
        <v>0.1042</v>
      </c>
      <c r="D5" s="52" t="str">
        <f>CONCATENATE("Euro/",$C$7)</f>
        <v>Euro/kWh</v>
      </c>
      <c r="E5" s="264" t="s">
        <v>125</v>
      </c>
      <c r="F5" s="265"/>
      <c r="G5" s="265"/>
      <c r="H5" s="265"/>
      <c r="I5" s="265"/>
      <c r="J5" s="265"/>
      <c r="K5" s="265"/>
      <c r="L5" s="265"/>
      <c r="M5" s="266"/>
    </row>
    <row r="6" spans="1:44" ht="12.95" customHeight="1" x14ac:dyDescent="0.25">
      <c r="B6" s="50" t="s">
        <v>27</v>
      </c>
      <c r="C6" s="71">
        <f>(ROUND(C5,4)-(ROUND(C164,4)+ROUND(C166,4)+ROUND(C167,4)+ROUND(C169,4)))/ROUND(C70,4)*1000</f>
        <v>217.3086067522587</v>
      </c>
      <c r="D6" s="53" t="s">
        <v>126</v>
      </c>
      <c r="E6" s="264" t="s">
        <v>127</v>
      </c>
      <c r="F6" s="265"/>
      <c r="G6" s="265"/>
      <c r="H6" s="265"/>
      <c r="I6" s="265"/>
      <c r="J6" s="265"/>
      <c r="K6" s="265"/>
      <c r="L6" s="265"/>
      <c r="M6" s="266"/>
    </row>
    <row r="7" spans="1:44" ht="12.95" customHeight="1" x14ac:dyDescent="0.2">
      <c r="B7" s="50" t="s">
        <v>34</v>
      </c>
      <c r="C7" s="79" t="s">
        <v>35</v>
      </c>
      <c r="D7" s="54"/>
      <c r="E7" s="137" t="s">
        <v>128</v>
      </c>
      <c r="F7" s="137"/>
      <c r="G7" s="137"/>
      <c r="H7" s="137"/>
      <c r="I7" s="137"/>
      <c r="J7" s="137"/>
      <c r="K7" s="137"/>
      <c r="L7" s="137"/>
      <c r="M7" s="243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</row>
    <row r="8" spans="1:44" ht="12.95" customHeight="1" x14ac:dyDescent="0.25">
      <c r="B8" s="50" t="s">
        <v>36</v>
      </c>
      <c r="C8" s="72" t="str">
        <f>IF(C7="kWh","kW",IF(C7="t CO2","t CO2/uur","foutmelding"))</f>
        <v>kW</v>
      </c>
      <c r="D8" s="54"/>
      <c r="E8" s="264"/>
      <c r="F8" s="265"/>
      <c r="G8" s="265"/>
      <c r="H8" s="265"/>
      <c r="I8" s="265"/>
      <c r="J8" s="265"/>
      <c r="K8" s="265"/>
      <c r="L8" s="265"/>
      <c r="M8" s="266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/>
      <c r="AO8" s="21"/>
      <c r="AP8" s="21"/>
      <c r="AQ8" s="21"/>
      <c r="AR8" s="21"/>
    </row>
    <row r="9" spans="1:44" ht="12.95" customHeight="1" x14ac:dyDescent="0.2">
      <c r="B9" s="51" t="s">
        <v>18</v>
      </c>
      <c r="C9" s="80" t="s">
        <v>21</v>
      </c>
      <c r="D9" s="55"/>
      <c r="E9" s="138" t="s">
        <v>129</v>
      </c>
      <c r="F9" s="138"/>
      <c r="G9" s="138"/>
      <c r="H9" s="138"/>
      <c r="I9" s="138"/>
      <c r="J9" s="138"/>
      <c r="K9" s="138"/>
      <c r="L9" s="138"/>
      <c r="M9" s="246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</row>
    <row r="10" spans="1:44" s="22" customFormat="1" ht="12.95" customHeight="1" x14ac:dyDescent="0.2">
      <c r="B10" s="21"/>
      <c r="C10" s="21"/>
      <c r="D10" s="21"/>
      <c r="E10" s="23"/>
      <c r="F10" s="23"/>
      <c r="G10" s="23"/>
      <c r="H10" s="23"/>
      <c r="I10" s="23"/>
      <c r="J10" s="23"/>
      <c r="K10" s="23"/>
      <c r="L10" s="23"/>
      <c r="M10" s="23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/>
      <c r="AP10" s="21"/>
      <c r="AQ10" s="21"/>
      <c r="AR10" s="21"/>
    </row>
    <row r="11" spans="1:44" ht="12.95" customHeight="1" x14ac:dyDescent="0.25">
      <c r="B11" s="56" t="s">
        <v>130</v>
      </c>
      <c r="C11" s="57" t="s">
        <v>37</v>
      </c>
      <c r="D11" s="57" t="s">
        <v>131</v>
      </c>
      <c r="E11" s="262" t="s">
        <v>31</v>
      </c>
      <c r="F11" s="263"/>
      <c r="G11" s="263"/>
      <c r="H11" s="263"/>
      <c r="I11" s="263"/>
      <c r="J11" s="263"/>
      <c r="K11" s="263"/>
      <c r="L11" s="263"/>
      <c r="M11" s="255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</row>
    <row r="12" spans="1:44" ht="12.95" customHeight="1" x14ac:dyDescent="0.25">
      <c r="B12" s="58" t="s">
        <v>38</v>
      </c>
      <c r="C12" s="140" t="s">
        <v>253</v>
      </c>
      <c r="D12" s="59" t="str">
        <f>_xlfn.XLOOKUP(C12,Correcties!A3:A3,Correcties!B3:B3,"")</f>
        <v>Elektriciteiit-WOZ (vanaf 2025)</v>
      </c>
      <c r="E12" s="267" t="str">
        <f>IFERROR(INDEX(Correcties!$A$1:$I$244,MATCH('N1 (a)'!C12,Correcties!$A$1:$A$244,0),5),"")</f>
        <v>EPEX2 x PF_WOZ</v>
      </c>
      <c r="F12" s="263"/>
      <c r="G12" s="263"/>
      <c r="H12" s="263"/>
      <c r="I12" s="263"/>
      <c r="J12" s="263"/>
      <c r="K12" s="263"/>
      <c r="L12" s="263"/>
      <c r="M12" s="255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</row>
    <row r="13" spans="1:44" ht="12.95" customHeight="1" x14ac:dyDescent="0.25">
      <c r="B13" s="50" t="s">
        <v>39</v>
      </c>
      <c r="C13" s="140">
        <v>0</v>
      </c>
      <c r="D13" s="60" t="str">
        <f>_xlfn.XLOOKUP(C13,Correcties!A14:A14,Correcties!B14:B14)</f>
        <v>Geen ETS-correctie</v>
      </c>
      <c r="E13" s="264">
        <f>_xlfn.XLOOKUP(C13,Correcties!A14:A14,Correcties!E14:E14)</f>
        <v>0</v>
      </c>
      <c r="F13" s="265"/>
      <c r="G13" s="265"/>
      <c r="H13" s="265"/>
      <c r="I13" s="265"/>
      <c r="J13" s="265"/>
      <c r="K13" s="265"/>
      <c r="L13" s="265"/>
      <c r="M13" s="266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</row>
    <row r="14" spans="1:44" ht="12.95" customHeight="1" x14ac:dyDescent="0.2">
      <c r="B14" s="50" t="s">
        <v>132</v>
      </c>
      <c r="C14" s="79" t="s">
        <v>40</v>
      </c>
      <c r="D14" s="60" t="s">
        <v>133</v>
      </c>
      <c r="E14" s="137" t="s">
        <v>134</v>
      </c>
      <c r="F14" s="137"/>
      <c r="G14" s="137"/>
      <c r="H14" s="137"/>
      <c r="I14" s="137"/>
      <c r="J14" s="137"/>
      <c r="K14" s="137"/>
      <c r="L14" s="137"/>
      <c r="M14" s="243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</row>
    <row r="15" spans="1:44" ht="15" customHeight="1" x14ac:dyDescent="0.25">
      <c r="B15" s="50" t="s">
        <v>41</v>
      </c>
      <c r="C15" s="140"/>
      <c r="D15" s="53" t="str">
        <f>_xlfn.XLOOKUP(C15,Correcties!A3:A3,Correcties!B3:B3,"")</f>
        <v/>
      </c>
      <c r="E15" s="264" t="str">
        <f>"Enkel relevant voor zon-pv. "&amp;_xlfn.XLOOKUP(C15,Correcties!A3:A3,Correcties!E3:E3,"")</f>
        <v xml:space="preserve">Enkel relevant voor zon-pv. </v>
      </c>
      <c r="F15" s="265"/>
      <c r="G15" s="265"/>
      <c r="H15" s="265"/>
      <c r="I15" s="265"/>
      <c r="J15" s="265"/>
      <c r="K15" s="265"/>
      <c r="L15" s="265"/>
      <c r="M15" s="266"/>
    </row>
    <row r="16" spans="1:44" ht="15" customHeight="1" x14ac:dyDescent="0.25">
      <c r="B16" s="50" t="s">
        <v>42</v>
      </c>
      <c r="C16" s="140"/>
      <c r="D16" s="53" t="str">
        <f>_xlfn.XLOOKUP(C16,Correcties!A3:A3,Correcties!B3:B3,"")</f>
        <v/>
      </c>
      <c r="E16" s="264" t="str">
        <f>"Enkel relevant voor zon-pv. "&amp;_xlfn.XLOOKUP(C16,Correcties!A3:A3,Correcties!E3:E3,"")</f>
        <v xml:space="preserve">Enkel relevant voor zon-pv. </v>
      </c>
      <c r="F16" s="265"/>
      <c r="G16" s="265"/>
      <c r="H16" s="265"/>
      <c r="I16" s="265"/>
      <c r="J16" s="265"/>
      <c r="K16" s="265"/>
      <c r="L16" s="265"/>
      <c r="M16" s="266"/>
    </row>
    <row r="17" spans="2:13" ht="15" customHeight="1" x14ac:dyDescent="0.25">
      <c r="B17" s="50" t="s">
        <v>43</v>
      </c>
      <c r="C17" s="81"/>
      <c r="D17" s="53"/>
      <c r="E17" s="264" t="s">
        <v>135</v>
      </c>
      <c r="F17" s="265"/>
      <c r="G17" s="265"/>
      <c r="H17" s="265"/>
      <c r="I17" s="265"/>
      <c r="J17" s="265"/>
      <c r="K17" s="265"/>
      <c r="L17" s="265"/>
      <c r="M17" s="266"/>
    </row>
    <row r="18" spans="2:13" ht="15" customHeight="1" x14ac:dyDescent="0.25">
      <c r="B18" s="51" t="s">
        <v>44</v>
      </c>
      <c r="C18" s="82"/>
      <c r="D18" s="61"/>
      <c r="E18" s="268" t="s">
        <v>136</v>
      </c>
      <c r="F18" s="269"/>
      <c r="G18" s="269"/>
      <c r="H18" s="269"/>
      <c r="I18" s="269"/>
      <c r="J18" s="269"/>
      <c r="K18" s="269"/>
      <c r="L18" s="269"/>
      <c r="M18" s="270"/>
    </row>
    <row r="19" spans="2:13" x14ac:dyDescent="0.2">
      <c r="C19" s="24"/>
    </row>
    <row r="20" spans="2:13" ht="15" customHeight="1" x14ac:dyDescent="0.25">
      <c r="B20" s="56" t="s">
        <v>137</v>
      </c>
      <c r="C20" s="57" t="s">
        <v>37</v>
      </c>
      <c r="D20" s="57" t="s">
        <v>114</v>
      </c>
      <c r="E20" s="262" t="s">
        <v>31</v>
      </c>
      <c r="F20" s="263"/>
      <c r="G20" s="263"/>
      <c r="H20" s="263"/>
      <c r="I20" s="263"/>
      <c r="J20" s="263"/>
      <c r="K20" s="263"/>
      <c r="L20" s="263"/>
      <c r="M20" s="255"/>
    </row>
    <row r="21" spans="2:13" ht="15" customHeight="1" x14ac:dyDescent="0.25">
      <c r="B21" s="50" t="s">
        <v>45</v>
      </c>
      <c r="C21" s="79"/>
      <c r="D21" s="52" t="str">
        <f>C8</f>
        <v>kW</v>
      </c>
      <c r="E21" s="264"/>
      <c r="F21" s="265"/>
      <c r="G21" s="265"/>
      <c r="H21" s="265"/>
      <c r="I21" s="265"/>
      <c r="J21" s="265"/>
      <c r="K21" s="265"/>
      <c r="L21" s="265"/>
      <c r="M21" s="266"/>
    </row>
    <row r="22" spans="2:13" ht="12.95" customHeight="1" x14ac:dyDescent="0.25">
      <c r="B22" s="50" t="s">
        <v>46</v>
      </c>
      <c r="C22" s="178"/>
      <c r="D22" s="52"/>
      <c r="E22" s="264" t="s">
        <v>138</v>
      </c>
      <c r="F22" s="265"/>
      <c r="G22" s="265"/>
      <c r="H22" s="265"/>
      <c r="I22" s="265"/>
      <c r="J22" s="265"/>
      <c r="K22" s="265"/>
      <c r="L22" s="265"/>
      <c r="M22" s="266"/>
    </row>
    <row r="23" spans="2:13" x14ac:dyDescent="0.2">
      <c r="B23" s="50" t="s">
        <v>47</v>
      </c>
      <c r="C23" s="79"/>
      <c r="D23" s="53"/>
      <c r="E23" s="137" t="s">
        <v>139</v>
      </c>
      <c r="F23" s="137"/>
      <c r="G23" s="137"/>
      <c r="H23" s="137"/>
      <c r="I23" s="137"/>
      <c r="J23" s="137"/>
      <c r="K23" s="137"/>
      <c r="L23" s="137"/>
      <c r="M23" s="243"/>
    </row>
    <row r="24" spans="2:13" ht="15" customHeight="1" x14ac:dyDescent="0.25">
      <c r="B24" s="62" t="s">
        <v>140</v>
      </c>
      <c r="C24" s="83"/>
      <c r="D24" s="53"/>
      <c r="E24" s="264" t="s">
        <v>141</v>
      </c>
      <c r="F24" s="265"/>
      <c r="G24" s="265"/>
      <c r="H24" s="265"/>
      <c r="I24" s="265"/>
      <c r="J24" s="265"/>
      <c r="K24" s="265"/>
      <c r="L24" s="265"/>
      <c r="M24" s="266"/>
    </row>
    <row r="25" spans="2:13" ht="15" customHeight="1" x14ac:dyDescent="0.25">
      <c r="B25" s="62" t="s">
        <v>142</v>
      </c>
      <c r="C25" s="179">
        <f>IF(C23="JA",IF(C24&lt;&gt;"",C21*C175/C172/C24,0),0)</f>
        <v>0</v>
      </c>
      <c r="D25" s="53" t="s">
        <v>143</v>
      </c>
      <c r="E25" s="264"/>
      <c r="F25" s="265"/>
      <c r="G25" s="265"/>
      <c r="H25" s="265"/>
      <c r="I25" s="265"/>
      <c r="J25" s="265"/>
      <c r="K25" s="265"/>
      <c r="L25" s="265"/>
      <c r="M25" s="266"/>
    </row>
    <row r="26" spans="2:13" ht="15" customHeight="1" x14ac:dyDescent="0.25">
      <c r="B26" s="50" t="s">
        <v>48</v>
      </c>
      <c r="C26" s="79"/>
      <c r="D26" s="52" t="str">
        <f>C8</f>
        <v>kW</v>
      </c>
      <c r="E26" s="264" t="s">
        <v>144</v>
      </c>
      <c r="F26" s="265"/>
      <c r="G26" s="265"/>
      <c r="H26" s="265"/>
      <c r="I26" s="265"/>
      <c r="J26" s="265"/>
      <c r="K26" s="265"/>
      <c r="L26" s="265"/>
      <c r="M26" s="266"/>
    </row>
    <row r="27" spans="2:13" ht="15" customHeight="1" x14ac:dyDescent="0.25">
      <c r="B27" s="62" t="s">
        <v>145</v>
      </c>
      <c r="C27" s="179">
        <f>IF(C23="JA",IF(C26=0,,C26*C175/C173),0)</f>
        <v>0</v>
      </c>
      <c r="D27" s="53" t="s">
        <v>143</v>
      </c>
      <c r="E27" s="264"/>
      <c r="F27" s="265"/>
      <c r="G27" s="265"/>
      <c r="H27" s="265"/>
      <c r="I27" s="265"/>
      <c r="J27" s="265"/>
      <c r="K27" s="265"/>
      <c r="L27" s="265"/>
      <c r="M27" s="266"/>
    </row>
    <row r="28" spans="2:13" ht="15" customHeight="1" x14ac:dyDescent="0.25">
      <c r="B28" s="50" t="s">
        <v>49</v>
      </c>
      <c r="C28" s="84">
        <v>1000000</v>
      </c>
      <c r="D28" s="52" t="str">
        <f>C8</f>
        <v>kW</v>
      </c>
      <c r="E28" s="264" t="s">
        <v>146</v>
      </c>
      <c r="F28" s="265"/>
      <c r="G28" s="265"/>
      <c r="H28" s="265"/>
      <c r="I28" s="265"/>
      <c r="J28" s="265"/>
      <c r="K28" s="265"/>
      <c r="L28" s="265"/>
      <c r="M28" s="266"/>
    </row>
    <row r="29" spans="2:13" ht="15" customHeight="1" x14ac:dyDescent="0.25">
      <c r="B29" s="50" t="s">
        <v>50</v>
      </c>
      <c r="C29" s="84"/>
      <c r="D29" s="53" t="s">
        <v>147</v>
      </c>
      <c r="E29" s="264" t="s">
        <v>148</v>
      </c>
      <c r="F29" s="265"/>
      <c r="G29" s="265"/>
      <c r="H29" s="265"/>
      <c r="I29" s="265"/>
      <c r="J29" s="265"/>
      <c r="K29" s="265"/>
      <c r="L29" s="265"/>
      <c r="M29" s="266"/>
    </row>
    <row r="30" spans="2:13" ht="15" customHeight="1" x14ac:dyDescent="0.25">
      <c r="B30" s="51" t="s">
        <v>51</v>
      </c>
      <c r="C30" s="80">
        <v>3755.72</v>
      </c>
      <c r="D30" s="61" t="s">
        <v>147</v>
      </c>
      <c r="E30" s="268" t="s">
        <v>148</v>
      </c>
      <c r="F30" s="269"/>
      <c r="G30" s="269"/>
      <c r="H30" s="269"/>
      <c r="I30" s="269"/>
      <c r="J30" s="269"/>
      <c r="K30" s="269"/>
      <c r="L30" s="269"/>
      <c r="M30" s="270"/>
    </row>
    <row r="31" spans="2:13" x14ac:dyDescent="0.2">
      <c r="C31" s="25"/>
      <c r="E31" s="141"/>
      <c r="F31" s="141"/>
      <c r="G31" s="141"/>
      <c r="H31" s="141"/>
      <c r="I31" s="141"/>
      <c r="J31" s="141"/>
      <c r="K31" s="141"/>
      <c r="L31" s="141"/>
      <c r="M31" s="141"/>
    </row>
    <row r="32" spans="2:13" ht="15" customHeight="1" x14ac:dyDescent="0.25">
      <c r="B32" s="56" t="s">
        <v>149</v>
      </c>
      <c r="C32" s="57" t="s">
        <v>37</v>
      </c>
      <c r="D32" s="57" t="s">
        <v>114</v>
      </c>
      <c r="E32" s="262" t="s">
        <v>31</v>
      </c>
      <c r="F32" s="263"/>
      <c r="G32" s="263"/>
      <c r="H32" s="263"/>
      <c r="I32" s="263"/>
      <c r="J32" s="263"/>
      <c r="K32" s="263"/>
      <c r="L32" s="263"/>
      <c r="M32" s="255"/>
    </row>
    <row r="33" spans="2:13" ht="15" customHeight="1" x14ac:dyDescent="0.25">
      <c r="B33" s="50" t="s">
        <v>52</v>
      </c>
      <c r="C33" s="180">
        <f>IF(C21&gt;0,C28/C21,IF(C28&gt;0,1,0))</f>
        <v>1</v>
      </c>
      <c r="D33" s="53"/>
      <c r="E33" s="264"/>
      <c r="F33" s="265"/>
      <c r="G33" s="265"/>
      <c r="H33" s="265"/>
      <c r="I33" s="265"/>
      <c r="J33" s="265"/>
      <c r="K33" s="265"/>
      <c r="L33" s="265"/>
      <c r="M33" s="266"/>
    </row>
    <row r="34" spans="2:13" ht="15" customHeight="1" x14ac:dyDescent="0.25">
      <c r="B34" s="50" t="s">
        <v>53</v>
      </c>
      <c r="C34" s="180">
        <f>IF(C28&gt;0,C33-C36*C33*(C26*C29)/(C28*C30),)</f>
        <v>1</v>
      </c>
      <c r="D34" s="53"/>
      <c r="E34" s="264"/>
      <c r="F34" s="265"/>
      <c r="G34" s="265"/>
      <c r="H34" s="265"/>
      <c r="I34" s="265"/>
      <c r="J34" s="265"/>
      <c r="K34" s="265"/>
      <c r="L34" s="265"/>
      <c r="M34" s="266"/>
    </row>
    <row r="35" spans="2:13" ht="15" customHeight="1" x14ac:dyDescent="0.25">
      <c r="B35" s="50" t="s">
        <v>54</v>
      </c>
      <c r="C35" s="73">
        <f>IF(C21&gt;0,C26/C21,0)</f>
        <v>0</v>
      </c>
      <c r="D35" s="53"/>
      <c r="E35" s="264"/>
      <c r="F35" s="265"/>
      <c r="G35" s="265"/>
      <c r="H35" s="265"/>
      <c r="I35" s="265"/>
      <c r="J35" s="265"/>
      <c r="K35" s="265"/>
      <c r="L35" s="265"/>
      <c r="M35" s="266"/>
    </row>
    <row r="36" spans="2:13" ht="15" customHeight="1" x14ac:dyDescent="0.25">
      <c r="B36" s="51" t="s">
        <v>55</v>
      </c>
      <c r="C36" s="86"/>
      <c r="D36" s="61" t="s">
        <v>150</v>
      </c>
      <c r="E36" s="268" t="s">
        <v>151</v>
      </c>
      <c r="F36" s="269"/>
      <c r="G36" s="269"/>
      <c r="H36" s="269"/>
      <c r="I36" s="269"/>
      <c r="J36" s="269"/>
      <c r="K36" s="269"/>
      <c r="L36" s="269"/>
      <c r="M36" s="270"/>
    </row>
    <row r="37" spans="2:13" x14ac:dyDescent="0.2">
      <c r="C37" s="26"/>
      <c r="E37" s="141"/>
      <c r="F37" s="141"/>
      <c r="G37" s="141"/>
      <c r="H37" s="141"/>
      <c r="I37" s="141"/>
      <c r="J37" s="141"/>
      <c r="K37" s="141"/>
      <c r="L37" s="141"/>
      <c r="M37" s="141"/>
    </row>
    <row r="38" spans="2:13" ht="15" customHeight="1" x14ac:dyDescent="0.25">
      <c r="B38" s="56" t="s">
        <v>56</v>
      </c>
      <c r="C38" s="57" t="s">
        <v>37</v>
      </c>
      <c r="D38" s="57" t="s">
        <v>114</v>
      </c>
      <c r="E38" s="262" t="s">
        <v>31</v>
      </c>
      <c r="F38" s="263"/>
      <c r="G38" s="263"/>
      <c r="H38" s="263"/>
      <c r="I38" s="263"/>
      <c r="J38" s="263"/>
      <c r="K38" s="263"/>
      <c r="L38" s="263"/>
      <c r="M38" s="255"/>
    </row>
    <row r="39" spans="2:13" ht="15" customHeight="1" x14ac:dyDescent="0.25">
      <c r="B39" s="63" t="s">
        <v>152</v>
      </c>
      <c r="C39" s="84"/>
      <c r="D39" s="53" t="str">
        <f>CONCATENATE("Euro/",$C$8)</f>
        <v>Euro/kW</v>
      </c>
      <c r="E39" s="264" t="s">
        <v>153</v>
      </c>
      <c r="F39" s="265"/>
      <c r="G39" s="265"/>
      <c r="H39" s="265"/>
      <c r="I39" s="265"/>
      <c r="J39" s="265"/>
      <c r="K39" s="265"/>
      <c r="L39" s="265"/>
      <c r="M39" s="266"/>
    </row>
    <row r="40" spans="2:13" ht="15" customHeight="1" x14ac:dyDescent="0.25">
      <c r="B40" s="63" t="s">
        <v>154</v>
      </c>
      <c r="C40" s="79">
        <v>3037.5838625455672</v>
      </c>
      <c r="D40" s="53" t="str">
        <f>CONCATENATE("Euro/",$C$8)</f>
        <v>Euro/kW</v>
      </c>
      <c r="E40" s="264" t="s">
        <v>277</v>
      </c>
      <c r="F40" s="265"/>
      <c r="G40" s="265"/>
      <c r="H40" s="265"/>
      <c r="I40" s="265"/>
      <c r="J40" s="265"/>
      <c r="K40" s="265"/>
      <c r="L40" s="265"/>
      <c r="M40" s="266"/>
    </row>
    <row r="41" spans="2:13" ht="15" customHeight="1" x14ac:dyDescent="0.25">
      <c r="B41" s="50" t="s">
        <v>57</v>
      </c>
      <c r="C41" s="181">
        <f>((C21*C39+SUM(C26,C28)*C40)*(1+D103*C92))/1000000</f>
        <v>3060.365741514659</v>
      </c>
      <c r="D41" s="53" t="s">
        <v>155</v>
      </c>
      <c r="E41" s="271"/>
      <c r="F41" s="265"/>
      <c r="G41" s="265"/>
      <c r="H41" s="265"/>
      <c r="I41" s="265"/>
      <c r="J41" s="265"/>
      <c r="K41" s="265"/>
      <c r="L41" s="265"/>
      <c r="M41" s="266"/>
    </row>
    <row r="42" spans="2:13" ht="15" customHeight="1" x14ac:dyDescent="0.25">
      <c r="B42" s="63" t="s">
        <v>156</v>
      </c>
      <c r="C42" s="178"/>
      <c r="D42" s="53" t="str">
        <f>CONCATENATE("Euro/",$C$8,"/jaar")</f>
        <v>Euro/kW/jaar</v>
      </c>
      <c r="E42" s="264" t="s">
        <v>157</v>
      </c>
      <c r="F42" s="265"/>
      <c r="G42" s="265"/>
      <c r="H42" s="265"/>
      <c r="I42" s="265"/>
      <c r="J42" s="265"/>
      <c r="K42" s="265"/>
      <c r="L42" s="265"/>
      <c r="M42" s="266"/>
    </row>
    <row r="43" spans="2:13" ht="15" customHeight="1" x14ac:dyDescent="0.25">
      <c r="B43" s="63" t="s">
        <v>158</v>
      </c>
      <c r="C43" s="178">
        <v>52.612950488608796</v>
      </c>
      <c r="D43" s="53" t="str">
        <f>CONCATENATE("Euro/",$C$8,"/jaar")</f>
        <v>Euro/kW/jaar</v>
      </c>
      <c r="E43" s="264" t="s">
        <v>157</v>
      </c>
      <c r="F43" s="265"/>
      <c r="G43" s="265"/>
      <c r="H43" s="265"/>
      <c r="I43" s="265"/>
      <c r="J43" s="265"/>
      <c r="K43" s="265"/>
      <c r="L43" s="265"/>
      <c r="M43" s="266"/>
    </row>
    <row r="44" spans="2:13" ht="15" customHeight="1" x14ac:dyDescent="0.25">
      <c r="B44" s="50" t="s">
        <v>58</v>
      </c>
      <c r="C44" s="74">
        <f>(C42*C21+C43*SUM(C26,C28))/1000</f>
        <v>52612.950488608789</v>
      </c>
      <c r="D44" s="53" t="s">
        <v>159</v>
      </c>
      <c r="E44" s="271" t="s">
        <v>160</v>
      </c>
      <c r="F44" s="265"/>
      <c r="G44" s="265"/>
      <c r="H44" s="265"/>
      <c r="I44" s="265"/>
      <c r="J44" s="265"/>
      <c r="K44" s="265"/>
      <c r="L44" s="265"/>
      <c r="M44" s="266"/>
    </row>
    <row r="45" spans="2:13" ht="15" customHeight="1" x14ac:dyDescent="0.25">
      <c r="B45" s="50" t="s">
        <v>161</v>
      </c>
      <c r="C45" s="182"/>
      <c r="D45" s="53" t="str">
        <f>CONCATENATE("Euro/",$C$7)</f>
        <v>Euro/kWh</v>
      </c>
      <c r="E45" s="264" t="str">
        <f>CONCATENATE("Het betreft de inkoopkosten voor elektriciteit, per ", $C$7," output")</f>
        <v>Het betreft de inkoopkosten voor elektriciteit, per kWh output</v>
      </c>
      <c r="F45" s="265"/>
      <c r="G45" s="265"/>
      <c r="H45" s="265"/>
      <c r="I45" s="265"/>
      <c r="J45" s="265"/>
      <c r="K45" s="265"/>
      <c r="L45" s="265"/>
      <c r="M45" s="266"/>
    </row>
    <row r="46" spans="2:13" ht="15" customHeight="1" x14ac:dyDescent="0.25">
      <c r="B46" s="50" t="s">
        <v>162</v>
      </c>
      <c r="C46" s="182"/>
      <c r="D46" s="53" t="str">
        <f>CONCATENATE("Euro/",$C$7)</f>
        <v>Euro/kWh</v>
      </c>
      <c r="E46" s="264" t="str">
        <f>CONCATENATE("Het betreft de inkoopkosten voor gas, per ", $C$7," output")</f>
        <v>Het betreft de inkoopkosten voor gas, per kWh output</v>
      </c>
      <c r="F46" s="265"/>
      <c r="G46" s="265"/>
      <c r="H46" s="265"/>
      <c r="I46" s="265"/>
      <c r="J46" s="265"/>
      <c r="K46" s="265"/>
      <c r="L46" s="265"/>
      <c r="M46" s="266"/>
    </row>
    <row r="47" spans="2:13" ht="15" customHeight="1" x14ac:dyDescent="0.25">
      <c r="B47" s="50" t="s">
        <v>163</v>
      </c>
      <c r="C47" s="182"/>
      <c r="D47" s="53" t="str">
        <f>CONCATENATE("Euro/",$C$7)</f>
        <v>Euro/kWh</v>
      </c>
      <c r="E47" s="264" t="str">
        <f>CONCATENATE("Het betreft de inkoopkosten voor warmte, per ", $C$7," output")</f>
        <v>Het betreft de inkoopkosten voor warmte, per kWh output</v>
      </c>
      <c r="F47" s="265"/>
      <c r="G47" s="265"/>
      <c r="H47" s="265"/>
      <c r="I47" s="265"/>
      <c r="J47" s="265"/>
      <c r="K47" s="265"/>
      <c r="L47" s="265"/>
      <c r="M47" s="266"/>
    </row>
    <row r="48" spans="2:13" ht="15" customHeight="1" x14ac:dyDescent="0.25">
      <c r="B48" s="50" t="s">
        <v>59</v>
      </c>
      <c r="C48" s="182">
        <v>0.01</v>
      </c>
      <c r="D48" s="53" t="str">
        <f>CONCATENATE("Euro/",$C$7)</f>
        <v>Euro/kWh</v>
      </c>
      <c r="E48" s="243" t="s">
        <v>275</v>
      </c>
      <c r="M48" s="245"/>
    </row>
    <row r="49" spans="2:13" ht="15" customHeight="1" x14ac:dyDescent="0.25">
      <c r="B49" s="51" t="s">
        <v>164</v>
      </c>
      <c r="C49" s="183">
        <f>SUM(C45:C48)</f>
        <v>0.01</v>
      </c>
      <c r="D49" s="61" t="str">
        <f>CONCATENATE("Euro/",$C$7)</f>
        <v>Euro/kWh</v>
      </c>
      <c r="E49" s="272"/>
      <c r="F49" s="269"/>
      <c r="G49" s="269"/>
      <c r="H49" s="269"/>
      <c r="I49" s="269"/>
      <c r="J49" s="269"/>
      <c r="K49" s="269"/>
      <c r="L49" s="269"/>
      <c r="M49" s="270"/>
    </row>
    <row r="50" spans="2:13" x14ac:dyDescent="0.2">
      <c r="C50" s="26"/>
      <c r="E50" s="141"/>
      <c r="F50" s="141"/>
      <c r="G50" s="141"/>
      <c r="H50" s="141"/>
      <c r="I50" s="141"/>
      <c r="J50" s="141"/>
      <c r="K50" s="141"/>
      <c r="L50" s="141"/>
      <c r="M50" s="141"/>
    </row>
    <row r="51" spans="2:13" ht="15" customHeight="1" x14ac:dyDescent="0.25">
      <c r="B51" s="64" t="s">
        <v>60</v>
      </c>
      <c r="C51" s="57" t="s">
        <v>37</v>
      </c>
      <c r="D51" s="57" t="s">
        <v>114</v>
      </c>
      <c r="E51" s="262" t="s">
        <v>31</v>
      </c>
      <c r="F51" s="263"/>
      <c r="G51" s="263"/>
      <c r="H51" s="263"/>
      <c r="I51" s="263"/>
      <c r="J51" s="263"/>
      <c r="K51" s="263"/>
      <c r="L51" s="263"/>
      <c r="M51" s="255"/>
    </row>
    <row r="52" spans="2:13" ht="15" customHeight="1" x14ac:dyDescent="0.25">
      <c r="B52" s="50" t="s">
        <v>61</v>
      </c>
      <c r="C52" s="81"/>
      <c r="D52" s="53" t="s">
        <v>165</v>
      </c>
      <c r="E52" s="264"/>
      <c r="F52" s="265"/>
      <c r="G52" s="265"/>
      <c r="H52" s="265"/>
      <c r="I52" s="265"/>
      <c r="J52" s="265"/>
      <c r="K52" s="265"/>
      <c r="L52" s="265"/>
      <c r="M52" s="266"/>
    </row>
    <row r="53" spans="2:13" ht="15" customHeight="1" x14ac:dyDescent="0.25">
      <c r="B53" s="50" t="s">
        <v>62</v>
      </c>
      <c r="C53" s="179">
        <f>IF(C52=0,,C21*MAX(C29,C30)*C175/C52/1000)</f>
        <v>0</v>
      </c>
      <c r="D53" s="53" t="s">
        <v>166</v>
      </c>
      <c r="E53" s="273"/>
      <c r="F53" s="265"/>
      <c r="G53" s="265"/>
      <c r="H53" s="265"/>
      <c r="I53" s="265"/>
      <c r="J53" s="265"/>
      <c r="K53" s="265"/>
      <c r="L53" s="265"/>
      <c r="M53" s="266"/>
    </row>
    <row r="54" spans="2:13" ht="15" customHeight="1" x14ac:dyDescent="0.25">
      <c r="B54" s="50" t="s">
        <v>63</v>
      </c>
      <c r="C54" s="87"/>
      <c r="D54" s="53" t="s">
        <v>167</v>
      </c>
      <c r="E54" s="264" t="s">
        <v>168</v>
      </c>
      <c r="F54" s="265"/>
      <c r="G54" s="265"/>
      <c r="H54" s="265"/>
      <c r="I54" s="265"/>
      <c r="J54" s="265"/>
      <c r="K54" s="265"/>
      <c r="L54" s="265"/>
      <c r="M54" s="266"/>
    </row>
    <row r="55" spans="2:13" ht="15" customHeight="1" x14ac:dyDescent="0.25">
      <c r="B55" s="50" t="s">
        <v>64</v>
      </c>
      <c r="C55" s="87"/>
      <c r="D55" s="53" t="str">
        <f>CONCATENATE("kWh/",$C$7)</f>
        <v>kWh/kWh</v>
      </c>
      <c r="E55" s="264"/>
      <c r="F55" s="265"/>
      <c r="G55" s="265"/>
      <c r="H55" s="265"/>
      <c r="I55" s="265"/>
      <c r="J55" s="265"/>
      <c r="K55" s="265"/>
      <c r="L55" s="265"/>
      <c r="M55" s="266"/>
    </row>
    <row r="56" spans="2:13" ht="15" customHeight="1" x14ac:dyDescent="0.25">
      <c r="B56" s="50" t="s">
        <v>65</v>
      </c>
      <c r="C56" s="179">
        <f>IF(C55=0,,MAX(C26,C28)*MAX(C29,C30)*C55*10^(-3))</f>
        <v>0</v>
      </c>
      <c r="D56" s="53" t="s">
        <v>169</v>
      </c>
      <c r="E56" s="264"/>
      <c r="F56" s="265"/>
      <c r="G56" s="265"/>
      <c r="H56" s="265"/>
      <c r="I56" s="265"/>
      <c r="J56" s="265"/>
      <c r="K56" s="265"/>
      <c r="L56" s="265"/>
      <c r="M56" s="266"/>
    </row>
    <row r="57" spans="2:13" ht="15" customHeight="1" x14ac:dyDescent="0.25">
      <c r="B57" s="50" t="s">
        <v>66</v>
      </c>
      <c r="C57" s="87"/>
      <c r="D57" s="53" t="str">
        <f>CONCATENATE("kWh/",$C$7)</f>
        <v>kWh/kWh</v>
      </c>
      <c r="E57" s="264"/>
      <c r="F57" s="265"/>
      <c r="G57" s="265"/>
      <c r="H57" s="265"/>
      <c r="I57" s="265"/>
      <c r="J57" s="265"/>
      <c r="K57" s="265"/>
      <c r="L57" s="265"/>
      <c r="M57" s="266"/>
    </row>
    <row r="58" spans="2:13" ht="15" customHeight="1" x14ac:dyDescent="0.25">
      <c r="B58" s="50" t="s">
        <v>67</v>
      </c>
      <c r="C58" s="179">
        <f>IF(C57=0,,MAX($C$26,$C$28)*MAX($C$29,$C$30)*C57/1000)</f>
        <v>0</v>
      </c>
      <c r="D58" s="53" t="s">
        <v>169</v>
      </c>
      <c r="E58" s="264"/>
      <c r="F58" s="265"/>
      <c r="G58" s="265"/>
      <c r="H58" s="265"/>
      <c r="I58" s="265"/>
      <c r="J58" s="265"/>
      <c r="K58" s="265"/>
      <c r="L58" s="265"/>
      <c r="M58" s="266"/>
    </row>
    <row r="59" spans="2:13" ht="15" customHeight="1" x14ac:dyDescent="0.25">
      <c r="B59" s="50" t="s">
        <v>68</v>
      </c>
      <c r="C59" s="87"/>
      <c r="D59" s="53" t="str">
        <f>CONCATENATE("kWh/",$C$7)</f>
        <v>kWh/kWh</v>
      </c>
      <c r="E59" s="264"/>
      <c r="F59" s="265"/>
      <c r="G59" s="265"/>
      <c r="H59" s="265"/>
      <c r="I59" s="265"/>
      <c r="J59" s="265"/>
      <c r="K59" s="265"/>
      <c r="L59" s="265"/>
      <c r="M59" s="266"/>
    </row>
    <row r="60" spans="2:13" ht="15" customHeight="1" x14ac:dyDescent="0.25">
      <c r="B60" s="51" t="s">
        <v>69</v>
      </c>
      <c r="C60" s="184">
        <f>IF(C59=0,,MAX($C$26,$C$28)*MAX($C$29,$C$30)*C59/1000)</f>
        <v>0</v>
      </c>
      <c r="D60" s="61" t="s">
        <v>169</v>
      </c>
      <c r="E60" s="268"/>
      <c r="F60" s="269"/>
      <c r="G60" s="269"/>
      <c r="H60" s="269"/>
      <c r="I60" s="269"/>
      <c r="J60" s="269"/>
      <c r="K60" s="269"/>
      <c r="L60" s="269"/>
      <c r="M60" s="270"/>
    </row>
    <row r="61" spans="2:13" x14ac:dyDescent="0.2">
      <c r="C61" s="26"/>
      <c r="E61" s="141"/>
      <c r="F61" s="141"/>
      <c r="G61" s="141"/>
      <c r="H61" s="141"/>
      <c r="I61" s="141"/>
      <c r="J61" s="141"/>
      <c r="K61" s="141"/>
      <c r="L61" s="141"/>
      <c r="M61" s="141"/>
    </row>
    <row r="62" spans="2:13" ht="15" customHeight="1" x14ac:dyDescent="0.25">
      <c r="B62" s="64" t="s">
        <v>70</v>
      </c>
      <c r="C62" s="57" t="s">
        <v>37</v>
      </c>
      <c r="D62" s="57" t="s">
        <v>114</v>
      </c>
      <c r="E62" s="262" t="s">
        <v>31</v>
      </c>
      <c r="F62" s="263"/>
      <c r="G62" s="263"/>
      <c r="H62" s="263"/>
      <c r="I62" s="263"/>
      <c r="J62" s="263"/>
      <c r="K62" s="263"/>
      <c r="L62" s="263"/>
      <c r="M62" s="255"/>
    </row>
    <row r="63" spans="2:13" ht="15" customHeight="1" x14ac:dyDescent="0.25">
      <c r="B63" s="50" t="s">
        <v>71</v>
      </c>
      <c r="C63" s="94"/>
      <c r="D63" s="53" t="str">
        <f>IF(AND(C26&gt;0,C23=""),CONCATENATE("kg CO2/",$C$7),"kg CO2/kWh")</f>
        <v>kg CO2/kWh</v>
      </c>
      <c r="E63" s="264"/>
      <c r="F63" s="265"/>
      <c r="G63" s="265"/>
      <c r="H63" s="265"/>
      <c r="I63" s="265"/>
      <c r="J63" s="265"/>
      <c r="K63" s="265"/>
      <c r="L63" s="265"/>
      <c r="M63" s="266"/>
    </row>
    <row r="64" spans="2:13" ht="15" customHeight="1" x14ac:dyDescent="0.25">
      <c r="B64" s="50" t="s">
        <v>72</v>
      </c>
      <c r="C64" s="94">
        <v>8.7999999999999995E-2</v>
      </c>
      <c r="D64" s="53" t="str">
        <f>IF(C28&gt;0,CONCATENATE("kg CO2/",$C$7),"kg CO2/kWh")</f>
        <v>kg CO2/kWh</v>
      </c>
      <c r="E64" s="264"/>
      <c r="F64" s="265"/>
      <c r="G64" s="265"/>
      <c r="H64" s="265"/>
      <c r="I64" s="265"/>
      <c r="J64" s="265"/>
      <c r="K64" s="265"/>
      <c r="L64" s="265"/>
      <c r="M64" s="266"/>
    </row>
    <row r="65" spans="2:13" ht="15" customHeight="1" x14ac:dyDescent="0.25">
      <c r="B65" s="50" t="s">
        <v>73</v>
      </c>
      <c r="C65" s="94"/>
      <c r="D65" s="53" t="str">
        <f>IF(C23="Ja",CONCATENATE("kg CO2/",$C$7),"kg CO2/kWh")</f>
        <v>kg CO2/kWh</v>
      </c>
      <c r="E65" s="264"/>
      <c r="F65" s="265"/>
      <c r="G65" s="265"/>
      <c r="H65" s="265"/>
      <c r="I65" s="265"/>
      <c r="J65" s="265"/>
      <c r="K65" s="265"/>
      <c r="L65" s="265"/>
      <c r="M65" s="266"/>
    </row>
    <row r="66" spans="2:13" ht="15" customHeight="1" x14ac:dyDescent="0.25">
      <c r="B66" s="50" t="s">
        <v>74</v>
      </c>
      <c r="C66" s="87"/>
      <c r="D66" s="53" t="s">
        <v>170</v>
      </c>
      <c r="E66" s="264" t="s">
        <v>171</v>
      </c>
      <c r="F66" s="265"/>
      <c r="G66" s="265"/>
      <c r="H66" s="265"/>
      <c r="I66" s="265"/>
      <c r="J66" s="265"/>
      <c r="K66" s="265"/>
      <c r="L66" s="265"/>
      <c r="M66" s="266"/>
    </row>
    <row r="67" spans="2:13" ht="15" customHeight="1" x14ac:dyDescent="0.25">
      <c r="B67" s="50" t="s">
        <v>75</v>
      </c>
      <c r="C67" s="185"/>
      <c r="D67" s="53" t="s">
        <v>172</v>
      </c>
      <c r="E67" s="264"/>
      <c r="F67" s="265"/>
      <c r="G67" s="265"/>
      <c r="H67" s="265"/>
      <c r="I67" s="265"/>
      <c r="J67" s="265"/>
      <c r="K67" s="265"/>
      <c r="L67" s="265"/>
      <c r="M67" s="266"/>
    </row>
    <row r="68" spans="2:13" ht="15" customHeight="1" x14ac:dyDescent="0.25">
      <c r="B68" s="50" t="s">
        <v>76</v>
      </c>
      <c r="C68" s="185"/>
      <c r="D68" s="53" t="s">
        <v>172</v>
      </c>
      <c r="E68" s="264"/>
      <c r="F68" s="265"/>
      <c r="G68" s="265"/>
      <c r="H68" s="265"/>
      <c r="I68" s="265"/>
      <c r="J68" s="265"/>
      <c r="K68" s="265"/>
      <c r="L68" s="265"/>
      <c r="M68" s="266"/>
    </row>
    <row r="69" spans="2:13" ht="15" customHeight="1" x14ac:dyDescent="0.25">
      <c r="B69" s="50" t="s">
        <v>77</v>
      </c>
      <c r="C69" s="185"/>
      <c r="D69" s="53" t="s">
        <v>172</v>
      </c>
      <c r="E69" s="264"/>
      <c r="F69" s="265"/>
      <c r="G69" s="265"/>
      <c r="H69" s="265"/>
      <c r="I69" s="265"/>
      <c r="J69" s="265"/>
      <c r="K69" s="265"/>
      <c r="L69" s="265"/>
      <c r="M69" s="266"/>
    </row>
    <row r="70" spans="2:13" ht="15" customHeight="1" x14ac:dyDescent="0.25">
      <c r="B70" s="65" t="s">
        <v>173</v>
      </c>
      <c r="C70" s="75">
        <f>ROUND((IF($C$23="Ja",$C$65,($C$64*IF($C$17&gt;0,1/$C$17,1)*$C$28*$C$30+$C$63*$C$26*$C$29)/($C$28*$C$30+$C$26*$C$29))-$C$55*$C$68-$C$57*$C$67-$C$69*$C$59+(-$C$53*$C$66)/(($C$28*$C$30)+($C$26*$C$29)))*C86,4)</f>
        <v>0.21029999999999999</v>
      </c>
      <c r="D70" s="61" t="str">
        <f>CONCATENATE("kg CO2/",$C$7)</f>
        <v>kg CO2/kWh</v>
      </c>
      <c r="E70" s="268"/>
      <c r="F70" s="269"/>
      <c r="G70" s="269"/>
      <c r="H70" s="269"/>
      <c r="I70" s="269"/>
      <c r="J70" s="269"/>
      <c r="K70" s="269"/>
      <c r="L70" s="269"/>
      <c r="M70" s="270"/>
    </row>
    <row r="71" spans="2:13" x14ac:dyDescent="0.2">
      <c r="C71" s="26"/>
      <c r="E71" s="141"/>
      <c r="F71" s="141"/>
      <c r="G71" s="141"/>
      <c r="H71" s="141"/>
      <c r="I71" s="141"/>
      <c r="J71" s="141"/>
      <c r="K71" s="141"/>
      <c r="L71" s="141"/>
      <c r="M71" s="141"/>
    </row>
    <row r="72" spans="2:13" ht="15" customHeight="1" x14ac:dyDescent="0.25">
      <c r="B72" s="64" t="s">
        <v>78</v>
      </c>
      <c r="C72" s="57" t="s">
        <v>37</v>
      </c>
      <c r="D72" s="57" t="s">
        <v>114</v>
      </c>
      <c r="E72" s="262" t="s">
        <v>31</v>
      </c>
      <c r="F72" s="263"/>
      <c r="G72" s="263"/>
      <c r="H72" s="263"/>
      <c r="I72" s="263"/>
      <c r="J72" s="263"/>
      <c r="K72" s="263"/>
      <c r="L72" s="263"/>
      <c r="M72" s="255"/>
    </row>
    <row r="73" spans="2:13" ht="15" customHeight="1" x14ac:dyDescent="0.25">
      <c r="B73" s="50" t="s">
        <v>79</v>
      </c>
      <c r="C73" s="88">
        <v>35</v>
      </c>
      <c r="D73" s="53" t="s">
        <v>174</v>
      </c>
      <c r="E73" s="264" t="s">
        <v>175</v>
      </c>
      <c r="F73" s="265"/>
      <c r="G73" s="265"/>
      <c r="H73" s="265"/>
      <c r="I73" s="265"/>
      <c r="J73" s="265"/>
      <c r="K73" s="265"/>
      <c r="L73" s="265"/>
      <c r="M73" s="266"/>
    </row>
    <row r="74" spans="2:13" ht="15" customHeight="1" x14ac:dyDescent="0.25">
      <c r="B74" s="66" t="s">
        <v>80</v>
      </c>
      <c r="C74" s="95">
        <v>15</v>
      </c>
      <c r="D74" s="53" t="s">
        <v>174</v>
      </c>
      <c r="E74" s="264"/>
      <c r="F74" s="265"/>
      <c r="G74" s="265"/>
      <c r="H74" s="265"/>
      <c r="I74" s="265"/>
      <c r="J74" s="265"/>
      <c r="K74" s="265"/>
      <c r="L74" s="265"/>
      <c r="M74" s="266"/>
    </row>
    <row r="75" spans="2:13" ht="15" customHeight="1" x14ac:dyDescent="0.25">
      <c r="B75" s="66" t="s">
        <v>81</v>
      </c>
      <c r="C75" s="95">
        <v>20</v>
      </c>
      <c r="D75" s="53" t="s">
        <v>174</v>
      </c>
      <c r="E75" s="264"/>
      <c r="F75" s="265"/>
      <c r="G75" s="265"/>
      <c r="H75" s="265"/>
      <c r="I75" s="265"/>
      <c r="J75" s="265"/>
      <c r="K75" s="265"/>
      <c r="L75" s="265"/>
      <c r="M75" s="266"/>
    </row>
    <row r="76" spans="2:13" ht="15" customHeight="1" x14ac:dyDescent="0.25">
      <c r="B76" s="66" t="s">
        <v>82</v>
      </c>
      <c r="C76" s="95">
        <v>15</v>
      </c>
      <c r="D76" s="53" t="s">
        <v>174</v>
      </c>
      <c r="E76" s="264"/>
      <c r="F76" s="265"/>
      <c r="G76" s="265"/>
      <c r="H76" s="265"/>
      <c r="I76" s="265"/>
      <c r="J76" s="265"/>
      <c r="K76" s="265"/>
      <c r="L76" s="265"/>
      <c r="M76" s="266"/>
    </row>
    <row r="77" spans="2:13" ht="15" customHeight="1" x14ac:dyDescent="0.25">
      <c r="B77" s="51" t="s">
        <v>176</v>
      </c>
      <c r="C77" s="85"/>
      <c r="D77" s="61" t="s">
        <v>174</v>
      </c>
      <c r="E77" s="268" t="s">
        <v>177</v>
      </c>
      <c r="F77" s="269"/>
      <c r="G77" s="269"/>
      <c r="H77" s="269"/>
      <c r="I77" s="269"/>
      <c r="J77" s="269"/>
      <c r="K77" s="269"/>
      <c r="L77" s="269"/>
      <c r="M77" s="270"/>
    </row>
    <row r="78" spans="2:13" x14ac:dyDescent="0.2">
      <c r="C78" s="26"/>
      <c r="E78" s="141"/>
      <c r="F78" s="141"/>
      <c r="G78" s="141"/>
      <c r="H78" s="141"/>
      <c r="I78" s="141"/>
      <c r="J78" s="141"/>
      <c r="K78" s="141"/>
      <c r="L78" s="141"/>
      <c r="M78" s="141"/>
    </row>
    <row r="79" spans="2:13" ht="15" customHeight="1" x14ac:dyDescent="0.25">
      <c r="B79" s="64" t="s">
        <v>83</v>
      </c>
      <c r="C79" s="57" t="s">
        <v>37</v>
      </c>
      <c r="D79" s="57" t="s">
        <v>114</v>
      </c>
      <c r="E79" s="262" t="s">
        <v>31</v>
      </c>
      <c r="F79" s="263"/>
      <c r="G79" s="263"/>
      <c r="H79" s="263"/>
      <c r="I79" s="263"/>
      <c r="J79" s="263"/>
      <c r="K79" s="263"/>
      <c r="L79" s="263"/>
      <c r="M79" s="255"/>
    </row>
    <row r="80" spans="2:13" ht="15" customHeight="1" x14ac:dyDescent="0.25">
      <c r="B80" s="50" t="s">
        <v>84</v>
      </c>
      <c r="C80" s="249">
        <f>C164</f>
        <v>5.6540737536000002E-2</v>
      </c>
      <c r="D80" s="53" t="s">
        <v>178</v>
      </c>
      <c r="E80" s="264" t="s">
        <v>251</v>
      </c>
      <c r="F80" s="265"/>
      <c r="G80" s="265"/>
      <c r="H80" s="265"/>
      <c r="I80" s="265"/>
      <c r="J80" s="265"/>
      <c r="K80" s="265"/>
      <c r="L80" s="265"/>
      <c r="M80" s="266"/>
    </row>
    <row r="81" spans="2:13" ht="15" customHeight="1" x14ac:dyDescent="0.25">
      <c r="B81" s="50" t="s">
        <v>85</v>
      </c>
      <c r="C81" s="88">
        <v>3915.72</v>
      </c>
      <c r="D81" s="53" t="s">
        <v>147</v>
      </c>
      <c r="E81" s="264"/>
      <c r="F81" s="265"/>
      <c r="G81" s="265"/>
      <c r="H81" s="265"/>
      <c r="I81" s="265"/>
      <c r="J81" s="265"/>
      <c r="K81" s="265"/>
      <c r="L81" s="265"/>
      <c r="M81" s="266"/>
    </row>
    <row r="82" spans="2:13" ht="15" customHeight="1" x14ac:dyDescent="0.25">
      <c r="B82" s="50" t="s">
        <v>86</v>
      </c>
      <c r="C82" s="27"/>
      <c r="D82" s="53" t="s">
        <v>178</v>
      </c>
      <c r="E82" s="264"/>
      <c r="F82" s="265"/>
      <c r="G82" s="265"/>
      <c r="H82" s="265"/>
      <c r="I82" s="265"/>
      <c r="J82" s="265"/>
      <c r="K82" s="265"/>
      <c r="L82" s="265"/>
      <c r="M82" s="266"/>
    </row>
    <row r="83" spans="2:13" ht="15" customHeight="1" x14ac:dyDescent="0.25">
      <c r="B83" s="50" t="s">
        <v>87</v>
      </c>
      <c r="C83" s="87"/>
      <c r="D83" s="53" t="s">
        <v>147</v>
      </c>
      <c r="E83" s="264"/>
      <c r="F83" s="265"/>
      <c r="G83" s="265"/>
      <c r="H83" s="265"/>
      <c r="I83" s="265"/>
      <c r="J83" s="265"/>
      <c r="K83" s="265"/>
      <c r="L83" s="265"/>
      <c r="M83" s="266"/>
    </row>
    <row r="84" spans="2:13" ht="15" customHeight="1" x14ac:dyDescent="0.25">
      <c r="B84" s="50" t="s">
        <v>179</v>
      </c>
      <c r="C84" s="76">
        <f>SUM(E117:INDEX(E117:AR117,1,C76))</f>
        <v>56335800000</v>
      </c>
      <c r="D84" s="52" t="str">
        <f>C7</f>
        <v>kWh</v>
      </c>
      <c r="E84" s="264"/>
      <c r="F84" s="265"/>
      <c r="G84" s="265"/>
      <c r="H84" s="265"/>
      <c r="I84" s="265"/>
      <c r="J84" s="265"/>
      <c r="K84" s="265"/>
      <c r="L84" s="265"/>
      <c r="M84" s="266"/>
    </row>
    <row r="85" spans="2:13" ht="15" customHeight="1" x14ac:dyDescent="0.25">
      <c r="B85" s="67" t="s">
        <v>180</v>
      </c>
      <c r="C85" s="76">
        <f>IF(C77=0,SUM(E117:INDEX(E117:AR117,1,C73)),SUM(E117:INDEX(E117:AR117,1,C77)))</f>
        <v>134650200000</v>
      </c>
      <c r="D85" s="52" t="str">
        <f>C7</f>
        <v>kWh</v>
      </c>
      <c r="E85" s="264"/>
      <c r="F85" s="265"/>
      <c r="G85" s="265"/>
      <c r="H85" s="265"/>
      <c r="I85" s="265"/>
      <c r="J85" s="265"/>
      <c r="K85" s="265"/>
      <c r="L85" s="265"/>
      <c r="M85" s="266"/>
    </row>
    <row r="86" spans="2:13" ht="15" customHeight="1" x14ac:dyDescent="0.25">
      <c r="B86" s="68" t="s">
        <v>181</v>
      </c>
      <c r="C86" s="186">
        <f>C85/C84</f>
        <v>2.3901355798621835</v>
      </c>
      <c r="D86" s="61"/>
      <c r="E86" s="268"/>
      <c r="F86" s="269"/>
      <c r="G86" s="269"/>
      <c r="H86" s="269"/>
      <c r="I86" s="269"/>
      <c r="J86" s="269"/>
      <c r="K86" s="269"/>
      <c r="L86" s="269"/>
      <c r="M86" s="270"/>
    </row>
    <row r="87" spans="2:13" x14ac:dyDescent="0.2">
      <c r="C87" s="26"/>
      <c r="E87" s="141"/>
      <c r="F87" s="141"/>
      <c r="G87" s="141"/>
      <c r="H87" s="141"/>
      <c r="I87" s="141"/>
      <c r="J87" s="141"/>
      <c r="K87" s="141"/>
      <c r="L87" s="141"/>
      <c r="M87" s="141"/>
    </row>
    <row r="88" spans="2:13" ht="15" customHeight="1" x14ac:dyDescent="0.25">
      <c r="B88" s="64" t="s">
        <v>182</v>
      </c>
      <c r="C88" s="57" t="s">
        <v>37</v>
      </c>
      <c r="D88" s="57" t="s">
        <v>114</v>
      </c>
      <c r="E88" s="262" t="s">
        <v>31</v>
      </c>
      <c r="F88" s="263"/>
      <c r="G88" s="263"/>
      <c r="H88" s="263"/>
      <c r="I88" s="263"/>
      <c r="J88" s="263"/>
      <c r="K88" s="263"/>
      <c r="L88" s="263"/>
      <c r="M88" s="255"/>
    </row>
    <row r="89" spans="2:13" ht="15" customHeight="1" x14ac:dyDescent="0.25">
      <c r="B89" s="50" t="s">
        <v>88</v>
      </c>
      <c r="C89" s="187">
        <v>0.02</v>
      </c>
      <c r="D89" s="53"/>
      <c r="E89" s="264"/>
      <c r="F89" s="265"/>
      <c r="G89" s="265"/>
      <c r="H89" s="265"/>
      <c r="I89" s="265"/>
      <c r="J89" s="265"/>
      <c r="K89" s="265"/>
      <c r="L89" s="265"/>
      <c r="M89" s="266"/>
    </row>
    <row r="90" spans="2:13" ht="15" customHeight="1" x14ac:dyDescent="0.25">
      <c r="B90" s="50" t="s">
        <v>89</v>
      </c>
      <c r="C90" s="188">
        <v>4.4999999999999998E-2</v>
      </c>
      <c r="D90" s="53"/>
      <c r="E90" s="264"/>
      <c r="F90" s="265"/>
      <c r="G90" s="265"/>
      <c r="H90" s="265"/>
      <c r="I90" s="265"/>
      <c r="J90" s="265"/>
      <c r="K90" s="265"/>
      <c r="L90" s="265"/>
      <c r="M90" s="266"/>
    </row>
    <row r="91" spans="2:13" ht="15" customHeight="1" x14ac:dyDescent="0.25">
      <c r="B91" s="50" t="s">
        <v>90</v>
      </c>
      <c r="C91" s="188">
        <v>0.1</v>
      </c>
      <c r="D91" s="53"/>
      <c r="E91" s="264"/>
      <c r="F91" s="265"/>
      <c r="G91" s="265"/>
      <c r="H91" s="265"/>
      <c r="I91" s="265"/>
      <c r="J91" s="265"/>
      <c r="K91" s="265"/>
      <c r="L91" s="265"/>
      <c r="M91" s="266"/>
    </row>
    <row r="92" spans="2:13" ht="15" customHeight="1" x14ac:dyDescent="0.25">
      <c r="B92" s="66" t="s">
        <v>91</v>
      </c>
      <c r="C92" s="73">
        <f>100%-C93</f>
        <v>0.75</v>
      </c>
      <c r="D92" s="53"/>
      <c r="E92" s="264"/>
      <c r="F92" s="265"/>
      <c r="G92" s="265"/>
      <c r="H92" s="265"/>
      <c r="I92" s="265"/>
      <c r="J92" s="265"/>
      <c r="K92" s="265"/>
      <c r="L92" s="265"/>
      <c r="M92" s="266"/>
    </row>
    <row r="93" spans="2:13" ht="15" customHeight="1" x14ac:dyDescent="0.25">
      <c r="B93" s="50" t="s">
        <v>92</v>
      </c>
      <c r="C93" s="28">
        <v>0.25</v>
      </c>
      <c r="D93" s="53"/>
      <c r="E93" s="264"/>
      <c r="F93" s="265"/>
      <c r="G93" s="265"/>
      <c r="H93" s="265"/>
      <c r="I93" s="265"/>
      <c r="J93" s="265"/>
      <c r="K93" s="265"/>
      <c r="L93" s="265"/>
      <c r="M93" s="266"/>
    </row>
    <row r="94" spans="2:13" ht="15" customHeight="1" x14ac:dyDescent="0.25">
      <c r="B94" s="68" t="s">
        <v>93</v>
      </c>
      <c r="C94" s="189">
        <v>0.25800000000000001</v>
      </c>
      <c r="D94" s="61"/>
      <c r="E94" s="268"/>
      <c r="F94" s="269"/>
      <c r="G94" s="269"/>
      <c r="H94" s="269"/>
      <c r="I94" s="269"/>
      <c r="J94" s="269"/>
      <c r="K94" s="269"/>
      <c r="L94" s="269"/>
      <c r="M94" s="270"/>
    </row>
    <row r="95" spans="2:13" x14ac:dyDescent="0.2">
      <c r="C95" s="26"/>
      <c r="E95" s="141"/>
      <c r="F95" s="141"/>
      <c r="G95" s="141"/>
      <c r="H95" s="141"/>
      <c r="I95" s="141"/>
      <c r="J95" s="141"/>
      <c r="K95" s="141"/>
      <c r="L95" s="141"/>
      <c r="M95" s="141"/>
    </row>
    <row r="96" spans="2:13" ht="15" customHeight="1" x14ac:dyDescent="0.25">
      <c r="B96" s="64" t="s">
        <v>94</v>
      </c>
      <c r="C96" s="57" t="s">
        <v>37</v>
      </c>
      <c r="D96" s="57" t="s">
        <v>114</v>
      </c>
      <c r="E96" s="262" t="s">
        <v>31</v>
      </c>
      <c r="F96" s="263"/>
      <c r="G96" s="263"/>
      <c r="H96" s="263"/>
      <c r="I96" s="263"/>
      <c r="J96" s="263"/>
      <c r="K96" s="263"/>
      <c r="L96" s="263"/>
      <c r="M96" s="255"/>
    </row>
    <row r="97" spans="1:44" ht="15" customHeight="1" x14ac:dyDescent="0.25">
      <c r="B97" s="50" t="s">
        <v>95</v>
      </c>
      <c r="C97" s="29"/>
      <c r="D97" s="53" t="s">
        <v>183</v>
      </c>
      <c r="E97" s="264"/>
      <c r="F97" s="265"/>
      <c r="G97" s="265"/>
      <c r="H97" s="265"/>
      <c r="I97" s="265"/>
      <c r="J97" s="265"/>
      <c r="K97" s="265"/>
      <c r="L97" s="265"/>
      <c r="M97" s="266"/>
    </row>
    <row r="98" spans="1:44" ht="15" customHeight="1" x14ac:dyDescent="0.25">
      <c r="B98" s="51" t="s">
        <v>96</v>
      </c>
      <c r="C98" s="30"/>
      <c r="D98" s="61" t="s">
        <v>183</v>
      </c>
      <c r="E98" s="268"/>
      <c r="F98" s="269"/>
      <c r="G98" s="269"/>
      <c r="H98" s="269"/>
      <c r="I98" s="269"/>
      <c r="J98" s="269"/>
      <c r="K98" s="269"/>
      <c r="L98" s="269"/>
      <c r="M98" s="270"/>
    </row>
    <row r="99" spans="1:44" x14ac:dyDescent="0.2">
      <c r="C99" s="26"/>
      <c r="E99" s="141"/>
      <c r="F99" s="141"/>
      <c r="G99" s="141"/>
      <c r="H99" s="141"/>
      <c r="I99" s="141"/>
      <c r="J99" s="141"/>
      <c r="K99" s="141"/>
      <c r="L99" s="141"/>
      <c r="M99" s="141"/>
    </row>
    <row r="100" spans="1:44" ht="15" customHeight="1" x14ac:dyDescent="0.25">
      <c r="B100" s="56" t="s">
        <v>97</v>
      </c>
      <c r="C100" s="57" t="s">
        <v>15</v>
      </c>
      <c r="D100" s="57" t="s">
        <v>37</v>
      </c>
      <c r="E100" s="262" t="s">
        <v>31</v>
      </c>
      <c r="F100" s="263"/>
      <c r="G100" s="263"/>
      <c r="H100" s="263"/>
      <c r="I100" s="263"/>
      <c r="J100" s="263"/>
      <c r="K100" s="263"/>
      <c r="L100" s="263"/>
      <c r="M100" s="255"/>
    </row>
    <row r="101" spans="1:44" ht="15" customHeight="1" x14ac:dyDescent="0.25">
      <c r="B101" s="66"/>
      <c r="C101" s="89">
        <v>16</v>
      </c>
      <c r="D101" s="90">
        <f>-283000000/2</f>
        <v>-141500000</v>
      </c>
      <c r="E101" s="264" t="s">
        <v>184</v>
      </c>
      <c r="F101" s="265"/>
      <c r="G101" s="265"/>
      <c r="H101" s="265"/>
      <c r="I101" s="265"/>
      <c r="J101" s="265"/>
      <c r="K101" s="265"/>
      <c r="L101" s="265"/>
      <c r="M101" s="266"/>
    </row>
    <row r="102" spans="1:44" ht="15" customHeight="1" x14ac:dyDescent="0.25">
      <c r="B102" s="69"/>
      <c r="C102" s="91"/>
      <c r="D102" s="92"/>
      <c r="E102" s="268" t="str">
        <f>"De waarde als reële kosten is gedefinieerd in euro van het jaar "&amp;E105&amp;"."</f>
        <v>De waarde als reële kosten is gedefinieerd in euro van het jaar 2026.</v>
      </c>
      <c r="F102" s="269"/>
      <c r="G102" s="269"/>
      <c r="H102" s="269"/>
      <c r="I102" s="269"/>
      <c r="J102" s="269"/>
      <c r="K102" s="269"/>
      <c r="L102" s="269"/>
      <c r="M102" s="270"/>
    </row>
    <row r="103" spans="1:44" ht="15" customHeight="1" x14ac:dyDescent="0.25">
      <c r="B103" s="51" t="s">
        <v>98</v>
      </c>
      <c r="C103" s="31">
        <v>0</v>
      </c>
      <c r="D103" s="164">
        <v>0.01</v>
      </c>
      <c r="E103" s="268" t="s">
        <v>185</v>
      </c>
      <c r="F103" s="269"/>
      <c r="G103" s="269"/>
      <c r="H103" s="269"/>
      <c r="I103" s="269"/>
      <c r="J103" s="269"/>
      <c r="K103" s="269"/>
      <c r="L103" s="269"/>
      <c r="M103" s="270"/>
    </row>
    <row r="104" spans="1:44" x14ac:dyDescent="0.2">
      <c r="E104" s="190"/>
    </row>
    <row r="105" spans="1:44" s="32" customFormat="1" x14ac:dyDescent="0.2">
      <c r="A105" s="244"/>
      <c r="B105" s="56" t="s">
        <v>186</v>
      </c>
      <c r="C105" s="57"/>
      <c r="D105" s="57" t="s">
        <v>114</v>
      </c>
      <c r="E105" s="57">
        <f>Colofon!C29</f>
        <v>2026</v>
      </c>
      <c r="F105" s="57">
        <f t="shared" ref="F105:AR105" si="0">E105+1</f>
        <v>2027</v>
      </c>
      <c r="G105" s="57">
        <f t="shared" si="0"/>
        <v>2028</v>
      </c>
      <c r="H105" s="57">
        <f t="shared" si="0"/>
        <v>2029</v>
      </c>
      <c r="I105" s="57">
        <f t="shared" si="0"/>
        <v>2030</v>
      </c>
      <c r="J105" s="57">
        <f t="shared" si="0"/>
        <v>2031</v>
      </c>
      <c r="K105" s="57">
        <f t="shared" si="0"/>
        <v>2032</v>
      </c>
      <c r="L105" s="57">
        <f t="shared" si="0"/>
        <v>2033</v>
      </c>
      <c r="M105" s="57">
        <f t="shared" si="0"/>
        <v>2034</v>
      </c>
      <c r="N105" s="57">
        <f t="shared" si="0"/>
        <v>2035</v>
      </c>
      <c r="O105" s="57">
        <f t="shared" si="0"/>
        <v>2036</v>
      </c>
      <c r="P105" s="57">
        <f t="shared" si="0"/>
        <v>2037</v>
      </c>
      <c r="Q105" s="57">
        <f t="shared" si="0"/>
        <v>2038</v>
      </c>
      <c r="R105" s="57">
        <f t="shared" si="0"/>
        <v>2039</v>
      </c>
      <c r="S105" s="57">
        <f t="shared" si="0"/>
        <v>2040</v>
      </c>
      <c r="T105" s="57">
        <f t="shared" si="0"/>
        <v>2041</v>
      </c>
      <c r="U105" s="57">
        <f t="shared" si="0"/>
        <v>2042</v>
      </c>
      <c r="V105" s="57">
        <f t="shared" si="0"/>
        <v>2043</v>
      </c>
      <c r="W105" s="57">
        <f t="shared" si="0"/>
        <v>2044</v>
      </c>
      <c r="X105" s="57">
        <f t="shared" si="0"/>
        <v>2045</v>
      </c>
      <c r="Y105" s="57">
        <f t="shared" si="0"/>
        <v>2046</v>
      </c>
      <c r="Z105" s="57">
        <f t="shared" si="0"/>
        <v>2047</v>
      </c>
      <c r="AA105" s="57">
        <f t="shared" si="0"/>
        <v>2048</v>
      </c>
      <c r="AB105" s="57">
        <f t="shared" si="0"/>
        <v>2049</v>
      </c>
      <c r="AC105" s="57">
        <f t="shared" si="0"/>
        <v>2050</v>
      </c>
      <c r="AD105" s="57">
        <f t="shared" si="0"/>
        <v>2051</v>
      </c>
      <c r="AE105" s="57">
        <f t="shared" si="0"/>
        <v>2052</v>
      </c>
      <c r="AF105" s="57">
        <f t="shared" si="0"/>
        <v>2053</v>
      </c>
      <c r="AG105" s="57">
        <f t="shared" si="0"/>
        <v>2054</v>
      </c>
      <c r="AH105" s="57">
        <f t="shared" si="0"/>
        <v>2055</v>
      </c>
      <c r="AI105" s="57">
        <f t="shared" si="0"/>
        <v>2056</v>
      </c>
      <c r="AJ105" s="57">
        <f t="shared" si="0"/>
        <v>2057</v>
      </c>
      <c r="AK105" s="57">
        <f t="shared" si="0"/>
        <v>2058</v>
      </c>
      <c r="AL105" s="57">
        <f t="shared" si="0"/>
        <v>2059</v>
      </c>
      <c r="AM105" s="57">
        <f t="shared" si="0"/>
        <v>2060</v>
      </c>
      <c r="AN105" s="57">
        <f t="shared" si="0"/>
        <v>2061</v>
      </c>
      <c r="AO105" s="57">
        <f t="shared" si="0"/>
        <v>2062</v>
      </c>
      <c r="AP105" s="57">
        <f t="shared" si="0"/>
        <v>2063</v>
      </c>
      <c r="AQ105" s="57">
        <f t="shared" si="0"/>
        <v>2064</v>
      </c>
      <c r="AR105" s="136">
        <f t="shared" si="0"/>
        <v>2065</v>
      </c>
    </row>
    <row r="106" spans="1:44" s="247" customFormat="1" ht="13.5" customHeight="1" x14ac:dyDescent="0.25">
      <c r="B106" s="274" t="s">
        <v>187</v>
      </c>
      <c r="C106" s="275"/>
      <c r="D106" s="191" t="str">
        <f>CONCATENATE("Euro/",$C$7)</f>
        <v>Euro/kWh</v>
      </c>
      <c r="E106" s="93"/>
      <c r="F106" s="192">
        <f t="shared" ref="F106:AR106" si="1">IF(F$111&lt;=$C76,$E$106,)</f>
        <v>0</v>
      </c>
      <c r="G106" s="192">
        <f t="shared" si="1"/>
        <v>0</v>
      </c>
      <c r="H106" s="192">
        <f t="shared" si="1"/>
        <v>0</v>
      </c>
      <c r="I106" s="192">
        <f t="shared" si="1"/>
        <v>0</v>
      </c>
      <c r="J106" s="192">
        <f t="shared" si="1"/>
        <v>0</v>
      </c>
      <c r="K106" s="192">
        <f t="shared" si="1"/>
        <v>0</v>
      </c>
      <c r="L106" s="192">
        <f t="shared" si="1"/>
        <v>0</v>
      </c>
      <c r="M106" s="192">
        <f t="shared" si="1"/>
        <v>0</v>
      </c>
      <c r="N106" s="192">
        <f t="shared" si="1"/>
        <v>0</v>
      </c>
      <c r="O106" s="192">
        <f t="shared" si="1"/>
        <v>0</v>
      </c>
      <c r="P106" s="192">
        <f t="shared" si="1"/>
        <v>0</v>
      </c>
      <c r="Q106" s="192">
        <f t="shared" si="1"/>
        <v>0</v>
      </c>
      <c r="R106" s="192">
        <f t="shared" si="1"/>
        <v>0</v>
      </c>
      <c r="S106" s="192">
        <f t="shared" si="1"/>
        <v>0</v>
      </c>
      <c r="T106" s="192">
        <f t="shared" si="1"/>
        <v>0</v>
      </c>
      <c r="U106" s="192">
        <f t="shared" si="1"/>
        <v>0</v>
      </c>
      <c r="V106" s="192">
        <f t="shared" si="1"/>
        <v>0</v>
      </c>
      <c r="W106" s="192">
        <f t="shared" si="1"/>
        <v>0</v>
      </c>
      <c r="X106" s="192">
        <f t="shared" si="1"/>
        <v>0</v>
      </c>
      <c r="Y106" s="192">
        <f t="shared" si="1"/>
        <v>0</v>
      </c>
      <c r="Z106" s="192">
        <f t="shared" si="1"/>
        <v>0</v>
      </c>
      <c r="AA106" s="192">
        <f t="shared" si="1"/>
        <v>0</v>
      </c>
      <c r="AB106" s="192">
        <f t="shared" si="1"/>
        <v>0</v>
      </c>
      <c r="AC106" s="192">
        <f t="shared" si="1"/>
        <v>0</v>
      </c>
      <c r="AD106" s="192">
        <f t="shared" si="1"/>
        <v>0</v>
      </c>
      <c r="AE106" s="192">
        <f t="shared" si="1"/>
        <v>0</v>
      </c>
      <c r="AF106" s="192">
        <f t="shared" si="1"/>
        <v>0</v>
      </c>
      <c r="AG106" s="192">
        <f t="shared" si="1"/>
        <v>0</v>
      </c>
      <c r="AH106" s="192">
        <f t="shared" si="1"/>
        <v>0</v>
      </c>
      <c r="AI106" s="192">
        <f t="shared" si="1"/>
        <v>0</v>
      </c>
      <c r="AJ106" s="192">
        <f t="shared" si="1"/>
        <v>0</v>
      </c>
      <c r="AK106" s="192">
        <f t="shared" si="1"/>
        <v>0</v>
      </c>
      <c r="AL106" s="192">
        <f t="shared" si="1"/>
        <v>0</v>
      </c>
      <c r="AM106" s="192">
        <f t="shared" si="1"/>
        <v>0</v>
      </c>
      <c r="AN106" s="192">
        <f t="shared" si="1"/>
        <v>0</v>
      </c>
      <c r="AO106" s="192">
        <f t="shared" si="1"/>
        <v>0</v>
      </c>
      <c r="AP106" s="192">
        <f t="shared" si="1"/>
        <v>0</v>
      </c>
      <c r="AQ106" s="192">
        <f t="shared" si="1"/>
        <v>0</v>
      </c>
      <c r="AR106" s="192">
        <f t="shared" si="1"/>
        <v>0</v>
      </c>
    </row>
    <row r="107" spans="1:44" s="247" customFormat="1" ht="13.5" customHeight="1" x14ac:dyDescent="0.25">
      <c r="B107" s="274" t="s">
        <v>188</v>
      </c>
      <c r="C107" s="275"/>
      <c r="D107" s="191" t="str">
        <f>CONCATENATE("Euro/",$C$7)</f>
        <v>Euro/kWh</v>
      </c>
      <c r="E107" s="93"/>
      <c r="F107" s="192">
        <f t="shared" ref="F107:AR107" si="2">IF(F$111&lt;=$C73,$E$107*F108,)</f>
        <v>0</v>
      </c>
      <c r="G107" s="192">
        <f t="shared" si="2"/>
        <v>0</v>
      </c>
      <c r="H107" s="192">
        <f t="shared" si="2"/>
        <v>0</v>
      </c>
      <c r="I107" s="192">
        <f t="shared" si="2"/>
        <v>0</v>
      </c>
      <c r="J107" s="192">
        <f t="shared" si="2"/>
        <v>0</v>
      </c>
      <c r="K107" s="192">
        <f t="shared" si="2"/>
        <v>0</v>
      </c>
      <c r="L107" s="192">
        <f t="shared" si="2"/>
        <v>0</v>
      </c>
      <c r="M107" s="192">
        <f t="shared" si="2"/>
        <v>0</v>
      </c>
      <c r="N107" s="192">
        <f t="shared" si="2"/>
        <v>0</v>
      </c>
      <c r="O107" s="192">
        <f t="shared" si="2"/>
        <v>0</v>
      </c>
      <c r="P107" s="192">
        <f t="shared" si="2"/>
        <v>0</v>
      </c>
      <c r="Q107" s="192">
        <f t="shared" si="2"/>
        <v>0</v>
      </c>
      <c r="R107" s="192">
        <f t="shared" si="2"/>
        <v>0</v>
      </c>
      <c r="S107" s="192">
        <f t="shared" si="2"/>
        <v>0</v>
      </c>
      <c r="T107" s="192">
        <f t="shared" si="2"/>
        <v>0</v>
      </c>
      <c r="U107" s="192">
        <f t="shared" si="2"/>
        <v>0</v>
      </c>
      <c r="V107" s="192">
        <f t="shared" si="2"/>
        <v>0</v>
      </c>
      <c r="W107" s="192">
        <f t="shared" si="2"/>
        <v>0</v>
      </c>
      <c r="X107" s="192">
        <f t="shared" si="2"/>
        <v>0</v>
      </c>
      <c r="Y107" s="192">
        <f t="shared" si="2"/>
        <v>0</v>
      </c>
      <c r="Z107" s="192">
        <f t="shared" si="2"/>
        <v>0</v>
      </c>
      <c r="AA107" s="192">
        <f t="shared" si="2"/>
        <v>0</v>
      </c>
      <c r="AB107" s="192">
        <f t="shared" si="2"/>
        <v>0</v>
      </c>
      <c r="AC107" s="192">
        <f t="shared" si="2"/>
        <v>0</v>
      </c>
      <c r="AD107" s="192">
        <f t="shared" si="2"/>
        <v>0</v>
      </c>
      <c r="AE107" s="192">
        <f t="shared" si="2"/>
        <v>0</v>
      </c>
      <c r="AF107" s="192">
        <f t="shared" si="2"/>
        <v>0</v>
      </c>
      <c r="AG107" s="192">
        <f t="shared" si="2"/>
        <v>0</v>
      </c>
      <c r="AH107" s="192">
        <f t="shared" si="2"/>
        <v>0</v>
      </c>
      <c r="AI107" s="192">
        <f t="shared" si="2"/>
        <v>0</v>
      </c>
      <c r="AJ107" s="192">
        <f t="shared" si="2"/>
        <v>0</v>
      </c>
      <c r="AK107" s="192">
        <f t="shared" si="2"/>
        <v>0</v>
      </c>
      <c r="AL107" s="192">
        <f t="shared" si="2"/>
        <v>0</v>
      </c>
      <c r="AM107" s="192">
        <f t="shared" si="2"/>
        <v>0</v>
      </c>
      <c r="AN107" s="192">
        <f t="shared" si="2"/>
        <v>0</v>
      </c>
      <c r="AO107" s="192">
        <f t="shared" si="2"/>
        <v>0</v>
      </c>
      <c r="AP107" s="192">
        <f t="shared" si="2"/>
        <v>0</v>
      </c>
      <c r="AQ107" s="192">
        <f t="shared" si="2"/>
        <v>0</v>
      </c>
      <c r="AR107" s="192">
        <f t="shared" si="2"/>
        <v>0</v>
      </c>
    </row>
    <row r="108" spans="1:44" x14ac:dyDescent="0.2">
      <c r="B108" s="69" t="s">
        <v>189</v>
      </c>
      <c r="C108" s="193"/>
      <c r="D108" s="193" t="s">
        <v>190</v>
      </c>
      <c r="E108" s="77">
        <f t="shared" ref="E108:AR108" si="3">POWER(1+$C$89,E111-$E$111)</f>
        <v>1</v>
      </c>
      <c r="F108" s="77">
        <f t="shared" si="3"/>
        <v>1.02</v>
      </c>
      <c r="G108" s="77">
        <f t="shared" si="3"/>
        <v>1.0404</v>
      </c>
      <c r="H108" s="77">
        <f t="shared" si="3"/>
        <v>1.0612079999999999</v>
      </c>
      <c r="I108" s="77">
        <f t="shared" si="3"/>
        <v>1.08243216</v>
      </c>
      <c r="J108" s="77">
        <f t="shared" si="3"/>
        <v>1.1040808032</v>
      </c>
      <c r="K108" s="77">
        <f t="shared" si="3"/>
        <v>1.1261624192640001</v>
      </c>
      <c r="L108" s="77">
        <f t="shared" si="3"/>
        <v>1.1486856676492798</v>
      </c>
      <c r="M108" s="77">
        <f t="shared" si="3"/>
        <v>1.1716593810022655</v>
      </c>
      <c r="N108" s="77">
        <f t="shared" si="3"/>
        <v>1.1950925686223108</v>
      </c>
      <c r="O108" s="77">
        <f t="shared" si="3"/>
        <v>1.2189944199947571</v>
      </c>
      <c r="P108" s="77">
        <f t="shared" si="3"/>
        <v>1.243374308394652</v>
      </c>
      <c r="Q108" s="77">
        <f t="shared" si="3"/>
        <v>1.2682417945625453</v>
      </c>
      <c r="R108" s="77">
        <f t="shared" si="3"/>
        <v>1.2936066304537961</v>
      </c>
      <c r="S108" s="77">
        <f t="shared" si="3"/>
        <v>1.3194787630628722</v>
      </c>
      <c r="T108" s="77">
        <f t="shared" si="3"/>
        <v>1.3458683383241292</v>
      </c>
      <c r="U108" s="77">
        <f t="shared" si="3"/>
        <v>1.372785705090612</v>
      </c>
      <c r="V108" s="77">
        <f t="shared" si="3"/>
        <v>1.4002414191924244</v>
      </c>
      <c r="W108" s="77">
        <f t="shared" si="3"/>
        <v>1.4282462475762727</v>
      </c>
      <c r="X108" s="77">
        <f t="shared" si="3"/>
        <v>1.4568111725277981</v>
      </c>
      <c r="Y108" s="77">
        <f t="shared" si="3"/>
        <v>1.4859473959783542</v>
      </c>
      <c r="Z108" s="77">
        <f t="shared" si="3"/>
        <v>1.5156663438979212</v>
      </c>
      <c r="AA108" s="77">
        <f t="shared" si="3"/>
        <v>1.5459796707758797</v>
      </c>
      <c r="AB108" s="77">
        <f t="shared" si="3"/>
        <v>1.576899264191397</v>
      </c>
      <c r="AC108" s="77">
        <f t="shared" si="3"/>
        <v>1.608437249475225</v>
      </c>
      <c r="AD108" s="77">
        <f t="shared" si="3"/>
        <v>1.6406059944647295</v>
      </c>
      <c r="AE108" s="77">
        <f t="shared" si="3"/>
        <v>1.6734181143540243</v>
      </c>
      <c r="AF108" s="77">
        <f t="shared" si="3"/>
        <v>1.7068864766411045</v>
      </c>
      <c r="AG108" s="77">
        <f t="shared" si="3"/>
        <v>1.7410242061739269</v>
      </c>
      <c r="AH108" s="77">
        <f t="shared" si="3"/>
        <v>1.7758446902974052</v>
      </c>
      <c r="AI108" s="77">
        <f t="shared" si="3"/>
        <v>1.8113615841033535</v>
      </c>
      <c r="AJ108" s="77">
        <f t="shared" si="3"/>
        <v>1.8475888157854201</v>
      </c>
      <c r="AK108" s="77">
        <f t="shared" si="3"/>
        <v>1.8845405921011289</v>
      </c>
      <c r="AL108" s="77">
        <f t="shared" si="3"/>
        <v>1.9222314039431516</v>
      </c>
      <c r="AM108" s="77">
        <f t="shared" si="3"/>
        <v>1.9606760320220145</v>
      </c>
      <c r="AN108" s="77">
        <f t="shared" si="3"/>
        <v>1.9998895526624547</v>
      </c>
      <c r="AO108" s="77">
        <f t="shared" si="3"/>
        <v>2.0398873437157037</v>
      </c>
      <c r="AP108" s="77">
        <f t="shared" si="3"/>
        <v>2.080685090590018</v>
      </c>
      <c r="AQ108" s="77">
        <f t="shared" si="3"/>
        <v>2.1222987924018186</v>
      </c>
      <c r="AR108" s="78">
        <f t="shared" si="3"/>
        <v>2.1647447682498542</v>
      </c>
    </row>
    <row r="109" spans="1:44" ht="12.95" customHeight="1" x14ac:dyDescent="0.2"/>
    <row r="110" spans="1:44" ht="12.95" customHeight="1" x14ac:dyDescent="0.25">
      <c r="B110" s="276" t="s">
        <v>191</v>
      </c>
      <c r="C110" s="263"/>
      <c r="D110" s="263"/>
      <c r="E110" s="263"/>
      <c r="F110" s="263"/>
      <c r="G110" s="263"/>
      <c r="H110" s="263"/>
      <c r="I110" s="263"/>
      <c r="J110" s="263"/>
      <c r="K110" s="263"/>
      <c r="L110" s="263"/>
      <c r="M110" s="263"/>
      <c r="N110" s="155"/>
      <c r="O110" s="155"/>
      <c r="P110" s="155"/>
      <c r="Q110" s="155"/>
      <c r="R110" s="155"/>
      <c r="S110" s="155"/>
      <c r="T110" s="155"/>
      <c r="U110" s="155"/>
      <c r="V110" s="155"/>
      <c r="W110" s="155"/>
      <c r="X110" s="155"/>
      <c r="Y110" s="155"/>
      <c r="Z110" s="155"/>
      <c r="AA110" s="155"/>
      <c r="AB110" s="155"/>
      <c r="AC110" s="155"/>
      <c r="AD110" s="155"/>
      <c r="AE110" s="155"/>
      <c r="AF110" s="155"/>
      <c r="AG110" s="155"/>
      <c r="AH110" s="155"/>
      <c r="AI110" s="155"/>
      <c r="AJ110" s="155"/>
      <c r="AK110" s="155"/>
      <c r="AL110" s="155"/>
      <c r="AM110" s="155"/>
      <c r="AN110" s="155"/>
      <c r="AO110" s="155"/>
      <c r="AP110" s="155"/>
      <c r="AQ110" s="155"/>
      <c r="AR110" s="156"/>
    </row>
    <row r="111" spans="1:44" ht="12.95" customHeight="1" x14ac:dyDescent="0.2">
      <c r="B111" s="157" t="s">
        <v>192</v>
      </c>
      <c r="C111" s="143"/>
      <c r="D111" s="144">
        <v>0</v>
      </c>
      <c r="E111" s="144">
        <v>1</v>
      </c>
      <c r="F111" s="144">
        <v>2</v>
      </c>
      <c r="G111" s="144">
        <v>3</v>
      </c>
      <c r="H111" s="144">
        <v>4</v>
      </c>
      <c r="I111" s="144">
        <v>5</v>
      </c>
      <c r="J111" s="144">
        <v>6</v>
      </c>
      <c r="K111" s="144">
        <v>7</v>
      </c>
      <c r="L111" s="144">
        <v>8</v>
      </c>
      <c r="M111" s="144">
        <v>9</v>
      </c>
      <c r="N111" s="144">
        <v>10</v>
      </c>
      <c r="O111" s="144">
        <v>11</v>
      </c>
      <c r="P111" s="144">
        <v>12</v>
      </c>
      <c r="Q111" s="144">
        <v>13</v>
      </c>
      <c r="R111" s="144">
        <v>14</v>
      </c>
      <c r="S111" s="144">
        <v>15</v>
      </c>
      <c r="T111" s="144">
        <v>16</v>
      </c>
      <c r="U111" s="144">
        <v>17</v>
      </c>
      <c r="V111" s="144">
        <v>18</v>
      </c>
      <c r="W111" s="144">
        <v>19</v>
      </c>
      <c r="X111" s="144">
        <v>20</v>
      </c>
      <c r="Y111" s="144">
        <v>21</v>
      </c>
      <c r="Z111" s="144">
        <v>22</v>
      </c>
      <c r="AA111" s="144">
        <v>23</v>
      </c>
      <c r="AB111" s="144">
        <v>24</v>
      </c>
      <c r="AC111" s="144">
        <v>25</v>
      </c>
      <c r="AD111" s="144">
        <v>26</v>
      </c>
      <c r="AE111" s="144">
        <v>27</v>
      </c>
      <c r="AF111" s="144">
        <v>28</v>
      </c>
      <c r="AG111" s="144">
        <v>29</v>
      </c>
      <c r="AH111" s="144">
        <v>30</v>
      </c>
      <c r="AI111" s="144">
        <v>31</v>
      </c>
      <c r="AJ111" s="144">
        <v>32</v>
      </c>
      <c r="AK111" s="144">
        <v>33</v>
      </c>
      <c r="AL111" s="144">
        <v>34</v>
      </c>
      <c r="AM111" s="144">
        <v>35</v>
      </c>
      <c r="AN111" s="144">
        <v>36</v>
      </c>
      <c r="AO111" s="144">
        <v>37</v>
      </c>
      <c r="AP111" s="144">
        <v>38</v>
      </c>
      <c r="AQ111" s="144">
        <v>39</v>
      </c>
      <c r="AR111" s="158">
        <v>40</v>
      </c>
    </row>
    <row r="112" spans="1:44" ht="12.95" customHeight="1" x14ac:dyDescent="0.2">
      <c r="B112" s="50" t="s">
        <v>193</v>
      </c>
      <c r="C112" s="145" t="s">
        <v>183</v>
      </c>
      <c r="D112" s="146">
        <f>-C151</f>
        <v>-3060365741.5146589</v>
      </c>
      <c r="E112" s="147"/>
      <c r="F112" s="147"/>
      <c r="G112" s="147"/>
      <c r="H112" s="147"/>
      <c r="I112" s="147"/>
      <c r="J112" s="147"/>
      <c r="K112" s="147"/>
      <c r="L112" s="147"/>
      <c r="M112" s="147"/>
      <c r="N112" s="147"/>
      <c r="O112" s="147"/>
      <c r="P112" s="147"/>
      <c r="Q112" s="147"/>
      <c r="R112" s="147"/>
      <c r="S112" s="147"/>
      <c r="T112" s="147"/>
      <c r="U112" s="147"/>
      <c r="V112" s="147"/>
      <c r="W112" s="147"/>
      <c r="X112" s="147"/>
      <c r="Y112" s="147"/>
      <c r="Z112" s="147"/>
      <c r="AA112" s="147"/>
      <c r="AB112" s="147"/>
      <c r="AC112" s="147"/>
      <c r="AD112" s="147"/>
      <c r="AE112" s="147"/>
      <c r="AF112" s="147"/>
      <c r="AG112" s="147"/>
      <c r="AH112" s="147"/>
      <c r="AI112" s="147"/>
      <c r="AJ112" s="147"/>
      <c r="AK112" s="147"/>
      <c r="AL112" s="147"/>
      <c r="AM112" s="147"/>
      <c r="AN112" s="147"/>
      <c r="AO112" s="147"/>
      <c r="AP112" s="147"/>
      <c r="AQ112" s="147"/>
      <c r="AR112" s="159"/>
    </row>
    <row r="113" spans="2:44" ht="12.95" customHeight="1" x14ac:dyDescent="0.2">
      <c r="B113" s="157" t="s">
        <v>194</v>
      </c>
      <c r="C113" s="148"/>
      <c r="D113" s="149"/>
      <c r="E113" s="149"/>
      <c r="F113" s="149"/>
      <c r="G113" s="149"/>
      <c r="H113" s="149"/>
      <c r="I113" s="149"/>
      <c r="J113" s="149"/>
      <c r="K113" s="149"/>
      <c r="L113" s="149"/>
      <c r="M113" s="149"/>
      <c r="N113" s="149"/>
      <c r="O113" s="149"/>
      <c r="P113" s="149"/>
      <c r="Q113" s="149"/>
      <c r="R113" s="149"/>
      <c r="S113" s="149"/>
      <c r="T113" s="149"/>
      <c r="U113" s="149"/>
      <c r="V113" s="149"/>
      <c r="W113" s="149"/>
      <c r="X113" s="149"/>
      <c r="Y113" s="149"/>
      <c r="Z113" s="149"/>
      <c r="AA113" s="149"/>
      <c r="AB113" s="149"/>
      <c r="AC113" s="149"/>
      <c r="AD113" s="149"/>
      <c r="AE113" s="149"/>
      <c r="AF113" s="149"/>
      <c r="AG113" s="149"/>
      <c r="AH113" s="149"/>
      <c r="AI113" s="149"/>
      <c r="AJ113" s="149"/>
      <c r="AK113" s="149"/>
      <c r="AL113" s="149"/>
      <c r="AM113" s="149"/>
      <c r="AN113" s="149"/>
      <c r="AO113" s="149"/>
      <c r="AP113" s="149"/>
      <c r="AQ113" s="149"/>
      <c r="AR113" s="160"/>
    </row>
    <row r="114" spans="2:44" x14ac:dyDescent="0.2">
      <c r="B114" s="50" t="s">
        <v>195</v>
      </c>
      <c r="C114" s="150" t="str">
        <f>$C$7</f>
        <v>kWh</v>
      </c>
      <c r="D114" s="145"/>
      <c r="E114" s="194">
        <f t="shared" ref="E114:AR114" si="4">IF(E111&lt;=$C$76,$C$28*$C$30,IF(AND(E111&gt;$C$76,E111&lt;=$C$73),$C$28*$C$81,0))*IF($C$33=0,1,$C$34/$C$33)</f>
        <v>3755720000</v>
      </c>
      <c r="F114" s="194">
        <f t="shared" si="4"/>
        <v>3755720000</v>
      </c>
      <c r="G114" s="194">
        <f t="shared" si="4"/>
        <v>3755720000</v>
      </c>
      <c r="H114" s="194">
        <f t="shared" si="4"/>
        <v>3755720000</v>
      </c>
      <c r="I114" s="194">
        <f t="shared" si="4"/>
        <v>3755720000</v>
      </c>
      <c r="J114" s="194">
        <f t="shared" si="4"/>
        <v>3755720000</v>
      </c>
      <c r="K114" s="194">
        <f t="shared" si="4"/>
        <v>3755720000</v>
      </c>
      <c r="L114" s="194">
        <f t="shared" si="4"/>
        <v>3755720000</v>
      </c>
      <c r="M114" s="194">
        <f t="shared" si="4"/>
        <v>3755720000</v>
      </c>
      <c r="N114" s="194">
        <f t="shared" si="4"/>
        <v>3755720000</v>
      </c>
      <c r="O114" s="194">
        <f t="shared" si="4"/>
        <v>3755720000</v>
      </c>
      <c r="P114" s="194">
        <f t="shared" si="4"/>
        <v>3755720000</v>
      </c>
      <c r="Q114" s="194">
        <f t="shared" si="4"/>
        <v>3755720000</v>
      </c>
      <c r="R114" s="194">
        <f t="shared" si="4"/>
        <v>3755720000</v>
      </c>
      <c r="S114" s="194">
        <f t="shared" si="4"/>
        <v>3755720000</v>
      </c>
      <c r="T114" s="194">
        <f t="shared" si="4"/>
        <v>3915720000</v>
      </c>
      <c r="U114" s="194">
        <f t="shared" si="4"/>
        <v>3915720000</v>
      </c>
      <c r="V114" s="194">
        <f t="shared" si="4"/>
        <v>3915720000</v>
      </c>
      <c r="W114" s="194">
        <f t="shared" si="4"/>
        <v>3915720000</v>
      </c>
      <c r="X114" s="194">
        <f t="shared" si="4"/>
        <v>3915720000</v>
      </c>
      <c r="Y114" s="194">
        <f t="shared" si="4"/>
        <v>3915720000</v>
      </c>
      <c r="Z114" s="194">
        <f t="shared" si="4"/>
        <v>3915720000</v>
      </c>
      <c r="AA114" s="194">
        <f t="shared" si="4"/>
        <v>3915720000</v>
      </c>
      <c r="AB114" s="194">
        <f t="shared" si="4"/>
        <v>3915720000</v>
      </c>
      <c r="AC114" s="194">
        <f t="shared" si="4"/>
        <v>3915720000</v>
      </c>
      <c r="AD114" s="194">
        <f t="shared" si="4"/>
        <v>3915720000</v>
      </c>
      <c r="AE114" s="194">
        <f t="shared" si="4"/>
        <v>3915720000</v>
      </c>
      <c r="AF114" s="194">
        <f t="shared" si="4"/>
        <v>3915720000</v>
      </c>
      <c r="AG114" s="194">
        <f t="shared" si="4"/>
        <v>3915720000</v>
      </c>
      <c r="AH114" s="194">
        <f t="shared" si="4"/>
        <v>3915720000</v>
      </c>
      <c r="AI114" s="194">
        <f t="shared" si="4"/>
        <v>3915720000</v>
      </c>
      <c r="AJ114" s="194">
        <f t="shared" si="4"/>
        <v>3915720000</v>
      </c>
      <c r="AK114" s="194">
        <f t="shared" si="4"/>
        <v>3915720000</v>
      </c>
      <c r="AL114" s="194">
        <f t="shared" si="4"/>
        <v>3915720000</v>
      </c>
      <c r="AM114" s="194">
        <f t="shared" si="4"/>
        <v>3915720000</v>
      </c>
      <c r="AN114" s="194">
        <f t="shared" si="4"/>
        <v>0</v>
      </c>
      <c r="AO114" s="194">
        <f t="shared" si="4"/>
        <v>0</v>
      </c>
      <c r="AP114" s="194">
        <f t="shared" si="4"/>
        <v>0</v>
      </c>
      <c r="AQ114" s="194">
        <f t="shared" si="4"/>
        <v>0</v>
      </c>
      <c r="AR114" s="195">
        <f t="shared" si="4"/>
        <v>0</v>
      </c>
    </row>
    <row r="115" spans="2:44" x14ac:dyDescent="0.2">
      <c r="B115" s="50" t="s">
        <v>196</v>
      </c>
      <c r="C115" s="150" t="str">
        <f>$C$7</f>
        <v>kWh</v>
      </c>
      <c r="D115" s="145"/>
      <c r="E115" s="194">
        <f t="shared" ref="E115:AR115" si="5">IF($C$23="Ja",0,IF(E111&lt;=$C$76,$C$26*$C$29,IF(AND(E111&gt;$C$76,E111&lt;=$C$73),$C$26*$C$83,0)))</f>
        <v>0</v>
      </c>
      <c r="F115" s="194">
        <f t="shared" si="5"/>
        <v>0</v>
      </c>
      <c r="G115" s="194">
        <f t="shared" si="5"/>
        <v>0</v>
      </c>
      <c r="H115" s="194">
        <f t="shared" si="5"/>
        <v>0</v>
      </c>
      <c r="I115" s="194">
        <f t="shared" si="5"/>
        <v>0</v>
      </c>
      <c r="J115" s="194">
        <f t="shared" si="5"/>
        <v>0</v>
      </c>
      <c r="K115" s="194">
        <f t="shared" si="5"/>
        <v>0</v>
      </c>
      <c r="L115" s="194">
        <f t="shared" si="5"/>
        <v>0</v>
      </c>
      <c r="M115" s="194">
        <f t="shared" si="5"/>
        <v>0</v>
      </c>
      <c r="N115" s="194">
        <f t="shared" si="5"/>
        <v>0</v>
      </c>
      <c r="O115" s="194">
        <f t="shared" si="5"/>
        <v>0</v>
      </c>
      <c r="P115" s="194">
        <f t="shared" si="5"/>
        <v>0</v>
      </c>
      <c r="Q115" s="194">
        <f t="shared" si="5"/>
        <v>0</v>
      </c>
      <c r="R115" s="194">
        <f t="shared" si="5"/>
        <v>0</v>
      </c>
      <c r="S115" s="194">
        <f t="shared" si="5"/>
        <v>0</v>
      </c>
      <c r="T115" s="194">
        <f t="shared" si="5"/>
        <v>0</v>
      </c>
      <c r="U115" s="194">
        <f t="shared" si="5"/>
        <v>0</v>
      </c>
      <c r="V115" s="194">
        <f t="shared" si="5"/>
        <v>0</v>
      </c>
      <c r="W115" s="194">
        <f t="shared" si="5"/>
        <v>0</v>
      </c>
      <c r="X115" s="194">
        <f t="shared" si="5"/>
        <v>0</v>
      </c>
      <c r="Y115" s="194">
        <f t="shared" si="5"/>
        <v>0</v>
      </c>
      <c r="Z115" s="194">
        <f t="shared" si="5"/>
        <v>0</v>
      </c>
      <c r="AA115" s="194">
        <f t="shared" si="5"/>
        <v>0</v>
      </c>
      <c r="AB115" s="194">
        <f t="shared" si="5"/>
        <v>0</v>
      </c>
      <c r="AC115" s="194">
        <f t="shared" si="5"/>
        <v>0</v>
      </c>
      <c r="AD115" s="194">
        <f t="shared" si="5"/>
        <v>0</v>
      </c>
      <c r="AE115" s="194">
        <f t="shared" si="5"/>
        <v>0</v>
      </c>
      <c r="AF115" s="194">
        <f t="shared" si="5"/>
        <v>0</v>
      </c>
      <c r="AG115" s="194">
        <f t="shared" si="5"/>
        <v>0</v>
      </c>
      <c r="AH115" s="194">
        <f t="shared" si="5"/>
        <v>0</v>
      </c>
      <c r="AI115" s="194">
        <f t="shared" si="5"/>
        <v>0</v>
      </c>
      <c r="AJ115" s="194">
        <f t="shared" si="5"/>
        <v>0</v>
      </c>
      <c r="AK115" s="194">
        <f t="shared" si="5"/>
        <v>0</v>
      </c>
      <c r="AL115" s="194">
        <f t="shared" si="5"/>
        <v>0</v>
      </c>
      <c r="AM115" s="194">
        <f t="shared" si="5"/>
        <v>0</v>
      </c>
      <c r="AN115" s="194">
        <f t="shared" si="5"/>
        <v>0</v>
      </c>
      <c r="AO115" s="194">
        <f t="shared" si="5"/>
        <v>0</v>
      </c>
      <c r="AP115" s="194">
        <f t="shared" si="5"/>
        <v>0</v>
      </c>
      <c r="AQ115" s="194">
        <f t="shared" si="5"/>
        <v>0</v>
      </c>
      <c r="AR115" s="195">
        <f t="shared" si="5"/>
        <v>0</v>
      </c>
    </row>
    <row r="116" spans="2:44" x14ac:dyDescent="0.2">
      <c r="B116" s="50" t="s">
        <v>197</v>
      </c>
      <c r="C116" s="145" t="s">
        <v>198</v>
      </c>
      <c r="D116" s="145"/>
      <c r="E116" s="194">
        <f t="shared" ref="E116:AR116" si="6">IF(OR(E111&gt;$C$73,$C$23&lt;&gt;"JA"),0,$C$26*$C$29*$C$174/$C$173)</f>
        <v>0</v>
      </c>
      <c r="F116" s="194">
        <f t="shared" si="6"/>
        <v>0</v>
      </c>
      <c r="G116" s="194">
        <f t="shared" si="6"/>
        <v>0</v>
      </c>
      <c r="H116" s="194">
        <f t="shared" si="6"/>
        <v>0</v>
      </c>
      <c r="I116" s="194">
        <f t="shared" si="6"/>
        <v>0</v>
      </c>
      <c r="J116" s="194">
        <f t="shared" si="6"/>
        <v>0</v>
      </c>
      <c r="K116" s="194">
        <f t="shared" si="6"/>
        <v>0</v>
      </c>
      <c r="L116" s="194">
        <f t="shared" si="6"/>
        <v>0</v>
      </c>
      <c r="M116" s="194">
        <f t="shared" si="6"/>
        <v>0</v>
      </c>
      <c r="N116" s="194">
        <f t="shared" si="6"/>
        <v>0</v>
      </c>
      <c r="O116" s="194">
        <f t="shared" si="6"/>
        <v>0</v>
      </c>
      <c r="P116" s="194">
        <f t="shared" si="6"/>
        <v>0</v>
      </c>
      <c r="Q116" s="194">
        <f t="shared" si="6"/>
        <v>0</v>
      </c>
      <c r="R116" s="194">
        <f t="shared" si="6"/>
        <v>0</v>
      </c>
      <c r="S116" s="194">
        <f t="shared" si="6"/>
        <v>0</v>
      </c>
      <c r="T116" s="194">
        <f t="shared" si="6"/>
        <v>0</v>
      </c>
      <c r="U116" s="194">
        <f t="shared" si="6"/>
        <v>0</v>
      </c>
      <c r="V116" s="194">
        <f t="shared" si="6"/>
        <v>0</v>
      </c>
      <c r="W116" s="194">
        <f t="shared" si="6"/>
        <v>0</v>
      </c>
      <c r="X116" s="194">
        <f t="shared" si="6"/>
        <v>0</v>
      </c>
      <c r="Y116" s="194">
        <f t="shared" si="6"/>
        <v>0</v>
      </c>
      <c r="Z116" s="194">
        <f t="shared" si="6"/>
        <v>0</v>
      </c>
      <c r="AA116" s="194">
        <f t="shared" si="6"/>
        <v>0</v>
      </c>
      <c r="AB116" s="194">
        <f t="shared" si="6"/>
        <v>0</v>
      </c>
      <c r="AC116" s="194">
        <f t="shared" si="6"/>
        <v>0</v>
      </c>
      <c r="AD116" s="194">
        <f t="shared" si="6"/>
        <v>0</v>
      </c>
      <c r="AE116" s="194">
        <f t="shared" si="6"/>
        <v>0</v>
      </c>
      <c r="AF116" s="194">
        <f t="shared" si="6"/>
        <v>0</v>
      </c>
      <c r="AG116" s="194">
        <f t="shared" si="6"/>
        <v>0</v>
      </c>
      <c r="AH116" s="194">
        <f t="shared" si="6"/>
        <v>0</v>
      </c>
      <c r="AI116" s="194">
        <f t="shared" si="6"/>
        <v>0</v>
      </c>
      <c r="AJ116" s="194">
        <f t="shared" si="6"/>
        <v>0</v>
      </c>
      <c r="AK116" s="194">
        <f t="shared" si="6"/>
        <v>0</v>
      </c>
      <c r="AL116" s="194">
        <f t="shared" si="6"/>
        <v>0</v>
      </c>
      <c r="AM116" s="194">
        <f t="shared" si="6"/>
        <v>0</v>
      </c>
      <c r="AN116" s="194">
        <f t="shared" si="6"/>
        <v>0</v>
      </c>
      <c r="AO116" s="194">
        <f t="shared" si="6"/>
        <v>0</v>
      </c>
      <c r="AP116" s="194">
        <f t="shared" si="6"/>
        <v>0</v>
      </c>
      <c r="AQ116" s="194">
        <f t="shared" si="6"/>
        <v>0</v>
      </c>
      <c r="AR116" s="195">
        <f t="shared" si="6"/>
        <v>0</v>
      </c>
    </row>
    <row r="117" spans="2:44" x14ac:dyDescent="0.2">
      <c r="B117" s="161" t="s">
        <v>199</v>
      </c>
      <c r="C117" s="151" t="str">
        <f>$C$7</f>
        <v>kWh</v>
      </c>
      <c r="D117" s="152"/>
      <c r="E117" s="196">
        <f t="shared" ref="E117:AR117" si="7">SUM(E114:E116)</f>
        <v>3755720000</v>
      </c>
      <c r="F117" s="196">
        <f t="shared" si="7"/>
        <v>3755720000</v>
      </c>
      <c r="G117" s="196">
        <f t="shared" si="7"/>
        <v>3755720000</v>
      </c>
      <c r="H117" s="196">
        <f t="shared" si="7"/>
        <v>3755720000</v>
      </c>
      <c r="I117" s="196">
        <f t="shared" si="7"/>
        <v>3755720000</v>
      </c>
      <c r="J117" s="196">
        <f t="shared" si="7"/>
        <v>3755720000</v>
      </c>
      <c r="K117" s="196">
        <f t="shared" si="7"/>
        <v>3755720000</v>
      </c>
      <c r="L117" s="196">
        <f t="shared" si="7"/>
        <v>3755720000</v>
      </c>
      <c r="M117" s="196">
        <f t="shared" si="7"/>
        <v>3755720000</v>
      </c>
      <c r="N117" s="196">
        <f t="shared" si="7"/>
        <v>3755720000</v>
      </c>
      <c r="O117" s="196">
        <f t="shared" si="7"/>
        <v>3755720000</v>
      </c>
      <c r="P117" s="196">
        <f t="shared" si="7"/>
        <v>3755720000</v>
      </c>
      <c r="Q117" s="196">
        <f t="shared" si="7"/>
        <v>3755720000</v>
      </c>
      <c r="R117" s="196">
        <f t="shared" si="7"/>
        <v>3755720000</v>
      </c>
      <c r="S117" s="196">
        <f t="shared" si="7"/>
        <v>3755720000</v>
      </c>
      <c r="T117" s="196">
        <f t="shared" si="7"/>
        <v>3915720000</v>
      </c>
      <c r="U117" s="196">
        <f t="shared" si="7"/>
        <v>3915720000</v>
      </c>
      <c r="V117" s="196">
        <f t="shared" si="7"/>
        <v>3915720000</v>
      </c>
      <c r="W117" s="196">
        <f t="shared" si="7"/>
        <v>3915720000</v>
      </c>
      <c r="X117" s="196">
        <f t="shared" si="7"/>
        <v>3915720000</v>
      </c>
      <c r="Y117" s="196">
        <f t="shared" si="7"/>
        <v>3915720000</v>
      </c>
      <c r="Z117" s="196">
        <f t="shared" si="7"/>
        <v>3915720000</v>
      </c>
      <c r="AA117" s="196">
        <f t="shared" si="7"/>
        <v>3915720000</v>
      </c>
      <c r="AB117" s="196">
        <f t="shared" si="7"/>
        <v>3915720000</v>
      </c>
      <c r="AC117" s="196">
        <f t="shared" si="7"/>
        <v>3915720000</v>
      </c>
      <c r="AD117" s="196">
        <f t="shared" si="7"/>
        <v>3915720000</v>
      </c>
      <c r="AE117" s="196">
        <f t="shared" si="7"/>
        <v>3915720000</v>
      </c>
      <c r="AF117" s="196">
        <f t="shared" si="7"/>
        <v>3915720000</v>
      </c>
      <c r="AG117" s="196">
        <f t="shared" si="7"/>
        <v>3915720000</v>
      </c>
      <c r="AH117" s="196">
        <f t="shared" si="7"/>
        <v>3915720000</v>
      </c>
      <c r="AI117" s="196">
        <f t="shared" si="7"/>
        <v>3915720000</v>
      </c>
      <c r="AJ117" s="196">
        <f t="shared" si="7"/>
        <v>3915720000</v>
      </c>
      <c r="AK117" s="196">
        <f t="shared" si="7"/>
        <v>3915720000</v>
      </c>
      <c r="AL117" s="196">
        <f t="shared" si="7"/>
        <v>3915720000</v>
      </c>
      <c r="AM117" s="196">
        <f t="shared" si="7"/>
        <v>3915720000</v>
      </c>
      <c r="AN117" s="196">
        <f t="shared" si="7"/>
        <v>0</v>
      </c>
      <c r="AO117" s="196">
        <f t="shared" si="7"/>
        <v>0</v>
      </c>
      <c r="AP117" s="196">
        <f t="shared" si="7"/>
        <v>0</v>
      </c>
      <c r="AQ117" s="196">
        <f t="shared" si="7"/>
        <v>0</v>
      </c>
      <c r="AR117" s="197">
        <f t="shared" si="7"/>
        <v>0</v>
      </c>
    </row>
    <row r="118" spans="2:44" ht="12.95" customHeight="1" x14ac:dyDescent="0.2">
      <c r="B118" s="157" t="s">
        <v>200</v>
      </c>
      <c r="C118" s="148"/>
      <c r="D118" s="149"/>
      <c r="E118" s="149"/>
      <c r="F118" s="149"/>
      <c r="G118" s="149"/>
      <c r="H118" s="149"/>
      <c r="I118" s="149"/>
      <c r="J118" s="149"/>
      <c r="K118" s="149"/>
      <c r="L118" s="149"/>
      <c r="M118" s="149"/>
      <c r="N118" s="149"/>
      <c r="O118" s="149"/>
      <c r="P118" s="149"/>
      <c r="Q118" s="149"/>
      <c r="R118" s="149"/>
      <c r="S118" s="149"/>
      <c r="T118" s="149"/>
      <c r="U118" s="149"/>
      <c r="V118" s="149"/>
      <c r="W118" s="149"/>
      <c r="X118" s="149"/>
      <c r="Y118" s="149"/>
      <c r="Z118" s="149"/>
      <c r="AA118" s="149"/>
      <c r="AB118" s="149"/>
      <c r="AC118" s="149"/>
      <c r="AD118" s="149"/>
      <c r="AE118" s="149"/>
      <c r="AF118" s="149"/>
      <c r="AG118" s="149"/>
      <c r="AH118" s="149"/>
      <c r="AI118" s="149"/>
      <c r="AJ118" s="149"/>
      <c r="AK118" s="149"/>
      <c r="AL118" s="149"/>
      <c r="AM118" s="149"/>
      <c r="AN118" s="149"/>
      <c r="AO118" s="149"/>
      <c r="AP118" s="149"/>
      <c r="AQ118" s="149"/>
      <c r="AR118" s="160"/>
    </row>
    <row r="119" spans="2:44" x14ac:dyDescent="0.2">
      <c r="B119" s="50" t="s">
        <v>201</v>
      </c>
      <c r="C119" s="145" t="s">
        <v>183</v>
      </c>
      <c r="D119" s="145"/>
      <c r="E119" s="194">
        <f t="shared" ref="E119:AR119" si="8">IF(E111&gt;$C$73,0,-E108*(($C$42*$C$21+$C$43*SUM($C$26,$C$28))+E117*$C$49))+IF($C$101=E111,$D$101*E108,0)+IF($C$102=E111,$D$102*E108,0)</f>
        <v>-90170150.488608792</v>
      </c>
      <c r="F119" s="194">
        <f t="shared" si="8"/>
        <v>-91973553.498380974</v>
      </c>
      <c r="G119" s="194">
        <f t="shared" si="8"/>
        <v>-93813024.568348587</v>
      </c>
      <c r="H119" s="194">
        <f t="shared" si="8"/>
        <v>-95689285.059715554</v>
      </c>
      <c r="I119" s="194">
        <f t="shared" si="8"/>
        <v>-97603070.76090987</v>
      </c>
      <c r="J119" s="194">
        <f t="shared" si="8"/>
        <v>-99555132.176128075</v>
      </c>
      <c r="K119" s="194">
        <f t="shared" si="8"/>
        <v>-101546234.81965064</v>
      </c>
      <c r="L119" s="194">
        <f t="shared" si="8"/>
        <v>-103577159.51604362</v>
      </c>
      <c r="M119" s="194">
        <f t="shared" si="8"/>
        <v>-105648702.70636451</v>
      </c>
      <c r="N119" s="194">
        <f t="shared" si="8"/>
        <v>-107761676.7604918</v>
      </c>
      <c r="O119" s="194">
        <f t="shared" si="8"/>
        <v>-109916910.29570164</v>
      </c>
      <c r="P119" s="194">
        <f t="shared" si="8"/>
        <v>-112115248.50161564</v>
      </c>
      <c r="Q119" s="194">
        <f t="shared" si="8"/>
        <v>-114357553.47164798</v>
      </c>
      <c r="R119" s="194">
        <f t="shared" si="8"/>
        <v>-116644704.54108094</v>
      </c>
      <c r="S119" s="194">
        <f t="shared" si="8"/>
        <v>-118977598.63190256</v>
      </c>
      <c r="T119" s="194">
        <f t="shared" si="8"/>
        <v>-313950909.81872344</v>
      </c>
      <c r="U119" s="194">
        <f t="shared" si="8"/>
        <v>-125980750.7447764</v>
      </c>
      <c r="V119" s="194">
        <f t="shared" si="8"/>
        <v>-128500365.75967194</v>
      </c>
      <c r="W119" s="194">
        <f t="shared" si="8"/>
        <v>-131070373.07486536</v>
      </c>
      <c r="X119" s="194">
        <f t="shared" si="8"/>
        <v>-133691780.53636266</v>
      </c>
      <c r="Y119" s="194">
        <f t="shared" si="8"/>
        <v>-136365616.14708993</v>
      </c>
      <c r="Z119" s="194">
        <f t="shared" si="8"/>
        <v>-139092928.47003171</v>
      </c>
      <c r="AA119" s="194">
        <f t="shared" si="8"/>
        <v>-141874787.03943235</v>
      </c>
      <c r="AB119" s="194">
        <f t="shared" si="8"/>
        <v>-144712282.78022099</v>
      </c>
      <c r="AC119" s="194">
        <f t="shared" si="8"/>
        <v>-147606528.43582541</v>
      </c>
      <c r="AD119" s="194">
        <f t="shared" si="8"/>
        <v>-150558659.0045419</v>
      </c>
      <c r="AE119" s="194">
        <f t="shared" si="8"/>
        <v>-153569832.18463278</v>
      </c>
      <c r="AF119" s="194">
        <f t="shared" si="8"/>
        <v>-156641228.82832539</v>
      </c>
      <c r="AG119" s="194">
        <f t="shared" si="8"/>
        <v>-159774053.40489194</v>
      </c>
      <c r="AH119" s="194">
        <f t="shared" si="8"/>
        <v>-162969534.47298974</v>
      </c>
      <c r="AI119" s="194">
        <f t="shared" si="8"/>
        <v>-166228925.16244957</v>
      </c>
      <c r="AJ119" s="194">
        <f t="shared" si="8"/>
        <v>-169553503.6656985</v>
      </c>
      <c r="AK119" s="194">
        <f t="shared" si="8"/>
        <v>-172944573.73901251</v>
      </c>
      <c r="AL119" s="194">
        <f t="shared" si="8"/>
        <v>-176403465.21379277</v>
      </c>
      <c r="AM119" s="194">
        <f t="shared" si="8"/>
        <v>-179931534.51806861</v>
      </c>
      <c r="AN119" s="194">
        <f t="shared" si="8"/>
        <v>0</v>
      </c>
      <c r="AO119" s="194">
        <f t="shared" si="8"/>
        <v>0</v>
      </c>
      <c r="AP119" s="194">
        <f t="shared" si="8"/>
        <v>0</v>
      </c>
      <c r="AQ119" s="194">
        <f t="shared" si="8"/>
        <v>0</v>
      </c>
      <c r="AR119" s="195">
        <f t="shared" si="8"/>
        <v>0</v>
      </c>
    </row>
    <row r="120" spans="2:44" x14ac:dyDescent="0.2">
      <c r="B120" s="50" t="s">
        <v>202</v>
      </c>
      <c r="C120" s="145" t="s">
        <v>183</v>
      </c>
      <c r="D120" s="145"/>
      <c r="E120" s="194">
        <f t="shared" ref="E120:AR120" si="9">IF(OR(E111&gt;$C$73, $C$52=0), 0, -E108*$C$54/$C$52*$C$21*MAX($C$29,$C$30)*$C$175/1000)</f>
        <v>0</v>
      </c>
      <c r="F120" s="194">
        <f t="shared" si="9"/>
        <v>0</v>
      </c>
      <c r="G120" s="194">
        <f t="shared" si="9"/>
        <v>0</v>
      </c>
      <c r="H120" s="194">
        <f t="shared" si="9"/>
        <v>0</v>
      </c>
      <c r="I120" s="194">
        <f t="shared" si="9"/>
        <v>0</v>
      </c>
      <c r="J120" s="194">
        <f t="shared" si="9"/>
        <v>0</v>
      </c>
      <c r="K120" s="194">
        <f t="shared" si="9"/>
        <v>0</v>
      </c>
      <c r="L120" s="194">
        <f t="shared" si="9"/>
        <v>0</v>
      </c>
      <c r="M120" s="194">
        <f t="shared" si="9"/>
        <v>0</v>
      </c>
      <c r="N120" s="194">
        <f t="shared" si="9"/>
        <v>0</v>
      </c>
      <c r="O120" s="194">
        <f t="shared" si="9"/>
        <v>0</v>
      </c>
      <c r="P120" s="194">
        <f t="shared" si="9"/>
        <v>0</v>
      </c>
      <c r="Q120" s="194">
        <f t="shared" si="9"/>
        <v>0</v>
      </c>
      <c r="R120" s="194">
        <f t="shared" si="9"/>
        <v>0</v>
      </c>
      <c r="S120" s="194">
        <f t="shared" si="9"/>
        <v>0</v>
      </c>
      <c r="T120" s="194">
        <f t="shared" si="9"/>
        <v>0</v>
      </c>
      <c r="U120" s="194">
        <f t="shared" si="9"/>
        <v>0</v>
      </c>
      <c r="V120" s="194">
        <f t="shared" si="9"/>
        <v>0</v>
      </c>
      <c r="W120" s="194">
        <f t="shared" si="9"/>
        <v>0</v>
      </c>
      <c r="X120" s="194">
        <f t="shared" si="9"/>
        <v>0</v>
      </c>
      <c r="Y120" s="194">
        <f t="shared" si="9"/>
        <v>0</v>
      </c>
      <c r="Z120" s="194">
        <f t="shared" si="9"/>
        <v>0</v>
      </c>
      <c r="AA120" s="194">
        <f t="shared" si="9"/>
        <v>0</v>
      </c>
      <c r="AB120" s="194">
        <f t="shared" si="9"/>
        <v>0</v>
      </c>
      <c r="AC120" s="194">
        <f t="shared" si="9"/>
        <v>0</v>
      </c>
      <c r="AD120" s="194">
        <f t="shared" si="9"/>
        <v>0</v>
      </c>
      <c r="AE120" s="194">
        <f t="shared" si="9"/>
        <v>0</v>
      </c>
      <c r="AF120" s="194">
        <f t="shared" si="9"/>
        <v>0</v>
      </c>
      <c r="AG120" s="194">
        <f t="shared" si="9"/>
        <v>0</v>
      </c>
      <c r="AH120" s="194">
        <f t="shared" si="9"/>
        <v>0</v>
      </c>
      <c r="AI120" s="194">
        <f t="shared" si="9"/>
        <v>0</v>
      </c>
      <c r="AJ120" s="194">
        <f t="shared" si="9"/>
        <v>0</v>
      </c>
      <c r="AK120" s="194">
        <f t="shared" si="9"/>
        <v>0</v>
      </c>
      <c r="AL120" s="194">
        <f t="shared" si="9"/>
        <v>0</v>
      </c>
      <c r="AM120" s="194">
        <f t="shared" si="9"/>
        <v>0</v>
      </c>
      <c r="AN120" s="194">
        <f t="shared" si="9"/>
        <v>0</v>
      </c>
      <c r="AO120" s="194">
        <f t="shared" si="9"/>
        <v>0</v>
      </c>
      <c r="AP120" s="194">
        <f t="shared" si="9"/>
        <v>0</v>
      </c>
      <c r="AQ120" s="194">
        <f t="shared" si="9"/>
        <v>0</v>
      </c>
      <c r="AR120" s="195">
        <f t="shared" si="9"/>
        <v>0</v>
      </c>
    </row>
    <row r="121" spans="2:44" x14ac:dyDescent="0.2">
      <c r="B121" s="50" t="s">
        <v>203</v>
      </c>
      <c r="C121" s="145" t="s">
        <v>178</v>
      </c>
      <c r="D121" s="145"/>
      <c r="E121" s="198">
        <f t="shared" ref="E121:AR121" si="10">IF(AND(E111&gt;$C$76,E111&lt;=$C$73),(IF($C$81&gt;0,$C$80*E108,0)), )</f>
        <v>0</v>
      </c>
      <c r="F121" s="198">
        <f t="shared" si="10"/>
        <v>0</v>
      </c>
      <c r="G121" s="198">
        <f t="shared" si="10"/>
        <v>0</v>
      </c>
      <c r="H121" s="198">
        <f t="shared" si="10"/>
        <v>0</v>
      </c>
      <c r="I121" s="198">
        <f t="shared" si="10"/>
        <v>0</v>
      </c>
      <c r="J121" s="198">
        <f t="shared" si="10"/>
        <v>0</v>
      </c>
      <c r="K121" s="198">
        <f t="shared" si="10"/>
        <v>0</v>
      </c>
      <c r="L121" s="198">
        <f t="shared" si="10"/>
        <v>0</v>
      </c>
      <c r="M121" s="198">
        <f t="shared" si="10"/>
        <v>0</v>
      </c>
      <c r="N121" s="198">
        <f t="shared" si="10"/>
        <v>0</v>
      </c>
      <c r="O121" s="198">
        <f t="shared" si="10"/>
        <v>0</v>
      </c>
      <c r="P121" s="198">
        <f t="shared" si="10"/>
        <v>0</v>
      </c>
      <c r="Q121" s="198">
        <f t="shared" si="10"/>
        <v>0</v>
      </c>
      <c r="R121" s="198">
        <f t="shared" si="10"/>
        <v>0</v>
      </c>
      <c r="S121" s="198">
        <f t="shared" si="10"/>
        <v>0</v>
      </c>
      <c r="T121" s="198">
        <f t="shared" si="10"/>
        <v>7.6096388475197049E-2</v>
      </c>
      <c r="U121" s="198">
        <f t="shared" si="10"/>
        <v>7.7618316244701002E-2</v>
      </c>
      <c r="V121" s="198">
        <f t="shared" si="10"/>
        <v>7.917068256959503E-2</v>
      </c>
      <c r="W121" s="198">
        <f t="shared" si="10"/>
        <v>8.0754096220986921E-2</v>
      </c>
      <c r="X121" s="198">
        <f t="shared" si="10"/>
        <v>8.2369178145406646E-2</v>
      </c>
      <c r="Y121" s="198">
        <f t="shared" si="10"/>
        <v>8.4016561708314785E-2</v>
      </c>
      <c r="Z121" s="198">
        <f t="shared" si="10"/>
        <v>8.5696892942481076E-2</v>
      </c>
      <c r="AA121" s="198">
        <f t="shared" si="10"/>
        <v>8.7410830801330705E-2</v>
      </c>
      <c r="AB121" s="198">
        <f t="shared" si="10"/>
        <v>8.9159047417357307E-2</v>
      </c>
      <c r="AC121" s="198">
        <f t="shared" si="10"/>
        <v>9.0942228365704453E-2</v>
      </c>
      <c r="AD121" s="198">
        <f t="shared" si="10"/>
        <v>9.2761072933018551E-2</v>
      </c>
      <c r="AE121" s="198">
        <f t="shared" si="10"/>
        <v>9.4616294391678929E-2</v>
      </c>
      <c r="AF121" s="198">
        <f t="shared" si="10"/>
        <v>9.6508620279512486E-2</v>
      </c>
      <c r="AG121" s="198">
        <f t="shared" si="10"/>
        <v>9.8438792685102763E-2</v>
      </c>
      <c r="AH121" s="198">
        <f t="shared" si="10"/>
        <v>0.1004075685388048</v>
      </c>
      <c r="AI121" s="198">
        <f t="shared" si="10"/>
        <v>0.1024157199095809</v>
      </c>
      <c r="AJ121" s="198">
        <f t="shared" si="10"/>
        <v>0.1044640343077725</v>
      </c>
      <c r="AK121" s="198">
        <f t="shared" si="10"/>
        <v>0.10655331499392796</v>
      </c>
      <c r="AL121" s="198">
        <f t="shared" si="10"/>
        <v>0.10868438129380653</v>
      </c>
      <c r="AM121" s="198">
        <f t="shared" si="10"/>
        <v>0.11085806891968265</v>
      </c>
      <c r="AN121" s="198">
        <f t="shared" si="10"/>
        <v>0</v>
      </c>
      <c r="AO121" s="198">
        <f t="shared" si="10"/>
        <v>0</v>
      </c>
      <c r="AP121" s="198">
        <f t="shared" si="10"/>
        <v>0</v>
      </c>
      <c r="AQ121" s="198">
        <f t="shared" si="10"/>
        <v>0</v>
      </c>
      <c r="AR121" s="199">
        <f t="shared" si="10"/>
        <v>0</v>
      </c>
    </row>
    <row r="122" spans="2:44" x14ac:dyDescent="0.2">
      <c r="B122" s="50" t="s">
        <v>204</v>
      </c>
      <c r="C122" s="145" t="s">
        <v>178</v>
      </c>
      <c r="D122" s="145"/>
      <c r="E122" s="198">
        <f t="shared" ref="E122:AR122" si="11">IF($C$23="Ja",0,IF(AND(E111&gt;$C$76,E111&lt;=$C$73),(IF($C$83&gt;0,$C$82*E108,0)), ))</f>
        <v>0</v>
      </c>
      <c r="F122" s="198">
        <f t="shared" si="11"/>
        <v>0</v>
      </c>
      <c r="G122" s="198">
        <f t="shared" si="11"/>
        <v>0</v>
      </c>
      <c r="H122" s="198">
        <f t="shared" si="11"/>
        <v>0</v>
      </c>
      <c r="I122" s="198">
        <f t="shared" si="11"/>
        <v>0</v>
      </c>
      <c r="J122" s="198">
        <f t="shared" si="11"/>
        <v>0</v>
      </c>
      <c r="K122" s="198">
        <f t="shared" si="11"/>
        <v>0</v>
      </c>
      <c r="L122" s="198">
        <f t="shared" si="11"/>
        <v>0</v>
      </c>
      <c r="M122" s="198">
        <f t="shared" si="11"/>
        <v>0</v>
      </c>
      <c r="N122" s="198">
        <f t="shared" si="11"/>
        <v>0</v>
      </c>
      <c r="O122" s="198">
        <f t="shared" si="11"/>
        <v>0</v>
      </c>
      <c r="P122" s="198">
        <f t="shared" si="11"/>
        <v>0</v>
      </c>
      <c r="Q122" s="198">
        <f t="shared" si="11"/>
        <v>0</v>
      </c>
      <c r="R122" s="198">
        <f t="shared" si="11"/>
        <v>0</v>
      </c>
      <c r="S122" s="198">
        <f t="shared" si="11"/>
        <v>0</v>
      </c>
      <c r="T122" s="198">
        <f t="shared" si="11"/>
        <v>0</v>
      </c>
      <c r="U122" s="198">
        <f t="shared" si="11"/>
        <v>0</v>
      </c>
      <c r="V122" s="198">
        <f t="shared" si="11"/>
        <v>0</v>
      </c>
      <c r="W122" s="198">
        <f t="shared" si="11"/>
        <v>0</v>
      </c>
      <c r="X122" s="198">
        <f t="shared" si="11"/>
        <v>0</v>
      </c>
      <c r="Y122" s="198">
        <f t="shared" si="11"/>
        <v>0</v>
      </c>
      <c r="Z122" s="198">
        <f t="shared" si="11"/>
        <v>0</v>
      </c>
      <c r="AA122" s="198">
        <f t="shared" si="11"/>
        <v>0</v>
      </c>
      <c r="AB122" s="198">
        <f t="shared" si="11"/>
        <v>0</v>
      </c>
      <c r="AC122" s="198">
        <f t="shared" si="11"/>
        <v>0</v>
      </c>
      <c r="AD122" s="198">
        <f t="shared" si="11"/>
        <v>0</v>
      </c>
      <c r="AE122" s="198">
        <f t="shared" si="11"/>
        <v>0</v>
      </c>
      <c r="AF122" s="198">
        <f t="shared" si="11"/>
        <v>0</v>
      </c>
      <c r="AG122" s="198">
        <f t="shared" si="11"/>
        <v>0</v>
      </c>
      <c r="AH122" s="198">
        <f t="shared" si="11"/>
        <v>0</v>
      </c>
      <c r="AI122" s="198">
        <f t="shared" si="11"/>
        <v>0</v>
      </c>
      <c r="AJ122" s="198">
        <f t="shared" si="11"/>
        <v>0</v>
      </c>
      <c r="AK122" s="198">
        <f t="shared" si="11"/>
        <v>0</v>
      </c>
      <c r="AL122" s="198">
        <f t="shared" si="11"/>
        <v>0</v>
      </c>
      <c r="AM122" s="198">
        <f t="shared" si="11"/>
        <v>0</v>
      </c>
      <c r="AN122" s="198">
        <f t="shared" si="11"/>
        <v>0</v>
      </c>
      <c r="AO122" s="198">
        <f t="shared" si="11"/>
        <v>0</v>
      </c>
      <c r="AP122" s="198">
        <f t="shared" si="11"/>
        <v>0</v>
      </c>
      <c r="AQ122" s="198">
        <f t="shared" si="11"/>
        <v>0</v>
      </c>
      <c r="AR122" s="199">
        <f t="shared" si="11"/>
        <v>0</v>
      </c>
    </row>
    <row r="123" spans="2:44" x14ac:dyDescent="0.2">
      <c r="B123" s="50" t="s">
        <v>205</v>
      </c>
      <c r="C123" s="145" t="str">
        <f>CONCATENATE("Euro/",$C$7)</f>
        <v>Euro/kWh</v>
      </c>
      <c r="D123" s="145"/>
      <c r="E123" s="198">
        <f t="shared" ref="E123:AR123" si="12">E107</f>
        <v>0</v>
      </c>
      <c r="F123" s="198">
        <f t="shared" si="12"/>
        <v>0</v>
      </c>
      <c r="G123" s="198">
        <f t="shared" si="12"/>
        <v>0</v>
      </c>
      <c r="H123" s="198">
        <f t="shared" si="12"/>
        <v>0</v>
      </c>
      <c r="I123" s="198">
        <f t="shared" si="12"/>
        <v>0</v>
      </c>
      <c r="J123" s="198">
        <f t="shared" si="12"/>
        <v>0</v>
      </c>
      <c r="K123" s="198">
        <f t="shared" si="12"/>
        <v>0</v>
      </c>
      <c r="L123" s="198">
        <f t="shared" si="12"/>
        <v>0</v>
      </c>
      <c r="M123" s="198">
        <f t="shared" si="12"/>
        <v>0</v>
      </c>
      <c r="N123" s="198">
        <f t="shared" si="12"/>
        <v>0</v>
      </c>
      <c r="O123" s="198">
        <f t="shared" si="12"/>
        <v>0</v>
      </c>
      <c r="P123" s="198">
        <f t="shared" si="12"/>
        <v>0</v>
      </c>
      <c r="Q123" s="198">
        <f t="shared" si="12"/>
        <v>0</v>
      </c>
      <c r="R123" s="198">
        <f t="shared" si="12"/>
        <v>0</v>
      </c>
      <c r="S123" s="198">
        <f t="shared" si="12"/>
        <v>0</v>
      </c>
      <c r="T123" s="198">
        <f t="shared" si="12"/>
        <v>0</v>
      </c>
      <c r="U123" s="198">
        <f t="shared" si="12"/>
        <v>0</v>
      </c>
      <c r="V123" s="198">
        <f t="shared" si="12"/>
        <v>0</v>
      </c>
      <c r="W123" s="198">
        <f t="shared" si="12"/>
        <v>0</v>
      </c>
      <c r="X123" s="198">
        <f t="shared" si="12"/>
        <v>0</v>
      </c>
      <c r="Y123" s="198">
        <f t="shared" si="12"/>
        <v>0</v>
      </c>
      <c r="Z123" s="198">
        <f t="shared" si="12"/>
        <v>0</v>
      </c>
      <c r="AA123" s="198">
        <f t="shared" si="12"/>
        <v>0</v>
      </c>
      <c r="AB123" s="198">
        <f t="shared" si="12"/>
        <v>0</v>
      </c>
      <c r="AC123" s="198">
        <f t="shared" si="12"/>
        <v>0</v>
      </c>
      <c r="AD123" s="198">
        <f t="shared" si="12"/>
        <v>0</v>
      </c>
      <c r="AE123" s="198">
        <f t="shared" si="12"/>
        <v>0</v>
      </c>
      <c r="AF123" s="198">
        <f t="shared" si="12"/>
        <v>0</v>
      </c>
      <c r="AG123" s="198">
        <f t="shared" si="12"/>
        <v>0</v>
      </c>
      <c r="AH123" s="198">
        <f t="shared" si="12"/>
        <v>0</v>
      </c>
      <c r="AI123" s="198">
        <f t="shared" si="12"/>
        <v>0</v>
      </c>
      <c r="AJ123" s="198">
        <f t="shared" si="12"/>
        <v>0</v>
      </c>
      <c r="AK123" s="198">
        <f t="shared" si="12"/>
        <v>0</v>
      </c>
      <c r="AL123" s="198">
        <f t="shared" si="12"/>
        <v>0</v>
      </c>
      <c r="AM123" s="198">
        <f t="shared" si="12"/>
        <v>0</v>
      </c>
      <c r="AN123" s="198">
        <f t="shared" si="12"/>
        <v>0</v>
      </c>
      <c r="AO123" s="198">
        <f t="shared" si="12"/>
        <v>0</v>
      </c>
      <c r="AP123" s="198">
        <f t="shared" si="12"/>
        <v>0</v>
      </c>
      <c r="AQ123" s="198">
        <f t="shared" si="12"/>
        <v>0</v>
      </c>
      <c r="AR123" s="199">
        <f t="shared" si="12"/>
        <v>0</v>
      </c>
    </row>
    <row r="124" spans="2:44" x14ac:dyDescent="0.2">
      <c r="B124" s="50" t="s">
        <v>28</v>
      </c>
      <c r="C124" s="145" t="str">
        <f>CONCATENATE("Euro/",$C$7)</f>
        <v>Euro/kWh</v>
      </c>
      <c r="D124" s="145"/>
      <c r="E124" s="198">
        <f t="shared" ref="E124:AR124" si="13">E106</f>
        <v>0</v>
      </c>
      <c r="F124" s="198">
        <f t="shared" si="13"/>
        <v>0</v>
      </c>
      <c r="G124" s="198">
        <f t="shared" si="13"/>
        <v>0</v>
      </c>
      <c r="H124" s="198">
        <f t="shared" si="13"/>
        <v>0</v>
      </c>
      <c r="I124" s="198">
        <f t="shared" si="13"/>
        <v>0</v>
      </c>
      <c r="J124" s="198">
        <f t="shared" si="13"/>
        <v>0</v>
      </c>
      <c r="K124" s="198">
        <f t="shared" si="13"/>
        <v>0</v>
      </c>
      <c r="L124" s="198">
        <f t="shared" si="13"/>
        <v>0</v>
      </c>
      <c r="M124" s="198">
        <f t="shared" si="13"/>
        <v>0</v>
      </c>
      <c r="N124" s="198">
        <f t="shared" si="13"/>
        <v>0</v>
      </c>
      <c r="O124" s="198">
        <f t="shared" si="13"/>
        <v>0</v>
      </c>
      <c r="P124" s="198">
        <f t="shared" si="13"/>
        <v>0</v>
      </c>
      <c r="Q124" s="198">
        <f t="shared" si="13"/>
        <v>0</v>
      </c>
      <c r="R124" s="198">
        <f t="shared" si="13"/>
        <v>0</v>
      </c>
      <c r="S124" s="198">
        <f t="shared" si="13"/>
        <v>0</v>
      </c>
      <c r="T124" s="198">
        <f t="shared" si="13"/>
        <v>0</v>
      </c>
      <c r="U124" s="198">
        <f t="shared" si="13"/>
        <v>0</v>
      </c>
      <c r="V124" s="198">
        <f t="shared" si="13"/>
        <v>0</v>
      </c>
      <c r="W124" s="198">
        <f t="shared" si="13"/>
        <v>0</v>
      </c>
      <c r="X124" s="198">
        <f t="shared" si="13"/>
        <v>0</v>
      </c>
      <c r="Y124" s="198">
        <f t="shared" si="13"/>
        <v>0</v>
      </c>
      <c r="Z124" s="198">
        <f t="shared" si="13"/>
        <v>0</v>
      </c>
      <c r="AA124" s="198">
        <f t="shared" si="13"/>
        <v>0</v>
      </c>
      <c r="AB124" s="198">
        <f t="shared" si="13"/>
        <v>0</v>
      </c>
      <c r="AC124" s="198">
        <f t="shared" si="13"/>
        <v>0</v>
      </c>
      <c r="AD124" s="198">
        <f t="shared" si="13"/>
        <v>0</v>
      </c>
      <c r="AE124" s="198">
        <f t="shared" si="13"/>
        <v>0</v>
      </c>
      <c r="AF124" s="198">
        <f t="shared" si="13"/>
        <v>0</v>
      </c>
      <c r="AG124" s="198">
        <f t="shared" si="13"/>
        <v>0</v>
      </c>
      <c r="AH124" s="198">
        <f t="shared" si="13"/>
        <v>0</v>
      </c>
      <c r="AI124" s="198">
        <f t="shared" si="13"/>
        <v>0</v>
      </c>
      <c r="AJ124" s="198">
        <f t="shared" si="13"/>
        <v>0</v>
      </c>
      <c r="AK124" s="198">
        <f t="shared" si="13"/>
        <v>0</v>
      </c>
      <c r="AL124" s="198">
        <f t="shared" si="13"/>
        <v>0</v>
      </c>
      <c r="AM124" s="198">
        <f t="shared" si="13"/>
        <v>0</v>
      </c>
      <c r="AN124" s="198">
        <f t="shared" si="13"/>
        <v>0</v>
      </c>
      <c r="AO124" s="198">
        <f t="shared" si="13"/>
        <v>0</v>
      </c>
      <c r="AP124" s="198">
        <f t="shared" si="13"/>
        <v>0</v>
      </c>
      <c r="AQ124" s="198">
        <f t="shared" si="13"/>
        <v>0</v>
      </c>
      <c r="AR124" s="199">
        <f t="shared" si="13"/>
        <v>0</v>
      </c>
    </row>
    <row r="125" spans="2:44" x14ac:dyDescent="0.2">
      <c r="B125" s="50" t="s">
        <v>206</v>
      </c>
      <c r="C125" s="145" t="s">
        <v>183</v>
      </c>
      <c r="D125" s="145"/>
      <c r="E125" s="194">
        <f t="shared" ref="E125:AR125" si="14">MAX(0,E124-E123)*E117</f>
        <v>0</v>
      </c>
      <c r="F125" s="194">
        <f t="shared" si="14"/>
        <v>0</v>
      </c>
      <c r="G125" s="194">
        <f t="shared" si="14"/>
        <v>0</v>
      </c>
      <c r="H125" s="194">
        <f t="shared" si="14"/>
        <v>0</v>
      </c>
      <c r="I125" s="194">
        <f t="shared" si="14"/>
        <v>0</v>
      </c>
      <c r="J125" s="194">
        <f t="shared" si="14"/>
        <v>0</v>
      </c>
      <c r="K125" s="194">
        <f t="shared" si="14"/>
        <v>0</v>
      </c>
      <c r="L125" s="194">
        <f t="shared" si="14"/>
        <v>0</v>
      </c>
      <c r="M125" s="194">
        <f t="shared" si="14"/>
        <v>0</v>
      </c>
      <c r="N125" s="194">
        <f t="shared" si="14"/>
        <v>0</v>
      </c>
      <c r="O125" s="194">
        <f t="shared" si="14"/>
        <v>0</v>
      </c>
      <c r="P125" s="194">
        <f t="shared" si="14"/>
        <v>0</v>
      </c>
      <c r="Q125" s="194">
        <f t="shared" si="14"/>
        <v>0</v>
      </c>
      <c r="R125" s="194">
        <f t="shared" si="14"/>
        <v>0</v>
      </c>
      <c r="S125" s="194">
        <f t="shared" si="14"/>
        <v>0</v>
      </c>
      <c r="T125" s="194">
        <f t="shared" si="14"/>
        <v>0</v>
      </c>
      <c r="U125" s="194">
        <f t="shared" si="14"/>
        <v>0</v>
      </c>
      <c r="V125" s="194">
        <f t="shared" si="14"/>
        <v>0</v>
      </c>
      <c r="W125" s="194">
        <f t="shared" si="14"/>
        <v>0</v>
      </c>
      <c r="X125" s="194">
        <f t="shared" si="14"/>
        <v>0</v>
      </c>
      <c r="Y125" s="194">
        <f t="shared" si="14"/>
        <v>0</v>
      </c>
      <c r="Z125" s="194">
        <f t="shared" si="14"/>
        <v>0</v>
      </c>
      <c r="AA125" s="194">
        <f t="shared" si="14"/>
        <v>0</v>
      </c>
      <c r="AB125" s="194">
        <f t="shared" si="14"/>
        <v>0</v>
      </c>
      <c r="AC125" s="194">
        <f t="shared" si="14"/>
        <v>0</v>
      </c>
      <c r="AD125" s="194">
        <f t="shared" si="14"/>
        <v>0</v>
      </c>
      <c r="AE125" s="194">
        <f t="shared" si="14"/>
        <v>0</v>
      </c>
      <c r="AF125" s="194">
        <f t="shared" si="14"/>
        <v>0</v>
      </c>
      <c r="AG125" s="194">
        <f t="shared" si="14"/>
        <v>0</v>
      </c>
      <c r="AH125" s="194">
        <f t="shared" si="14"/>
        <v>0</v>
      </c>
      <c r="AI125" s="194">
        <f t="shared" si="14"/>
        <v>0</v>
      </c>
      <c r="AJ125" s="194">
        <f t="shared" si="14"/>
        <v>0</v>
      </c>
      <c r="AK125" s="194">
        <f t="shared" si="14"/>
        <v>0</v>
      </c>
      <c r="AL125" s="194">
        <f t="shared" si="14"/>
        <v>0</v>
      </c>
      <c r="AM125" s="194">
        <f t="shared" si="14"/>
        <v>0</v>
      </c>
      <c r="AN125" s="194">
        <f t="shared" si="14"/>
        <v>0</v>
      </c>
      <c r="AO125" s="194">
        <f t="shared" si="14"/>
        <v>0</v>
      </c>
      <c r="AP125" s="194">
        <f t="shared" si="14"/>
        <v>0</v>
      </c>
      <c r="AQ125" s="194">
        <f t="shared" si="14"/>
        <v>0</v>
      </c>
      <c r="AR125" s="195">
        <f t="shared" si="14"/>
        <v>0</v>
      </c>
    </row>
    <row r="126" spans="2:44" x14ac:dyDescent="0.2">
      <c r="B126" s="50" t="s">
        <v>207</v>
      </c>
      <c r="C126" s="145" t="s">
        <v>183</v>
      </c>
      <c r="D126" s="145"/>
      <c r="E126" s="194">
        <f t="shared" ref="E126:AR126" si="15">IF(E107&gt;0,,E121*E114+E122*SUM(E115:E116))</f>
        <v>0</v>
      </c>
      <c r="F126" s="194">
        <f t="shared" si="15"/>
        <v>0</v>
      </c>
      <c r="G126" s="194">
        <f t="shared" si="15"/>
        <v>0</v>
      </c>
      <c r="H126" s="194">
        <f t="shared" si="15"/>
        <v>0</v>
      </c>
      <c r="I126" s="194">
        <f t="shared" si="15"/>
        <v>0</v>
      </c>
      <c r="J126" s="194">
        <f t="shared" si="15"/>
        <v>0</v>
      </c>
      <c r="K126" s="194">
        <f t="shared" si="15"/>
        <v>0</v>
      </c>
      <c r="L126" s="194">
        <f t="shared" si="15"/>
        <v>0</v>
      </c>
      <c r="M126" s="194">
        <f t="shared" si="15"/>
        <v>0</v>
      </c>
      <c r="N126" s="194">
        <f t="shared" si="15"/>
        <v>0</v>
      </c>
      <c r="O126" s="194">
        <f t="shared" si="15"/>
        <v>0</v>
      </c>
      <c r="P126" s="194">
        <f t="shared" si="15"/>
        <v>0</v>
      </c>
      <c r="Q126" s="194">
        <f t="shared" si="15"/>
        <v>0</v>
      </c>
      <c r="R126" s="194">
        <f t="shared" si="15"/>
        <v>0</v>
      </c>
      <c r="S126" s="194">
        <f t="shared" si="15"/>
        <v>0</v>
      </c>
      <c r="T126" s="194">
        <f t="shared" si="15"/>
        <v>297972150.28009862</v>
      </c>
      <c r="U126" s="194">
        <f t="shared" si="15"/>
        <v>303931593.28570062</v>
      </c>
      <c r="V126" s="194">
        <f t="shared" si="15"/>
        <v>310010225.15141463</v>
      </c>
      <c r="W126" s="194">
        <f t="shared" si="15"/>
        <v>316210429.65444291</v>
      </c>
      <c r="X126" s="194">
        <f t="shared" si="15"/>
        <v>322534638.24753171</v>
      </c>
      <c r="Y126" s="194">
        <f t="shared" si="15"/>
        <v>328985331.01248235</v>
      </c>
      <c r="Z126" s="194">
        <f t="shared" si="15"/>
        <v>335565037.63273197</v>
      </c>
      <c r="AA126" s="194">
        <f t="shared" si="15"/>
        <v>342276338.38538665</v>
      </c>
      <c r="AB126" s="194">
        <f t="shared" si="15"/>
        <v>349121865.15309435</v>
      </c>
      <c r="AC126" s="194">
        <f t="shared" si="15"/>
        <v>356104302.45615625</v>
      </c>
      <c r="AD126" s="194">
        <f t="shared" si="15"/>
        <v>363226388.50527942</v>
      </c>
      <c r="AE126" s="194">
        <f t="shared" si="15"/>
        <v>370490916.27538502</v>
      </c>
      <c r="AF126" s="194">
        <f t="shared" si="15"/>
        <v>377900734.6008926</v>
      </c>
      <c r="AG126" s="194">
        <f t="shared" si="15"/>
        <v>385458749.29291058</v>
      </c>
      <c r="AH126" s="194">
        <f t="shared" si="15"/>
        <v>393167924.27876872</v>
      </c>
      <c r="AI126" s="194">
        <f t="shared" si="15"/>
        <v>401031282.7643441</v>
      </c>
      <c r="AJ126" s="194">
        <f t="shared" si="15"/>
        <v>409051908.41963094</v>
      </c>
      <c r="AK126" s="194">
        <f t="shared" si="15"/>
        <v>417232946.5880236</v>
      </c>
      <c r="AL126" s="194">
        <f t="shared" si="15"/>
        <v>425577605.51978409</v>
      </c>
      <c r="AM126" s="194">
        <f t="shared" si="15"/>
        <v>434089157.63017976</v>
      </c>
      <c r="AN126" s="194">
        <f t="shared" si="15"/>
        <v>0</v>
      </c>
      <c r="AO126" s="194">
        <f t="shared" si="15"/>
        <v>0</v>
      </c>
      <c r="AP126" s="194">
        <f t="shared" si="15"/>
        <v>0</v>
      </c>
      <c r="AQ126" s="194">
        <f t="shared" si="15"/>
        <v>0</v>
      </c>
      <c r="AR126" s="195">
        <f t="shared" si="15"/>
        <v>0</v>
      </c>
    </row>
    <row r="127" spans="2:44" x14ac:dyDescent="0.2">
      <c r="B127" s="50" t="s">
        <v>208</v>
      </c>
      <c r="C127" s="145" t="s">
        <v>183</v>
      </c>
      <c r="D127" s="153"/>
      <c r="E127" s="194">
        <f t="shared" ref="E127:AR127" si="16">E123*E117</f>
        <v>0</v>
      </c>
      <c r="F127" s="194">
        <f t="shared" si="16"/>
        <v>0</v>
      </c>
      <c r="G127" s="194">
        <f t="shared" si="16"/>
        <v>0</v>
      </c>
      <c r="H127" s="194">
        <f t="shared" si="16"/>
        <v>0</v>
      </c>
      <c r="I127" s="194">
        <f t="shared" si="16"/>
        <v>0</v>
      </c>
      <c r="J127" s="194">
        <f t="shared" si="16"/>
        <v>0</v>
      </c>
      <c r="K127" s="194">
        <f t="shared" si="16"/>
        <v>0</v>
      </c>
      <c r="L127" s="194">
        <f t="shared" si="16"/>
        <v>0</v>
      </c>
      <c r="M127" s="194">
        <f t="shared" si="16"/>
        <v>0</v>
      </c>
      <c r="N127" s="194">
        <f t="shared" si="16"/>
        <v>0</v>
      </c>
      <c r="O127" s="194">
        <f t="shared" si="16"/>
        <v>0</v>
      </c>
      <c r="P127" s="194">
        <f t="shared" si="16"/>
        <v>0</v>
      </c>
      <c r="Q127" s="194">
        <f t="shared" si="16"/>
        <v>0</v>
      </c>
      <c r="R127" s="194">
        <f t="shared" si="16"/>
        <v>0</v>
      </c>
      <c r="S127" s="194">
        <f t="shared" si="16"/>
        <v>0</v>
      </c>
      <c r="T127" s="194">
        <f t="shared" si="16"/>
        <v>0</v>
      </c>
      <c r="U127" s="194">
        <f t="shared" si="16"/>
        <v>0</v>
      </c>
      <c r="V127" s="194">
        <f t="shared" si="16"/>
        <v>0</v>
      </c>
      <c r="W127" s="194">
        <f t="shared" si="16"/>
        <v>0</v>
      </c>
      <c r="X127" s="194">
        <f t="shared" si="16"/>
        <v>0</v>
      </c>
      <c r="Y127" s="194">
        <f t="shared" si="16"/>
        <v>0</v>
      </c>
      <c r="Z127" s="194">
        <f t="shared" si="16"/>
        <v>0</v>
      </c>
      <c r="AA127" s="194">
        <f t="shared" si="16"/>
        <v>0</v>
      </c>
      <c r="AB127" s="194">
        <f t="shared" si="16"/>
        <v>0</v>
      </c>
      <c r="AC127" s="194">
        <f t="shared" si="16"/>
        <v>0</v>
      </c>
      <c r="AD127" s="194">
        <f t="shared" si="16"/>
        <v>0</v>
      </c>
      <c r="AE127" s="194">
        <f t="shared" si="16"/>
        <v>0</v>
      </c>
      <c r="AF127" s="194">
        <f t="shared" si="16"/>
        <v>0</v>
      </c>
      <c r="AG127" s="194">
        <f t="shared" si="16"/>
        <v>0</v>
      </c>
      <c r="AH127" s="194">
        <f t="shared" si="16"/>
        <v>0</v>
      </c>
      <c r="AI127" s="194">
        <f t="shared" si="16"/>
        <v>0</v>
      </c>
      <c r="AJ127" s="194">
        <f t="shared" si="16"/>
        <v>0</v>
      </c>
      <c r="AK127" s="194">
        <f t="shared" si="16"/>
        <v>0</v>
      </c>
      <c r="AL127" s="194">
        <f t="shared" si="16"/>
        <v>0</v>
      </c>
      <c r="AM127" s="194">
        <f t="shared" si="16"/>
        <v>0</v>
      </c>
      <c r="AN127" s="194">
        <f t="shared" si="16"/>
        <v>0</v>
      </c>
      <c r="AO127" s="194">
        <f t="shared" si="16"/>
        <v>0</v>
      </c>
      <c r="AP127" s="194">
        <f t="shared" si="16"/>
        <v>0</v>
      </c>
      <c r="AQ127" s="194">
        <f t="shared" si="16"/>
        <v>0</v>
      </c>
      <c r="AR127" s="195">
        <f t="shared" si="16"/>
        <v>0</v>
      </c>
    </row>
    <row r="128" spans="2:44" ht="12.95" customHeight="1" x14ac:dyDescent="0.2">
      <c r="B128" s="157" t="s">
        <v>209</v>
      </c>
      <c r="C128" s="148"/>
      <c r="D128" s="149"/>
      <c r="E128" s="149"/>
      <c r="F128" s="149"/>
      <c r="G128" s="149"/>
      <c r="H128" s="149"/>
      <c r="I128" s="149"/>
      <c r="J128" s="149"/>
      <c r="K128" s="149"/>
      <c r="L128" s="149"/>
      <c r="M128" s="149"/>
      <c r="N128" s="149"/>
      <c r="O128" s="149"/>
      <c r="P128" s="149"/>
      <c r="Q128" s="149"/>
      <c r="R128" s="149"/>
      <c r="S128" s="149"/>
      <c r="T128" s="149"/>
      <c r="U128" s="149"/>
      <c r="V128" s="149"/>
      <c r="W128" s="149"/>
      <c r="X128" s="149"/>
      <c r="Y128" s="149"/>
      <c r="Z128" s="149"/>
      <c r="AA128" s="149"/>
      <c r="AB128" s="149"/>
      <c r="AC128" s="149"/>
      <c r="AD128" s="149"/>
      <c r="AE128" s="149"/>
      <c r="AF128" s="149"/>
      <c r="AG128" s="149"/>
      <c r="AH128" s="149"/>
      <c r="AI128" s="149"/>
      <c r="AJ128" s="149"/>
      <c r="AK128" s="149"/>
      <c r="AL128" s="149"/>
      <c r="AM128" s="149"/>
      <c r="AN128" s="149"/>
      <c r="AO128" s="149"/>
      <c r="AP128" s="149"/>
      <c r="AQ128" s="149"/>
      <c r="AR128" s="160"/>
    </row>
    <row r="129" spans="1:44" x14ac:dyDescent="0.2">
      <c r="B129" s="50" t="s">
        <v>210</v>
      </c>
      <c r="C129" s="145" t="s">
        <v>183</v>
      </c>
      <c r="D129" s="145"/>
      <c r="E129" s="194">
        <f t="shared" ref="E129:AR129" si="17">SUM(E125:E127)</f>
        <v>0</v>
      </c>
      <c r="F129" s="194">
        <f t="shared" si="17"/>
        <v>0</v>
      </c>
      <c r="G129" s="194">
        <f t="shared" si="17"/>
        <v>0</v>
      </c>
      <c r="H129" s="194">
        <f t="shared" si="17"/>
        <v>0</v>
      </c>
      <c r="I129" s="194">
        <f t="shared" si="17"/>
        <v>0</v>
      </c>
      <c r="J129" s="194">
        <f t="shared" si="17"/>
        <v>0</v>
      </c>
      <c r="K129" s="194">
        <f t="shared" si="17"/>
        <v>0</v>
      </c>
      <c r="L129" s="194">
        <f t="shared" si="17"/>
        <v>0</v>
      </c>
      <c r="M129" s="194">
        <f t="shared" si="17"/>
        <v>0</v>
      </c>
      <c r="N129" s="194">
        <f t="shared" si="17"/>
        <v>0</v>
      </c>
      <c r="O129" s="194">
        <f t="shared" si="17"/>
        <v>0</v>
      </c>
      <c r="P129" s="194">
        <f t="shared" si="17"/>
        <v>0</v>
      </c>
      <c r="Q129" s="194">
        <f t="shared" si="17"/>
        <v>0</v>
      </c>
      <c r="R129" s="194">
        <f t="shared" si="17"/>
        <v>0</v>
      </c>
      <c r="S129" s="194">
        <f t="shared" si="17"/>
        <v>0</v>
      </c>
      <c r="T129" s="194">
        <f t="shared" si="17"/>
        <v>297972150.28009862</v>
      </c>
      <c r="U129" s="194">
        <f t="shared" si="17"/>
        <v>303931593.28570062</v>
      </c>
      <c r="V129" s="194">
        <f t="shared" si="17"/>
        <v>310010225.15141463</v>
      </c>
      <c r="W129" s="194">
        <f t="shared" si="17"/>
        <v>316210429.65444291</v>
      </c>
      <c r="X129" s="194">
        <f t="shared" si="17"/>
        <v>322534638.24753171</v>
      </c>
      <c r="Y129" s="194">
        <f t="shared" si="17"/>
        <v>328985331.01248235</v>
      </c>
      <c r="Z129" s="194">
        <f t="shared" si="17"/>
        <v>335565037.63273197</v>
      </c>
      <c r="AA129" s="194">
        <f t="shared" si="17"/>
        <v>342276338.38538665</v>
      </c>
      <c r="AB129" s="194">
        <f t="shared" si="17"/>
        <v>349121865.15309435</v>
      </c>
      <c r="AC129" s="194">
        <f t="shared" si="17"/>
        <v>356104302.45615625</v>
      </c>
      <c r="AD129" s="194">
        <f t="shared" si="17"/>
        <v>363226388.50527942</v>
      </c>
      <c r="AE129" s="194">
        <f t="shared" si="17"/>
        <v>370490916.27538502</v>
      </c>
      <c r="AF129" s="194">
        <f t="shared" si="17"/>
        <v>377900734.6008926</v>
      </c>
      <c r="AG129" s="194">
        <f t="shared" si="17"/>
        <v>385458749.29291058</v>
      </c>
      <c r="AH129" s="194">
        <f t="shared" si="17"/>
        <v>393167924.27876872</v>
      </c>
      <c r="AI129" s="194">
        <f t="shared" si="17"/>
        <v>401031282.7643441</v>
      </c>
      <c r="AJ129" s="194">
        <f t="shared" si="17"/>
        <v>409051908.41963094</v>
      </c>
      <c r="AK129" s="194">
        <f t="shared" si="17"/>
        <v>417232946.5880236</v>
      </c>
      <c r="AL129" s="194">
        <f t="shared" si="17"/>
        <v>425577605.51978409</v>
      </c>
      <c r="AM129" s="194">
        <f t="shared" si="17"/>
        <v>434089157.63017976</v>
      </c>
      <c r="AN129" s="194">
        <f t="shared" si="17"/>
        <v>0</v>
      </c>
      <c r="AO129" s="194">
        <f t="shared" si="17"/>
        <v>0</v>
      </c>
      <c r="AP129" s="194">
        <f t="shared" si="17"/>
        <v>0</v>
      </c>
      <c r="AQ129" s="194">
        <f t="shared" si="17"/>
        <v>0</v>
      </c>
      <c r="AR129" s="195">
        <f t="shared" si="17"/>
        <v>0</v>
      </c>
    </row>
    <row r="130" spans="1:44" x14ac:dyDescent="0.2">
      <c r="B130" s="50" t="s">
        <v>211</v>
      </c>
      <c r="C130" s="145" t="s">
        <v>183</v>
      </c>
      <c r="D130" s="145"/>
      <c r="E130" s="194">
        <f t="shared" ref="E130:AR130" si="18">SUM(E119:E120)</f>
        <v>-90170150.488608792</v>
      </c>
      <c r="F130" s="194">
        <f t="shared" si="18"/>
        <v>-91973553.498380974</v>
      </c>
      <c r="G130" s="194">
        <f t="shared" si="18"/>
        <v>-93813024.568348587</v>
      </c>
      <c r="H130" s="194">
        <f t="shared" si="18"/>
        <v>-95689285.059715554</v>
      </c>
      <c r="I130" s="194">
        <f t="shared" si="18"/>
        <v>-97603070.76090987</v>
      </c>
      <c r="J130" s="194">
        <f t="shared" si="18"/>
        <v>-99555132.176128075</v>
      </c>
      <c r="K130" s="194">
        <f t="shared" si="18"/>
        <v>-101546234.81965064</v>
      </c>
      <c r="L130" s="194">
        <f t="shared" si="18"/>
        <v>-103577159.51604362</v>
      </c>
      <c r="M130" s="194">
        <f t="shared" si="18"/>
        <v>-105648702.70636451</v>
      </c>
      <c r="N130" s="194">
        <f t="shared" si="18"/>
        <v>-107761676.7604918</v>
      </c>
      <c r="O130" s="194">
        <f t="shared" si="18"/>
        <v>-109916910.29570164</v>
      </c>
      <c r="P130" s="194">
        <f t="shared" si="18"/>
        <v>-112115248.50161564</v>
      </c>
      <c r="Q130" s="194">
        <f t="shared" si="18"/>
        <v>-114357553.47164798</v>
      </c>
      <c r="R130" s="194">
        <f t="shared" si="18"/>
        <v>-116644704.54108094</v>
      </c>
      <c r="S130" s="194">
        <f t="shared" si="18"/>
        <v>-118977598.63190256</v>
      </c>
      <c r="T130" s="194">
        <f t="shared" si="18"/>
        <v>-313950909.81872344</v>
      </c>
      <c r="U130" s="194">
        <f t="shared" si="18"/>
        <v>-125980750.7447764</v>
      </c>
      <c r="V130" s="194">
        <f t="shared" si="18"/>
        <v>-128500365.75967194</v>
      </c>
      <c r="W130" s="194">
        <f t="shared" si="18"/>
        <v>-131070373.07486536</v>
      </c>
      <c r="X130" s="194">
        <f t="shared" si="18"/>
        <v>-133691780.53636266</v>
      </c>
      <c r="Y130" s="194">
        <f t="shared" si="18"/>
        <v>-136365616.14708993</v>
      </c>
      <c r="Z130" s="194">
        <f t="shared" si="18"/>
        <v>-139092928.47003171</v>
      </c>
      <c r="AA130" s="194">
        <f t="shared" si="18"/>
        <v>-141874787.03943235</v>
      </c>
      <c r="AB130" s="194">
        <f t="shared" si="18"/>
        <v>-144712282.78022099</v>
      </c>
      <c r="AC130" s="194">
        <f t="shared" si="18"/>
        <v>-147606528.43582541</v>
      </c>
      <c r="AD130" s="194">
        <f t="shared" si="18"/>
        <v>-150558659.0045419</v>
      </c>
      <c r="AE130" s="194">
        <f t="shared" si="18"/>
        <v>-153569832.18463278</v>
      </c>
      <c r="AF130" s="194">
        <f t="shared" si="18"/>
        <v>-156641228.82832539</v>
      </c>
      <c r="AG130" s="194">
        <f t="shared" si="18"/>
        <v>-159774053.40489194</v>
      </c>
      <c r="AH130" s="194">
        <f t="shared" si="18"/>
        <v>-162969534.47298974</v>
      </c>
      <c r="AI130" s="194">
        <f t="shared" si="18"/>
        <v>-166228925.16244957</v>
      </c>
      <c r="AJ130" s="194">
        <f t="shared" si="18"/>
        <v>-169553503.6656985</v>
      </c>
      <c r="AK130" s="194">
        <f t="shared" si="18"/>
        <v>-172944573.73901251</v>
      </c>
      <c r="AL130" s="194">
        <f t="shared" si="18"/>
        <v>-176403465.21379277</v>
      </c>
      <c r="AM130" s="194">
        <f t="shared" si="18"/>
        <v>-179931534.51806861</v>
      </c>
      <c r="AN130" s="194">
        <f t="shared" si="18"/>
        <v>0</v>
      </c>
      <c r="AO130" s="194">
        <f t="shared" si="18"/>
        <v>0</v>
      </c>
      <c r="AP130" s="194">
        <f t="shared" si="18"/>
        <v>0</v>
      </c>
      <c r="AQ130" s="194">
        <f t="shared" si="18"/>
        <v>0</v>
      </c>
      <c r="AR130" s="195">
        <f t="shared" si="18"/>
        <v>0</v>
      </c>
    </row>
    <row r="131" spans="1:44" x14ac:dyDescent="0.2">
      <c r="B131" s="161" t="s">
        <v>212</v>
      </c>
      <c r="C131" s="152" t="s">
        <v>183</v>
      </c>
      <c r="D131" s="154"/>
      <c r="E131" s="200">
        <f t="shared" ref="E131:AR131" si="19">SUM(E129:E130)</f>
        <v>-90170150.488608792</v>
      </c>
      <c r="F131" s="200">
        <f t="shared" si="19"/>
        <v>-91973553.498380974</v>
      </c>
      <c r="G131" s="200">
        <f t="shared" si="19"/>
        <v>-93813024.568348587</v>
      </c>
      <c r="H131" s="200">
        <f t="shared" si="19"/>
        <v>-95689285.059715554</v>
      </c>
      <c r="I131" s="200">
        <f t="shared" si="19"/>
        <v>-97603070.76090987</v>
      </c>
      <c r="J131" s="200">
        <f t="shared" si="19"/>
        <v>-99555132.176128075</v>
      </c>
      <c r="K131" s="200">
        <f t="shared" si="19"/>
        <v>-101546234.81965064</v>
      </c>
      <c r="L131" s="200">
        <f t="shared" si="19"/>
        <v>-103577159.51604362</v>
      </c>
      <c r="M131" s="200">
        <f t="shared" si="19"/>
        <v>-105648702.70636451</v>
      </c>
      <c r="N131" s="200">
        <f t="shared" si="19"/>
        <v>-107761676.7604918</v>
      </c>
      <c r="O131" s="200">
        <f t="shared" si="19"/>
        <v>-109916910.29570164</v>
      </c>
      <c r="P131" s="200">
        <f t="shared" si="19"/>
        <v>-112115248.50161564</v>
      </c>
      <c r="Q131" s="200">
        <f t="shared" si="19"/>
        <v>-114357553.47164798</v>
      </c>
      <c r="R131" s="200">
        <f t="shared" si="19"/>
        <v>-116644704.54108094</v>
      </c>
      <c r="S131" s="200">
        <f t="shared" si="19"/>
        <v>-118977598.63190256</v>
      </c>
      <c r="T131" s="200">
        <f t="shared" si="19"/>
        <v>-15978759.538624823</v>
      </c>
      <c r="U131" s="200">
        <f t="shared" si="19"/>
        <v>177950842.54092422</v>
      </c>
      <c r="V131" s="200">
        <f t="shared" si="19"/>
        <v>181509859.39174271</v>
      </c>
      <c r="W131" s="200">
        <f t="shared" si="19"/>
        <v>185140056.57957757</v>
      </c>
      <c r="X131" s="200">
        <f t="shared" si="19"/>
        <v>188842857.71116906</v>
      </c>
      <c r="Y131" s="200">
        <f t="shared" si="19"/>
        <v>192619714.86539242</v>
      </c>
      <c r="Z131" s="200">
        <f t="shared" si="19"/>
        <v>196472109.16270027</v>
      </c>
      <c r="AA131" s="200">
        <f t="shared" si="19"/>
        <v>200401551.3459543</v>
      </c>
      <c r="AB131" s="200">
        <f t="shared" si="19"/>
        <v>204409582.37287337</v>
      </c>
      <c r="AC131" s="200">
        <f t="shared" si="19"/>
        <v>208497774.02033085</v>
      </c>
      <c r="AD131" s="200">
        <f t="shared" si="19"/>
        <v>212667729.50073752</v>
      </c>
      <c r="AE131" s="200">
        <f t="shared" si="19"/>
        <v>216921084.09075224</v>
      </c>
      <c r="AF131" s="200">
        <f t="shared" si="19"/>
        <v>221259505.77256721</v>
      </c>
      <c r="AG131" s="200">
        <f t="shared" si="19"/>
        <v>225684695.88801864</v>
      </c>
      <c r="AH131" s="200">
        <f t="shared" si="19"/>
        <v>230198389.80577898</v>
      </c>
      <c r="AI131" s="200">
        <f t="shared" si="19"/>
        <v>234802357.60189453</v>
      </c>
      <c r="AJ131" s="200">
        <f t="shared" si="19"/>
        <v>239498404.75393245</v>
      </c>
      <c r="AK131" s="200">
        <f t="shared" si="19"/>
        <v>244288372.84901109</v>
      </c>
      <c r="AL131" s="200">
        <f t="shared" si="19"/>
        <v>249174140.30599132</v>
      </c>
      <c r="AM131" s="200">
        <f t="shared" si="19"/>
        <v>254157623.11211115</v>
      </c>
      <c r="AN131" s="200">
        <f t="shared" si="19"/>
        <v>0</v>
      </c>
      <c r="AO131" s="200">
        <f t="shared" si="19"/>
        <v>0</v>
      </c>
      <c r="AP131" s="200">
        <f t="shared" si="19"/>
        <v>0</v>
      </c>
      <c r="AQ131" s="200">
        <f t="shared" si="19"/>
        <v>0</v>
      </c>
      <c r="AR131" s="201">
        <f t="shared" si="19"/>
        <v>0</v>
      </c>
    </row>
    <row r="132" spans="1:44" ht="12.95" customHeight="1" x14ac:dyDescent="0.2">
      <c r="B132" s="157" t="s">
        <v>213</v>
      </c>
      <c r="C132" s="148"/>
      <c r="D132" s="149"/>
      <c r="E132" s="149"/>
      <c r="F132" s="149"/>
      <c r="G132" s="149"/>
      <c r="H132" s="149"/>
      <c r="I132" s="149"/>
      <c r="J132" s="149"/>
      <c r="K132" s="149"/>
      <c r="L132" s="149"/>
      <c r="M132" s="149"/>
      <c r="N132" s="149"/>
      <c r="O132" s="149"/>
      <c r="P132" s="149"/>
      <c r="Q132" s="149"/>
      <c r="R132" s="149"/>
      <c r="S132" s="149"/>
      <c r="T132" s="149"/>
      <c r="U132" s="149"/>
      <c r="V132" s="149"/>
      <c r="W132" s="149"/>
      <c r="X132" s="149"/>
      <c r="Y132" s="149"/>
      <c r="Z132" s="149"/>
      <c r="AA132" s="149"/>
      <c r="AB132" s="149"/>
      <c r="AC132" s="149"/>
      <c r="AD132" s="149"/>
      <c r="AE132" s="149"/>
      <c r="AF132" s="149"/>
      <c r="AG132" s="149"/>
      <c r="AH132" s="149"/>
      <c r="AI132" s="149"/>
      <c r="AJ132" s="149"/>
      <c r="AK132" s="149"/>
      <c r="AL132" s="149"/>
      <c r="AM132" s="149"/>
      <c r="AN132" s="149"/>
      <c r="AO132" s="149"/>
      <c r="AP132" s="149"/>
      <c r="AQ132" s="149"/>
      <c r="AR132" s="160"/>
    </row>
    <row r="133" spans="1:44" x14ac:dyDescent="0.2">
      <c r="B133" s="50" t="s">
        <v>214</v>
      </c>
      <c r="C133" s="145" t="s">
        <v>183</v>
      </c>
      <c r="D133" s="145"/>
      <c r="E133" s="194">
        <f t="shared" ref="E133:AR133" si="20">IF(E111&gt;$C$75,0,-$C$151/$C$75)</f>
        <v>-153018287.07573295</v>
      </c>
      <c r="F133" s="194">
        <f t="shared" si="20"/>
        <v>-153018287.07573295</v>
      </c>
      <c r="G133" s="194">
        <f t="shared" si="20"/>
        <v>-153018287.07573295</v>
      </c>
      <c r="H133" s="194">
        <f t="shared" si="20"/>
        <v>-153018287.07573295</v>
      </c>
      <c r="I133" s="194">
        <f t="shared" si="20"/>
        <v>-153018287.07573295</v>
      </c>
      <c r="J133" s="194">
        <f t="shared" si="20"/>
        <v>-153018287.07573295</v>
      </c>
      <c r="K133" s="194">
        <f t="shared" si="20"/>
        <v>-153018287.07573295</v>
      </c>
      <c r="L133" s="194">
        <f t="shared" si="20"/>
        <v>-153018287.07573295</v>
      </c>
      <c r="M133" s="194">
        <f t="shared" si="20"/>
        <v>-153018287.07573295</v>
      </c>
      <c r="N133" s="194">
        <f t="shared" si="20"/>
        <v>-153018287.07573295</v>
      </c>
      <c r="O133" s="194">
        <f t="shared" si="20"/>
        <v>-153018287.07573295</v>
      </c>
      <c r="P133" s="194">
        <f t="shared" si="20"/>
        <v>-153018287.07573295</v>
      </c>
      <c r="Q133" s="194">
        <f t="shared" si="20"/>
        <v>-153018287.07573295</v>
      </c>
      <c r="R133" s="194">
        <f t="shared" si="20"/>
        <v>-153018287.07573295</v>
      </c>
      <c r="S133" s="194">
        <f t="shared" si="20"/>
        <v>-153018287.07573295</v>
      </c>
      <c r="T133" s="194">
        <f t="shared" si="20"/>
        <v>-153018287.07573295</v>
      </c>
      <c r="U133" s="194">
        <f t="shared" si="20"/>
        <v>-153018287.07573295</v>
      </c>
      <c r="V133" s="194">
        <f t="shared" si="20"/>
        <v>-153018287.07573295</v>
      </c>
      <c r="W133" s="194">
        <f t="shared" si="20"/>
        <v>-153018287.07573295</v>
      </c>
      <c r="X133" s="194">
        <f t="shared" si="20"/>
        <v>-153018287.07573295</v>
      </c>
      <c r="Y133" s="194">
        <f t="shared" si="20"/>
        <v>0</v>
      </c>
      <c r="Z133" s="194">
        <f t="shared" si="20"/>
        <v>0</v>
      </c>
      <c r="AA133" s="194">
        <f t="shared" si="20"/>
        <v>0</v>
      </c>
      <c r="AB133" s="194">
        <f t="shared" si="20"/>
        <v>0</v>
      </c>
      <c r="AC133" s="194">
        <f t="shared" si="20"/>
        <v>0</v>
      </c>
      <c r="AD133" s="194">
        <f t="shared" si="20"/>
        <v>0</v>
      </c>
      <c r="AE133" s="194">
        <f t="shared" si="20"/>
        <v>0</v>
      </c>
      <c r="AF133" s="194">
        <f t="shared" si="20"/>
        <v>0</v>
      </c>
      <c r="AG133" s="194">
        <f t="shared" si="20"/>
        <v>0</v>
      </c>
      <c r="AH133" s="194">
        <f t="shared" si="20"/>
        <v>0</v>
      </c>
      <c r="AI133" s="194">
        <f t="shared" si="20"/>
        <v>0</v>
      </c>
      <c r="AJ133" s="194">
        <f t="shared" si="20"/>
        <v>0</v>
      </c>
      <c r="AK133" s="194">
        <f t="shared" si="20"/>
        <v>0</v>
      </c>
      <c r="AL133" s="194">
        <f t="shared" si="20"/>
        <v>0</v>
      </c>
      <c r="AM133" s="194">
        <f t="shared" si="20"/>
        <v>0</v>
      </c>
      <c r="AN133" s="194">
        <f t="shared" si="20"/>
        <v>0</v>
      </c>
      <c r="AO133" s="194">
        <f t="shared" si="20"/>
        <v>0</v>
      </c>
      <c r="AP133" s="194">
        <f t="shared" si="20"/>
        <v>0</v>
      </c>
      <c r="AQ133" s="194">
        <f t="shared" si="20"/>
        <v>0</v>
      </c>
      <c r="AR133" s="195">
        <f t="shared" si="20"/>
        <v>0</v>
      </c>
    </row>
    <row r="134" spans="1:44" x14ac:dyDescent="0.2">
      <c r="B134" s="50" t="s">
        <v>215</v>
      </c>
      <c r="C134" s="145" t="s">
        <v>183</v>
      </c>
      <c r="D134" s="145"/>
      <c r="E134" s="194">
        <f t="shared" ref="E134:AR134" si="21">IF(E111&gt;$C$74,0,IPMT($C$90,E111,$C$74,$C$156))</f>
        <v>-103287343.77611972</v>
      </c>
      <c r="F134" s="194">
        <f t="shared" si="21"/>
        <v>-98317796.336991295</v>
      </c>
      <c r="G134" s="194">
        <f t="shared" si="21"/>
        <v>-93124619.263102174</v>
      </c>
      <c r="H134" s="194">
        <f t="shared" si="21"/>
        <v>-87697749.220887989</v>
      </c>
      <c r="I134" s="194">
        <f t="shared" si="21"/>
        <v>-82026670.026774183</v>
      </c>
      <c r="J134" s="194">
        <f t="shared" si="21"/>
        <v>-76100392.26892525</v>
      </c>
      <c r="K134" s="194">
        <f t="shared" si="21"/>
        <v>-69907432.011973113</v>
      </c>
      <c r="L134" s="194">
        <f t="shared" si="21"/>
        <v>-63435788.543458141</v>
      </c>
      <c r="M134" s="194">
        <f t="shared" si="21"/>
        <v>-56672921.118859977</v>
      </c>
      <c r="N134" s="194">
        <f t="shared" si="21"/>
        <v>-49605724.660154901</v>
      </c>
      <c r="O134" s="194">
        <f t="shared" si="21"/>
        <v>-42220504.360808112</v>
      </c>
      <c r="P134" s="194">
        <f t="shared" si="21"/>
        <v>-34502949.147990696</v>
      </c>
      <c r="Q134" s="194">
        <f t="shared" si="21"/>
        <v>-26438103.950596504</v>
      </c>
      <c r="R134" s="194">
        <f t="shared" si="21"/>
        <v>-18010340.719319578</v>
      </c>
      <c r="S134" s="194">
        <f t="shared" si="21"/>
        <v>-9203328.1426351871</v>
      </c>
      <c r="T134" s="194">
        <f t="shared" si="21"/>
        <v>0</v>
      </c>
      <c r="U134" s="194">
        <f t="shared" si="21"/>
        <v>0</v>
      </c>
      <c r="V134" s="194">
        <f t="shared" si="21"/>
        <v>0</v>
      </c>
      <c r="W134" s="194">
        <f t="shared" si="21"/>
        <v>0</v>
      </c>
      <c r="X134" s="194">
        <f t="shared" si="21"/>
        <v>0</v>
      </c>
      <c r="Y134" s="194">
        <f t="shared" si="21"/>
        <v>0</v>
      </c>
      <c r="Z134" s="194">
        <f t="shared" si="21"/>
        <v>0</v>
      </c>
      <c r="AA134" s="194">
        <f t="shared" si="21"/>
        <v>0</v>
      </c>
      <c r="AB134" s="194">
        <f t="shared" si="21"/>
        <v>0</v>
      </c>
      <c r="AC134" s="194">
        <f t="shared" si="21"/>
        <v>0</v>
      </c>
      <c r="AD134" s="194">
        <f t="shared" si="21"/>
        <v>0</v>
      </c>
      <c r="AE134" s="194">
        <f t="shared" si="21"/>
        <v>0</v>
      </c>
      <c r="AF134" s="194">
        <f t="shared" si="21"/>
        <v>0</v>
      </c>
      <c r="AG134" s="194">
        <f t="shared" si="21"/>
        <v>0</v>
      </c>
      <c r="AH134" s="194">
        <f t="shared" si="21"/>
        <v>0</v>
      </c>
      <c r="AI134" s="194">
        <f t="shared" si="21"/>
        <v>0</v>
      </c>
      <c r="AJ134" s="194">
        <f t="shared" si="21"/>
        <v>0</v>
      </c>
      <c r="AK134" s="194">
        <f t="shared" si="21"/>
        <v>0</v>
      </c>
      <c r="AL134" s="194">
        <f t="shared" si="21"/>
        <v>0</v>
      </c>
      <c r="AM134" s="194">
        <f t="shared" si="21"/>
        <v>0</v>
      </c>
      <c r="AN134" s="194">
        <f t="shared" si="21"/>
        <v>0</v>
      </c>
      <c r="AO134" s="194">
        <f t="shared" si="21"/>
        <v>0</v>
      </c>
      <c r="AP134" s="194">
        <f t="shared" si="21"/>
        <v>0</v>
      </c>
      <c r="AQ134" s="194">
        <f t="shared" si="21"/>
        <v>0</v>
      </c>
      <c r="AR134" s="195">
        <f t="shared" si="21"/>
        <v>0</v>
      </c>
    </row>
    <row r="135" spans="1:44" x14ac:dyDescent="0.2">
      <c r="B135" s="50" t="s">
        <v>216</v>
      </c>
      <c r="C135" s="145" t="s">
        <v>183</v>
      </c>
      <c r="D135" s="145"/>
      <c r="E135" s="194">
        <f t="shared" ref="E135:AR135" si="22">IF(E111&gt;$C$74,0,PPMT($C$90,E111,$C$74,$C$156))</f>
        <v>-110434387.53618629</v>
      </c>
      <c r="F135" s="194">
        <f t="shared" si="22"/>
        <v>-115403934.97531468</v>
      </c>
      <c r="G135" s="194">
        <f t="shared" si="22"/>
        <v>-120597112.04920386</v>
      </c>
      <c r="H135" s="194">
        <f t="shared" si="22"/>
        <v>-126023982.09141803</v>
      </c>
      <c r="I135" s="194">
        <f t="shared" si="22"/>
        <v>-131695061.28553183</v>
      </c>
      <c r="J135" s="194">
        <f t="shared" si="22"/>
        <v>-137621339.04338077</v>
      </c>
      <c r="K135" s="194">
        <f t="shared" si="22"/>
        <v>-143814299.30033293</v>
      </c>
      <c r="L135" s="194">
        <f t="shared" si="22"/>
        <v>-150285942.76884788</v>
      </c>
      <c r="M135" s="194">
        <f t="shared" si="22"/>
        <v>-157048810.19344604</v>
      </c>
      <c r="N135" s="194">
        <f t="shared" si="22"/>
        <v>-164116006.65215114</v>
      </c>
      <c r="O135" s="194">
        <f t="shared" si="22"/>
        <v>-171501226.95149791</v>
      </c>
      <c r="P135" s="194">
        <f t="shared" si="22"/>
        <v>-179218782.16431534</v>
      </c>
      <c r="Q135" s="194">
        <f t="shared" si="22"/>
        <v>-187283627.36170954</v>
      </c>
      <c r="R135" s="194">
        <f t="shared" si="22"/>
        <v>-195711390.59298646</v>
      </c>
      <c r="S135" s="194">
        <f t="shared" si="22"/>
        <v>-204518403.16967082</v>
      </c>
      <c r="T135" s="194">
        <f t="shared" si="22"/>
        <v>0</v>
      </c>
      <c r="U135" s="194">
        <f t="shared" si="22"/>
        <v>0</v>
      </c>
      <c r="V135" s="194">
        <f t="shared" si="22"/>
        <v>0</v>
      </c>
      <c r="W135" s="194">
        <f t="shared" si="22"/>
        <v>0</v>
      </c>
      <c r="X135" s="194">
        <f t="shared" si="22"/>
        <v>0</v>
      </c>
      <c r="Y135" s="194">
        <f t="shared" si="22"/>
        <v>0</v>
      </c>
      <c r="Z135" s="194">
        <f t="shared" si="22"/>
        <v>0</v>
      </c>
      <c r="AA135" s="194">
        <f t="shared" si="22"/>
        <v>0</v>
      </c>
      <c r="AB135" s="194">
        <f t="shared" si="22"/>
        <v>0</v>
      </c>
      <c r="AC135" s="194">
        <f t="shared" si="22"/>
        <v>0</v>
      </c>
      <c r="AD135" s="194">
        <f t="shared" si="22"/>
        <v>0</v>
      </c>
      <c r="AE135" s="194">
        <f t="shared" si="22"/>
        <v>0</v>
      </c>
      <c r="AF135" s="194">
        <f t="shared" si="22"/>
        <v>0</v>
      </c>
      <c r="AG135" s="194">
        <f t="shared" si="22"/>
        <v>0</v>
      </c>
      <c r="AH135" s="194">
        <f t="shared" si="22"/>
        <v>0</v>
      </c>
      <c r="AI135" s="194">
        <f t="shared" si="22"/>
        <v>0</v>
      </c>
      <c r="AJ135" s="194">
        <f t="shared" si="22"/>
        <v>0</v>
      </c>
      <c r="AK135" s="194">
        <f t="shared" si="22"/>
        <v>0</v>
      </c>
      <c r="AL135" s="194">
        <f t="shared" si="22"/>
        <v>0</v>
      </c>
      <c r="AM135" s="194">
        <f t="shared" si="22"/>
        <v>0</v>
      </c>
      <c r="AN135" s="194">
        <f t="shared" si="22"/>
        <v>0</v>
      </c>
      <c r="AO135" s="194">
        <f t="shared" si="22"/>
        <v>0</v>
      </c>
      <c r="AP135" s="194">
        <f t="shared" si="22"/>
        <v>0</v>
      </c>
      <c r="AQ135" s="194">
        <f t="shared" si="22"/>
        <v>0</v>
      </c>
      <c r="AR135" s="195">
        <f t="shared" si="22"/>
        <v>0</v>
      </c>
    </row>
    <row r="136" spans="1:44" s="33" customFormat="1" ht="12.95" customHeight="1" x14ac:dyDescent="0.2">
      <c r="A136" s="244"/>
      <c r="B136" s="161" t="s">
        <v>217</v>
      </c>
      <c r="C136" s="152" t="s">
        <v>183</v>
      </c>
      <c r="D136" s="152"/>
      <c r="E136" s="200">
        <f t="shared" ref="E136:AR136" si="23">SUM(E134,E135)</f>
        <v>-213721731.31230602</v>
      </c>
      <c r="F136" s="200">
        <f t="shared" si="23"/>
        <v>-213721731.31230599</v>
      </c>
      <c r="G136" s="200">
        <f t="shared" si="23"/>
        <v>-213721731.31230605</v>
      </c>
      <c r="H136" s="200">
        <f t="shared" si="23"/>
        <v>-213721731.31230602</v>
      </c>
      <c r="I136" s="200">
        <f t="shared" si="23"/>
        <v>-213721731.31230602</v>
      </c>
      <c r="J136" s="200">
        <f t="shared" si="23"/>
        <v>-213721731.31230602</v>
      </c>
      <c r="K136" s="200">
        <f t="shared" si="23"/>
        <v>-213721731.31230605</v>
      </c>
      <c r="L136" s="200">
        <f t="shared" si="23"/>
        <v>-213721731.31230602</v>
      </c>
      <c r="M136" s="200">
        <f t="shared" si="23"/>
        <v>-213721731.31230602</v>
      </c>
      <c r="N136" s="200">
        <f t="shared" si="23"/>
        <v>-213721731.31230605</v>
      </c>
      <c r="O136" s="200">
        <f t="shared" si="23"/>
        <v>-213721731.31230602</v>
      </c>
      <c r="P136" s="200">
        <f t="shared" si="23"/>
        <v>-213721731.31230605</v>
      </c>
      <c r="Q136" s="200">
        <f t="shared" si="23"/>
        <v>-213721731.31230605</v>
      </c>
      <c r="R136" s="200">
        <f t="shared" si="23"/>
        <v>-213721731.31230605</v>
      </c>
      <c r="S136" s="200">
        <f t="shared" si="23"/>
        <v>-213721731.31230602</v>
      </c>
      <c r="T136" s="200">
        <f t="shared" si="23"/>
        <v>0</v>
      </c>
      <c r="U136" s="200">
        <f t="shared" si="23"/>
        <v>0</v>
      </c>
      <c r="V136" s="200">
        <f t="shared" si="23"/>
        <v>0</v>
      </c>
      <c r="W136" s="200">
        <f t="shared" si="23"/>
        <v>0</v>
      </c>
      <c r="X136" s="200">
        <f t="shared" si="23"/>
        <v>0</v>
      </c>
      <c r="Y136" s="200">
        <f t="shared" si="23"/>
        <v>0</v>
      </c>
      <c r="Z136" s="200">
        <f t="shared" si="23"/>
        <v>0</v>
      </c>
      <c r="AA136" s="200">
        <f t="shared" si="23"/>
        <v>0</v>
      </c>
      <c r="AB136" s="200">
        <f t="shared" si="23"/>
        <v>0</v>
      </c>
      <c r="AC136" s="200">
        <f t="shared" si="23"/>
        <v>0</v>
      </c>
      <c r="AD136" s="200">
        <f t="shared" si="23"/>
        <v>0</v>
      </c>
      <c r="AE136" s="200">
        <f t="shared" si="23"/>
        <v>0</v>
      </c>
      <c r="AF136" s="200">
        <f t="shared" si="23"/>
        <v>0</v>
      </c>
      <c r="AG136" s="200">
        <f t="shared" si="23"/>
        <v>0</v>
      </c>
      <c r="AH136" s="200">
        <f t="shared" si="23"/>
        <v>0</v>
      </c>
      <c r="AI136" s="200">
        <f t="shared" si="23"/>
        <v>0</v>
      </c>
      <c r="AJ136" s="200">
        <f t="shared" si="23"/>
        <v>0</v>
      </c>
      <c r="AK136" s="200">
        <f t="shared" si="23"/>
        <v>0</v>
      </c>
      <c r="AL136" s="200">
        <f t="shared" si="23"/>
        <v>0</v>
      </c>
      <c r="AM136" s="200">
        <f t="shared" si="23"/>
        <v>0</v>
      </c>
      <c r="AN136" s="200">
        <f t="shared" si="23"/>
        <v>0</v>
      </c>
      <c r="AO136" s="200">
        <f t="shared" si="23"/>
        <v>0</v>
      </c>
      <c r="AP136" s="200">
        <f t="shared" si="23"/>
        <v>0</v>
      </c>
      <c r="AQ136" s="200">
        <f t="shared" si="23"/>
        <v>0</v>
      </c>
      <c r="AR136" s="201">
        <f t="shared" si="23"/>
        <v>0</v>
      </c>
    </row>
    <row r="137" spans="1:44" ht="12.95" customHeight="1" x14ac:dyDescent="0.2">
      <c r="B137" s="157" t="s">
        <v>218</v>
      </c>
      <c r="C137" s="148"/>
      <c r="D137" s="149"/>
      <c r="E137" s="149"/>
      <c r="F137" s="149"/>
      <c r="G137" s="149"/>
      <c r="H137" s="149"/>
      <c r="I137" s="149"/>
      <c r="J137" s="149"/>
      <c r="K137" s="149"/>
      <c r="L137" s="149"/>
      <c r="M137" s="149"/>
      <c r="N137" s="149"/>
      <c r="O137" s="149"/>
      <c r="P137" s="149"/>
      <c r="Q137" s="149"/>
      <c r="R137" s="149"/>
      <c r="S137" s="149"/>
      <c r="T137" s="149"/>
      <c r="U137" s="149"/>
      <c r="V137" s="149"/>
      <c r="W137" s="149"/>
      <c r="X137" s="149"/>
      <c r="Y137" s="149"/>
      <c r="Z137" s="149"/>
      <c r="AA137" s="149"/>
      <c r="AB137" s="149"/>
      <c r="AC137" s="149"/>
      <c r="AD137" s="149"/>
      <c r="AE137" s="149"/>
      <c r="AF137" s="149"/>
      <c r="AG137" s="149"/>
      <c r="AH137" s="149"/>
      <c r="AI137" s="149"/>
      <c r="AJ137" s="149"/>
      <c r="AK137" s="149"/>
      <c r="AL137" s="149"/>
      <c r="AM137" s="149"/>
      <c r="AN137" s="149"/>
      <c r="AO137" s="149"/>
      <c r="AP137" s="149"/>
      <c r="AQ137" s="149"/>
      <c r="AR137" s="160"/>
    </row>
    <row r="138" spans="1:44" x14ac:dyDescent="0.2">
      <c r="B138" s="50" t="s">
        <v>219</v>
      </c>
      <c r="C138" s="145" t="s">
        <v>183</v>
      </c>
      <c r="D138" s="145"/>
      <c r="E138" s="194">
        <f t="shared" ref="E138:AR138" si="24">E131+E133+E134</f>
        <v>-346475781.34046143</v>
      </c>
      <c r="F138" s="194">
        <f t="shared" si="24"/>
        <v>-343309636.91110522</v>
      </c>
      <c r="G138" s="194">
        <f t="shared" si="24"/>
        <v>-339955930.90718371</v>
      </c>
      <c r="H138" s="194">
        <f t="shared" si="24"/>
        <v>-336405321.35633647</v>
      </c>
      <c r="I138" s="194">
        <f t="shared" si="24"/>
        <v>-332648027.86341697</v>
      </c>
      <c r="J138" s="194">
        <f t="shared" si="24"/>
        <v>-328673811.52078629</v>
      </c>
      <c r="K138" s="194">
        <f t="shared" si="24"/>
        <v>-324471953.90735674</v>
      </c>
      <c r="L138" s="194">
        <f t="shared" si="24"/>
        <v>-320031235.13523471</v>
      </c>
      <c r="M138" s="194">
        <f t="shared" si="24"/>
        <v>-315339910.90095747</v>
      </c>
      <c r="N138" s="194">
        <f t="shared" si="24"/>
        <v>-310385688.49637961</v>
      </c>
      <c r="O138" s="194">
        <f t="shared" si="24"/>
        <v>-305155701.7322427</v>
      </c>
      <c r="P138" s="194">
        <f t="shared" si="24"/>
        <v>-299636484.72533929</v>
      </c>
      <c r="Q138" s="194">
        <f t="shared" si="24"/>
        <v>-293813944.49797744</v>
      </c>
      <c r="R138" s="194">
        <f t="shared" si="24"/>
        <v>-287673332.33613348</v>
      </c>
      <c r="S138" s="194">
        <f t="shared" si="24"/>
        <v>-281199213.85027069</v>
      </c>
      <c r="T138" s="194">
        <f t="shared" si="24"/>
        <v>-168997046.61435777</v>
      </c>
      <c r="U138" s="194">
        <f t="shared" si="24"/>
        <v>24932555.465191275</v>
      </c>
      <c r="V138" s="194">
        <f t="shared" si="24"/>
        <v>28491572.31600976</v>
      </c>
      <c r="W138" s="194">
        <f t="shared" si="24"/>
        <v>32121769.503844619</v>
      </c>
      <c r="X138" s="194">
        <f t="shared" si="24"/>
        <v>35824570.635436118</v>
      </c>
      <c r="Y138" s="194">
        <f t="shared" si="24"/>
        <v>192619714.86539242</v>
      </c>
      <c r="Z138" s="194">
        <f t="shared" si="24"/>
        <v>196472109.16270027</v>
      </c>
      <c r="AA138" s="194">
        <f t="shared" si="24"/>
        <v>200401551.3459543</v>
      </c>
      <c r="AB138" s="194">
        <f t="shared" si="24"/>
        <v>204409582.37287337</v>
      </c>
      <c r="AC138" s="194">
        <f t="shared" si="24"/>
        <v>208497774.02033085</v>
      </c>
      <c r="AD138" s="194">
        <f t="shared" si="24"/>
        <v>212667729.50073752</v>
      </c>
      <c r="AE138" s="194">
        <f t="shared" si="24"/>
        <v>216921084.09075224</v>
      </c>
      <c r="AF138" s="194">
        <f t="shared" si="24"/>
        <v>221259505.77256721</v>
      </c>
      <c r="AG138" s="194">
        <f t="shared" si="24"/>
        <v>225684695.88801864</v>
      </c>
      <c r="AH138" s="194">
        <f t="shared" si="24"/>
        <v>230198389.80577898</v>
      </c>
      <c r="AI138" s="194">
        <f t="shared" si="24"/>
        <v>234802357.60189453</v>
      </c>
      <c r="AJ138" s="194">
        <f t="shared" si="24"/>
        <v>239498404.75393245</v>
      </c>
      <c r="AK138" s="194">
        <f t="shared" si="24"/>
        <v>244288372.84901109</v>
      </c>
      <c r="AL138" s="194">
        <f t="shared" si="24"/>
        <v>249174140.30599132</v>
      </c>
      <c r="AM138" s="194">
        <f t="shared" si="24"/>
        <v>254157623.11211115</v>
      </c>
      <c r="AN138" s="194">
        <f t="shared" si="24"/>
        <v>0</v>
      </c>
      <c r="AO138" s="194">
        <f t="shared" si="24"/>
        <v>0</v>
      </c>
      <c r="AP138" s="194">
        <f t="shared" si="24"/>
        <v>0</v>
      </c>
      <c r="AQ138" s="194">
        <f t="shared" si="24"/>
        <v>0</v>
      </c>
      <c r="AR138" s="195">
        <f t="shared" si="24"/>
        <v>0</v>
      </c>
    </row>
    <row r="139" spans="1:44" x14ac:dyDescent="0.2">
      <c r="B139" s="50" t="s">
        <v>220</v>
      </c>
      <c r="C139" s="145" t="s">
        <v>183</v>
      </c>
      <c r="D139" s="145"/>
      <c r="E139" s="194">
        <f t="shared" ref="E139:AR139" si="25">-$C$94*E138</f>
        <v>89390751.585839048</v>
      </c>
      <c r="F139" s="194">
        <f t="shared" si="25"/>
        <v>88573886.323065147</v>
      </c>
      <c r="G139" s="194">
        <f t="shared" si="25"/>
        <v>87708630.174053401</v>
      </c>
      <c r="H139" s="194">
        <f t="shared" si="25"/>
        <v>86792572.909934819</v>
      </c>
      <c r="I139" s="194">
        <f t="shared" si="25"/>
        <v>85823191.188761577</v>
      </c>
      <c r="J139" s="194">
        <f t="shared" si="25"/>
        <v>84797843.372362867</v>
      </c>
      <c r="K139" s="194">
        <f t="shared" si="25"/>
        <v>83713764.108098045</v>
      </c>
      <c r="L139" s="194">
        <f t="shared" si="25"/>
        <v>82568058.664890558</v>
      </c>
      <c r="M139" s="194">
        <f t="shared" si="25"/>
        <v>81357697.012447029</v>
      </c>
      <c r="N139" s="194">
        <f t="shared" si="25"/>
        <v>80079507.632065937</v>
      </c>
      <c r="O139" s="194">
        <f t="shared" si="25"/>
        <v>78730171.046918616</v>
      </c>
      <c r="P139" s="194">
        <f t="shared" si="25"/>
        <v>77306213.059137538</v>
      </c>
      <c r="Q139" s="194">
        <f t="shared" si="25"/>
        <v>75803997.680478185</v>
      </c>
      <c r="R139" s="194">
        <f t="shared" si="25"/>
        <v>74219719.742722437</v>
      </c>
      <c r="S139" s="194">
        <f t="shared" si="25"/>
        <v>72549397.17336984</v>
      </c>
      <c r="T139" s="194">
        <f t="shared" si="25"/>
        <v>43601238.026504308</v>
      </c>
      <c r="U139" s="194">
        <f t="shared" si="25"/>
        <v>-6432599.3100193487</v>
      </c>
      <c r="V139" s="194">
        <f t="shared" si="25"/>
        <v>-7350825.6575305182</v>
      </c>
      <c r="W139" s="194">
        <f t="shared" si="25"/>
        <v>-8287416.5319919121</v>
      </c>
      <c r="X139" s="194">
        <f t="shared" si="25"/>
        <v>-9242739.2239425182</v>
      </c>
      <c r="Y139" s="194">
        <f t="shared" si="25"/>
        <v>-49695886.435271248</v>
      </c>
      <c r="Z139" s="194">
        <f t="shared" si="25"/>
        <v>-50689804.163976669</v>
      </c>
      <c r="AA139" s="194">
        <f t="shared" si="25"/>
        <v>-51703600.247256212</v>
      </c>
      <c r="AB139" s="194">
        <f t="shared" si="25"/>
        <v>-52737672.252201326</v>
      </c>
      <c r="AC139" s="194">
        <f t="shared" si="25"/>
        <v>-53792425.697245359</v>
      </c>
      <c r="AD139" s="194">
        <f t="shared" si="25"/>
        <v>-54868274.211190283</v>
      </c>
      <c r="AE139" s="194">
        <f t="shared" si="25"/>
        <v>-55965639.695414081</v>
      </c>
      <c r="AF139" s="194">
        <f t="shared" si="25"/>
        <v>-57084952.489322342</v>
      </c>
      <c r="AG139" s="194">
        <f t="shared" si="25"/>
        <v>-58226651.539108813</v>
      </c>
      <c r="AH139" s="194">
        <f t="shared" si="25"/>
        <v>-59391184.569890976</v>
      </c>
      <c r="AI139" s="194">
        <f t="shared" si="25"/>
        <v>-60579008.261288792</v>
      </c>
      <c r="AJ139" s="194">
        <f t="shared" si="25"/>
        <v>-61790588.426514573</v>
      </c>
      <c r="AK139" s="194">
        <f t="shared" si="25"/>
        <v>-63026400.19504486</v>
      </c>
      <c r="AL139" s="194">
        <f t="shared" si="25"/>
        <v>-64286928.198945761</v>
      </c>
      <c r="AM139" s="194">
        <f t="shared" si="25"/>
        <v>-65572666.762924679</v>
      </c>
      <c r="AN139" s="194">
        <f t="shared" si="25"/>
        <v>0</v>
      </c>
      <c r="AO139" s="194">
        <f t="shared" si="25"/>
        <v>0</v>
      </c>
      <c r="AP139" s="194">
        <f t="shared" si="25"/>
        <v>0</v>
      </c>
      <c r="AQ139" s="194">
        <f t="shared" si="25"/>
        <v>0</v>
      </c>
      <c r="AR139" s="195">
        <f t="shared" si="25"/>
        <v>0</v>
      </c>
    </row>
    <row r="140" spans="1:44" ht="12.95" customHeight="1" x14ac:dyDescent="0.2">
      <c r="B140" s="157" t="s">
        <v>221</v>
      </c>
      <c r="C140" s="148"/>
      <c r="D140" s="149"/>
      <c r="E140" s="149"/>
      <c r="F140" s="149"/>
      <c r="G140" s="149"/>
      <c r="H140" s="149"/>
      <c r="I140" s="149"/>
      <c r="J140" s="149"/>
      <c r="K140" s="149"/>
      <c r="L140" s="149"/>
      <c r="M140" s="149"/>
      <c r="N140" s="149"/>
      <c r="O140" s="149"/>
      <c r="P140" s="149"/>
      <c r="Q140" s="149"/>
      <c r="R140" s="149"/>
      <c r="S140" s="149"/>
      <c r="T140" s="149"/>
      <c r="U140" s="149"/>
      <c r="V140" s="149"/>
      <c r="W140" s="149"/>
      <c r="X140" s="149"/>
      <c r="Y140" s="149"/>
      <c r="Z140" s="149"/>
      <c r="AA140" s="149"/>
      <c r="AB140" s="149"/>
      <c r="AC140" s="149"/>
      <c r="AD140" s="149"/>
      <c r="AE140" s="149"/>
      <c r="AF140" s="149"/>
      <c r="AG140" s="149"/>
      <c r="AH140" s="149"/>
      <c r="AI140" s="149"/>
      <c r="AJ140" s="149"/>
      <c r="AK140" s="149"/>
      <c r="AL140" s="149"/>
      <c r="AM140" s="149"/>
      <c r="AN140" s="149"/>
      <c r="AO140" s="149"/>
      <c r="AP140" s="149"/>
      <c r="AQ140" s="149"/>
      <c r="AR140" s="160"/>
    </row>
    <row r="141" spans="1:44" x14ac:dyDescent="0.2">
      <c r="B141" s="161" t="s">
        <v>222</v>
      </c>
      <c r="C141" s="152" t="s">
        <v>183</v>
      </c>
      <c r="D141" s="152"/>
      <c r="E141" s="200">
        <f t="shared" ref="E141:AR141" si="26">E131+E136+E139</f>
        <v>-214501130.21507579</v>
      </c>
      <c r="F141" s="200">
        <f t="shared" si="26"/>
        <v>-217121398.48762178</v>
      </c>
      <c r="G141" s="200">
        <f t="shared" si="26"/>
        <v>-219826125.70660123</v>
      </c>
      <c r="H141" s="200">
        <f t="shared" si="26"/>
        <v>-222618443.46208674</v>
      </c>
      <c r="I141" s="200">
        <f t="shared" si="26"/>
        <v>-225501610.88445431</v>
      </c>
      <c r="J141" s="200">
        <f t="shared" si="26"/>
        <v>-228479020.11607122</v>
      </c>
      <c r="K141" s="200">
        <f t="shared" si="26"/>
        <v>-231554202.02385867</v>
      </c>
      <c r="L141" s="200">
        <f t="shared" si="26"/>
        <v>-234730832.16345909</v>
      </c>
      <c r="M141" s="200">
        <f t="shared" si="26"/>
        <v>-238012737.00622353</v>
      </c>
      <c r="N141" s="200">
        <f t="shared" si="26"/>
        <v>-241403900.44073188</v>
      </c>
      <c r="O141" s="200">
        <f t="shared" si="26"/>
        <v>-244908470.56108904</v>
      </c>
      <c r="P141" s="200">
        <f t="shared" si="26"/>
        <v>-248530766.75478417</v>
      </c>
      <c r="Q141" s="200">
        <f t="shared" si="26"/>
        <v>-252275287.10347584</v>
      </c>
      <c r="R141" s="200">
        <f t="shared" si="26"/>
        <v>-256146716.11066455</v>
      </c>
      <c r="S141" s="200">
        <f t="shared" si="26"/>
        <v>-260149932.77083874</v>
      </c>
      <c r="T141" s="200">
        <f t="shared" si="26"/>
        <v>27622478.487879485</v>
      </c>
      <c r="U141" s="200">
        <f t="shared" si="26"/>
        <v>171518243.23090488</v>
      </c>
      <c r="V141" s="200">
        <f t="shared" si="26"/>
        <v>174159033.73421219</v>
      </c>
      <c r="W141" s="200">
        <f t="shared" si="26"/>
        <v>176852640.04758567</v>
      </c>
      <c r="X141" s="200">
        <f t="shared" si="26"/>
        <v>179600118.48722655</v>
      </c>
      <c r="Y141" s="200">
        <f t="shared" si="26"/>
        <v>142923828.43012118</v>
      </c>
      <c r="Z141" s="200">
        <f t="shared" si="26"/>
        <v>145782304.9987236</v>
      </c>
      <c r="AA141" s="200">
        <f t="shared" si="26"/>
        <v>148697951.09869808</v>
      </c>
      <c r="AB141" s="200">
        <f t="shared" si="26"/>
        <v>151671910.12067205</v>
      </c>
      <c r="AC141" s="200">
        <f t="shared" si="26"/>
        <v>154705348.32308549</v>
      </c>
      <c r="AD141" s="200">
        <f t="shared" si="26"/>
        <v>157799455.28954723</v>
      </c>
      <c r="AE141" s="200">
        <f t="shared" si="26"/>
        <v>160955444.39533818</v>
      </c>
      <c r="AF141" s="200">
        <f t="shared" si="26"/>
        <v>164174553.28324488</v>
      </c>
      <c r="AG141" s="200">
        <f t="shared" si="26"/>
        <v>167458044.34890983</v>
      </c>
      <c r="AH141" s="200">
        <f t="shared" si="26"/>
        <v>170807205.235888</v>
      </c>
      <c r="AI141" s="200">
        <f t="shared" si="26"/>
        <v>174223349.34060574</v>
      </c>
      <c r="AJ141" s="200">
        <f t="shared" si="26"/>
        <v>177707816.32741788</v>
      </c>
      <c r="AK141" s="200">
        <f t="shared" si="26"/>
        <v>181261972.65396625</v>
      </c>
      <c r="AL141" s="200">
        <f t="shared" si="26"/>
        <v>184887212.10704556</v>
      </c>
      <c r="AM141" s="200">
        <f t="shared" si="26"/>
        <v>188584956.34918648</v>
      </c>
      <c r="AN141" s="200">
        <f t="shared" si="26"/>
        <v>0</v>
      </c>
      <c r="AO141" s="200">
        <f t="shared" si="26"/>
        <v>0</v>
      </c>
      <c r="AP141" s="200">
        <f t="shared" si="26"/>
        <v>0</v>
      </c>
      <c r="AQ141" s="200">
        <f t="shared" si="26"/>
        <v>0</v>
      </c>
      <c r="AR141" s="201">
        <f t="shared" si="26"/>
        <v>0</v>
      </c>
    </row>
    <row r="142" spans="1:44" x14ac:dyDescent="0.2">
      <c r="B142" s="50" t="s">
        <v>223</v>
      </c>
      <c r="C142" s="145" t="s">
        <v>183</v>
      </c>
      <c r="D142" s="153">
        <f>-SUM(C156:C157)</f>
        <v>-3060365741.5146589</v>
      </c>
      <c r="E142" s="194">
        <f t="shared" ref="E142:AR142" si="27">E131+E139</f>
        <v>-779398.9027697444</v>
      </c>
      <c r="F142" s="194">
        <f t="shared" si="27"/>
        <v>-3399667.1753158271</v>
      </c>
      <c r="G142" s="194">
        <f t="shared" si="27"/>
        <v>-6104394.3942951858</v>
      </c>
      <c r="H142" s="194">
        <f t="shared" si="27"/>
        <v>-8896712.1497807354</v>
      </c>
      <c r="I142" s="194">
        <f t="shared" si="27"/>
        <v>-11779879.572148293</v>
      </c>
      <c r="J142" s="194">
        <f t="shared" si="27"/>
        <v>-14757288.803765208</v>
      </c>
      <c r="K142" s="194">
        <f t="shared" si="27"/>
        <v>-17832470.71155259</v>
      </c>
      <c r="L142" s="194">
        <f t="shared" si="27"/>
        <v>-21009100.851153061</v>
      </c>
      <c r="M142" s="194">
        <f t="shared" si="27"/>
        <v>-24291005.693917483</v>
      </c>
      <c r="N142" s="194">
        <f t="shared" si="27"/>
        <v>-27682169.128425866</v>
      </c>
      <c r="O142" s="194">
        <f t="shared" si="27"/>
        <v>-31186739.248783022</v>
      </c>
      <c r="P142" s="194">
        <f t="shared" si="27"/>
        <v>-34809035.442478105</v>
      </c>
      <c r="Q142" s="194">
        <f t="shared" si="27"/>
        <v>-38553555.791169792</v>
      </c>
      <c r="R142" s="194">
        <f t="shared" si="27"/>
        <v>-42424984.7983585</v>
      </c>
      <c r="S142" s="194">
        <f t="shared" si="27"/>
        <v>-46428201.458532721</v>
      </c>
      <c r="T142" s="194">
        <f t="shared" si="27"/>
        <v>27622478.487879485</v>
      </c>
      <c r="U142" s="194">
        <f t="shared" si="27"/>
        <v>171518243.23090488</v>
      </c>
      <c r="V142" s="194">
        <f t="shared" si="27"/>
        <v>174159033.73421219</v>
      </c>
      <c r="W142" s="194">
        <f t="shared" si="27"/>
        <v>176852640.04758567</v>
      </c>
      <c r="X142" s="194">
        <f t="shared" si="27"/>
        <v>179600118.48722655</v>
      </c>
      <c r="Y142" s="194">
        <f t="shared" si="27"/>
        <v>142923828.43012118</v>
      </c>
      <c r="Z142" s="194">
        <f t="shared" si="27"/>
        <v>145782304.9987236</v>
      </c>
      <c r="AA142" s="194">
        <f t="shared" si="27"/>
        <v>148697951.09869808</v>
      </c>
      <c r="AB142" s="194">
        <f t="shared" si="27"/>
        <v>151671910.12067205</v>
      </c>
      <c r="AC142" s="194">
        <f t="shared" si="27"/>
        <v>154705348.32308549</v>
      </c>
      <c r="AD142" s="194">
        <f t="shared" si="27"/>
        <v>157799455.28954723</v>
      </c>
      <c r="AE142" s="194">
        <f t="shared" si="27"/>
        <v>160955444.39533818</v>
      </c>
      <c r="AF142" s="194">
        <f t="shared" si="27"/>
        <v>164174553.28324488</v>
      </c>
      <c r="AG142" s="194">
        <f t="shared" si="27"/>
        <v>167458044.34890983</v>
      </c>
      <c r="AH142" s="194">
        <f t="shared" si="27"/>
        <v>170807205.235888</v>
      </c>
      <c r="AI142" s="194">
        <f t="shared" si="27"/>
        <v>174223349.34060574</v>
      </c>
      <c r="AJ142" s="194">
        <f t="shared" si="27"/>
        <v>177707816.32741788</v>
      </c>
      <c r="AK142" s="194">
        <f t="shared" si="27"/>
        <v>181261972.65396625</v>
      </c>
      <c r="AL142" s="194">
        <f t="shared" si="27"/>
        <v>184887212.10704556</v>
      </c>
      <c r="AM142" s="194">
        <f t="shared" si="27"/>
        <v>188584956.34918648</v>
      </c>
      <c r="AN142" s="194">
        <f t="shared" si="27"/>
        <v>0</v>
      </c>
      <c r="AO142" s="194">
        <f t="shared" si="27"/>
        <v>0</v>
      </c>
      <c r="AP142" s="194">
        <f t="shared" si="27"/>
        <v>0</v>
      </c>
      <c r="AQ142" s="194">
        <f t="shared" si="27"/>
        <v>0</v>
      </c>
      <c r="AR142" s="195">
        <f t="shared" si="27"/>
        <v>0</v>
      </c>
    </row>
    <row r="143" spans="1:44" x14ac:dyDescent="0.2">
      <c r="B143" s="50" t="s">
        <v>224</v>
      </c>
      <c r="C143" s="145" t="s">
        <v>183</v>
      </c>
      <c r="D143" s="153">
        <f>-C157</f>
        <v>-765091435.37866473</v>
      </c>
      <c r="E143" s="194">
        <f t="shared" ref="E143:AR143" si="28">E141</f>
        <v>-214501130.21507579</v>
      </c>
      <c r="F143" s="194">
        <f t="shared" si="28"/>
        <v>-217121398.48762178</v>
      </c>
      <c r="G143" s="194">
        <f t="shared" si="28"/>
        <v>-219826125.70660123</v>
      </c>
      <c r="H143" s="194">
        <f t="shared" si="28"/>
        <v>-222618443.46208674</v>
      </c>
      <c r="I143" s="194">
        <f t="shared" si="28"/>
        <v>-225501610.88445431</v>
      </c>
      <c r="J143" s="194">
        <f t="shared" si="28"/>
        <v>-228479020.11607122</v>
      </c>
      <c r="K143" s="194">
        <f t="shared" si="28"/>
        <v>-231554202.02385867</v>
      </c>
      <c r="L143" s="194">
        <f t="shared" si="28"/>
        <v>-234730832.16345909</v>
      </c>
      <c r="M143" s="194">
        <f t="shared" si="28"/>
        <v>-238012737.00622353</v>
      </c>
      <c r="N143" s="194">
        <f t="shared" si="28"/>
        <v>-241403900.44073188</v>
      </c>
      <c r="O143" s="194">
        <f t="shared" si="28"/>
        <v>-244908470.56108904</v>
      </c>
      <c r="P143" s="194">
        <f t="shared" si="28"/>
        <v>-248530766.75478417</v>
      </c>
      <c r="Q143" s="194">
        <f t="shared" si="28"/>
        <v>-252275287.10347584</v>
      </c>
      <c r="R143" s="194">
        <f t="shared" si="28"/>
        <v>-256146716.11066455</v>
      </c>
      <c r="S143" s="194">
        <f t="shared" si="28"/>
        <v>-260149932.77083874</v>
      </c>
      <c r="T143" s="194">
        <f t="shared" si="28"/>
        <v>27622478.487879485</v>
      </c>
      <c r="U143" s="194">
        <f t="shared" si="28"/>
        <v>171518243.23090488</v>
      </c>
      <c r="V143" s="194">
        <f t="shared" si="28"/>
        <v>174159033.73421219</v>
      </c>
      <c r="W143" s="194">
        <f t="shared" si="28"/>
        <v>176852640.04758567</v>
      </c>
      <c r="X143" s="194">
        <f t="shared" si="28"/>
        <v>179600118.48722655</v>
      </c>
      <c r="Y143" s="194">
        <f t="shared" si="28"/>
        <v>142923828.43012118</v>
      </c>
      <c r="Z143" s="194">
        <f t="shared" si="28"/>
        <v>145782304.9987236</v>
      </c>
      <c r="AA143" s="194">
        <f t="shared" si="28"/>
        <v>148697951.09869808</v>
      </c>
      <c r="AB143" s="194">
        <f t="shared" si="28"/>
        <v>151671910.12067205</v>
      </c>
      <c r="AC143" s="194">
        <f t="shared" si="28"/>
        <v>154705348.32308549</v>
      </c>
      <c r="AD143" s="194">
        <f t="shared" si="28"/>
        <v>157799455.28954723</v>
      </c>
      <c r="AE143" s="194">
        <f t="shared" si="28"/>
        <v>160955444.39533818</v>
      </c>
      <c r="AF143" s="194">
        <f t="shared" si="28"/>
        <v>164174553.28324488</v>
      </c>
      <c r="AG143" s="194">
        <f t="shared" si="28"/>
        <v>167458044.34890983</v>
      </c>
      <c r="AH143" s="194">
        <f t="shared" si="28"/>
        <v>170807205.235888</v>
      </c>
      <c r="AI143" s="194">
        <f t="shared" si="28"/>
        <v>174223349.34060574</v>
      </c>
      <c r="AJ143" s="194">
        <f t="shared" si="28"/>
        <v>177707816.32741788</v>
      </c>
      <c r="AK143" s="194">
        <f t="shared" si="28"/>
        <v>181261972.65396625</v>
      </c>
      <c r="AL143" s="194">
        <f t="shared" si="28"/>
        <v>184887212.10704556</v>
      </c>
      <c r="AM143" s="194">
        <f t="shared" si="28"/>
        <v>188584956.34918648</v>
      </c>
      <c r="AN143" s="194">
        <f t="shared" si="28"/>
        <v>0</v>
      </c>
      <c r="AO143" s="194">
        <f t="shared" si="28"/>
        <v>0</v>
      </c>
      <c r="AP143" s="194">
        <f t="shared" si="28"/>
        <v>0</v>
      </c>
      <c r="AQ143" s="194">
        <f t="shared" si="28"/>
        <v>0</v>
      </c>
      <c r="AR143" s="195">
        <f t="shared" si="28"/>
        <v>0</v>
      </c>
    </row>
    <row r="144" spans="1:44" x14ac:dyDescent="0.2">
      <c r="B144" s="50" t="s">
        <v>225</v>
      </c>
      <c r="C144" s="150" t="str">
        <f>$C$7</f>
        <v>kWh</v>
      </c>
      <c r="D144" s="145"/>
      <c r="E144" s="194">
        <f t="shared" ref="E144:AR144" si="29">IF(E111&gt;$C$76,0,E117)</f>
        <v>3755720000</v>
      </c>
      <c r="F144" s="194">
        <f t="shared" si="29"/>
        <v>3755720000</v>
      </c>
      <c r="G144" s="194">
        <f t="shared" si="29"/>
        <v>3755720000</v>
      </c>
      <c r="H144" s="194">
        <f t="shared" si="29"/>
        <v>3755720000</v>
      </c>
      <c r="I144" s="194">
        <f t="shared" si="29"/>
        <v>3755720000</v>
      </c>
      <c r="J144" s="194">
        <f t="shared" si="29"/>
        <v>3755720000</v>
      </c>
      <c r="K144" s="194">
        <f t="shared" si="29"/>
        <v>3755720000</v>
      </c>
      <c r="L144" s="194">
        <f t="shared" si="29"/>
        <v>3755720000</v>
      </c>
      <c r="M144" s="194">
        <f t="shared" si="29"/>
        <v>3755720000</v>
      </c>
      <c r="N144" s="194">
        <f t="shared" si="29"/>
        <v>3755720000</v>
      </c>
      <c r="O144" s="194">
        <f t="shared" si="29"/>
        <v>3755720000</v>
      </c>
      <c r="P144" s="194">
        <f t="shared" si="29"/>
        <v>3755720000</v>
      </c>
      <c r="Q144" s="194">
        <f t="shared" si="29"/>
        <v>3755720000</v>
      </c>
      <c r="R144" s="194">
        <f t="shared" si="29"/>
        <v>3755720000</v>
      </c>
      <c r="S144" s="194">
        <f t="shared" si="29"/>
        <v>3755720000</v>
      </c>
      <c r="T144" s="194">
        <f t="shared" si="29"/>
        <v>0</v>
      </c>
      <c r="U144" s="194">
        <f t="shared" si="29"/>
        <v>0</v>
      </c>
      <c r="V144" s="194">
        <f t="shared" si="29"/>
        <v>0</v>
      </c>
      <c r="W144" s="194">
        <f t="shared" si="29"/>
        <v>0</v>
      </c>
      <c r="X144" s="194">
        <f t="shared" si="29"/>
        <v>0</v>
      </c>
      <c r="Y144" s="194">
        <f t="shared" si="29"/>
        <v>0</v>
      </c>
      <c r="Z144" s="194">
        <f t="shared" si="29"/>
        <v>0</v>
      </c>
      <c r="AA144" s="194">
        <f t="shared" si="29"/>
        <v>0</v>
      </c>
      <c r="AB144" s="194">
        <f t="shared" si="29"/>
        <v>0</v>
      </c>
      <c r="AC144" s="194">
        <f t="shared" si="29"/>
        <v>0</v>
      </c>
      <c r="AD144" s="194">
        <f t="shared" si="29"/>
        <v>0</v>
      </c>
      <c r="AE144" s="194">
        <f t="shared" si="29"/>
        <v>0</v>
      </c>
      <c r="AF144" s="194">
        <f t="shared" si="29"/>
        <v>0</v>
      </c>
      <c r="AG144" s="194">
        <f t="shared" si="29"/>
        <v>0</v>
      </c>
      <c r="AH144" s="194">
        <f t="shared" si="29"/>
        <v>0</v>
      </c>
      <c r="AI144" s="194">
        <f t="shared" si="29"/>
        <v>0</v>
      </c>
      <c r="AJ144" s="194">
        <f t="shared" si="29"/>
        <v>0</v>
      </c>
      <c r="AK144" s="194">
        <f t="shared" si="29"/>
        <v>0</v>
      </c>
      <c r="AL144" s="194">
        <f t="shared" si="29"/>
        <v>0</v>
      </c>
      <c r="AM144" s="194">
        <f t="shared" si="29"/>
        <v>0</v>
      </c>
      <c r="AN144" s="194">
        <f t="shared" si="29"/>
        <v>0</v>
      </c>
      <c r="AO144" s="194">
        <f t="shared" si="29"/>
        <v>0</v>
      </c>
      <c r="AP144" s="194">
        <f t="shared" si="29"/>
        <v>0</v>
      </c>
      <c r="AQ144" s="194">
        <f t="shared" si="29"/>
        <v>0</v>
      </c>
      <c r="AR144" s="195">
        <f t="shared" si="29"/>
        <v>0</v>
      </c>
    </row>
    <row r="145" spans="1:44" x14ac:dyDescent="0.2">
      <c r="B145" s="162" t="s">
        <v>226</v>
      </c>
      <c r="C145" s="145" t="s">
        <v>183</v>
      </c>
      <c r="D145" s="202">
        <f>-D112</f>
        <v>3060365741.5146589</v>
      </c>
      <c r="E145" s="202">
        <f t="shared" ref="E145:AR145" si="30">IF(E111&lt;=$C76,D145-($C$5*E117+E131+E134),D145-(E131+E134))</f>
        <v>2862477211.7793875</v>
      </c>
      <c r="F145" s="202">
        <f t="shared" si="30"/>
        <v>2661422537.6147599</v>
      </c>
      <c r="G145" s="202">
        <f t="shared" si="30"/>
        <v>2457014157.4462109</v>
      </c>
      <c r="H145" s="202">
        <f t="shared" si="30"/>
        <v>2249055167.7268143</v>
      </c>
      <c r="I145" s="202">
        <f t="shared" si="30"/>
        <v>2037338884.5144982</v>
      </c>
      <c r="J145" s="202">
        <f t="shared" si="30"/>
        <v>1821648384.9595516</v>
      </c>
      <c r="K145" s="202">
        <f t="shared" si="30"/>
        <v>1601756027.7911754</v>
      </c>
      <c r="L145" s="202">
        <f t="shared" si="30"/>
        <v>1377422951.850677</v>
      </c>
      <c r="M145" s="202">
        <f t="shared" si="30"/>
        <v>1148398551.6759014</v>
      </c>
      <c r="N145" s="202">
        <f t="shared" si="30"/>
        <v>914419929.09654808</v>
      </c>
      <c r="O145" s="202">
        <f t="shared" si="30"/>
        <v>675211319.75305784</v>
      </c>
      <c r="P145" s="202">
        <f t="shared" si="30"/>
        <v>430483493.40266418</v>
      </c>
      <c r="Q145" s="202">
        <f t="shared" si="30"/>
        <v>179933126.82490867</v>
      </c>
      <c r="R145" s="202">
        <f t="shared" si="30"/>
        <v>-76757851.914690793</v>
      </c>
      <c r="S145" s="202">
        <f t="shared" si="30"/>
        <v>-339922949.14015305</v>
      </c>
      <c r="T145" s="202">
        <f t="shared" si="30"/>
        <v>-323944189.60152823</v>
      </c>
      <c r="U145" s="202">
        <f t="shared" si="30"/>
        <v>-501895032.14245248</v>
      </c>
      <c r="V145" s="202">
        <f t="shared" si="30"/>
        <v>-683404891.53419518</v>
      </c>
      <c r="W145" s="202">
        <f t="shared" si="30"/>
        <v>-868544948.11377275</v>
      </c>
      <c r="X145" s="202">
        <f t="shared" si="30"/>
        <v>-1057387805.8249419</v>
      </c>
      <c r="Y145" s="202">
        <f t="shared" si="30"/>
        <v>-1250007520.6903343</v>
      </c>
      <c r="Z145" s="202">
        <f t="shared" si="30"/>
        <v>-1446479629.8530345</v>
      </c>
      <c r="AA145" s="202">
        <f t="shared" si="30"/>
        <v>-1646881181.1989889</v>
      </c>
      <c r="AB145" s="202">
        <f t="shared" si="30"/>
        <v>-1851290763.5718622</v>
      </c>
      <c r="AC145" s="202">
        <f t="shared" si="30"/>
        <v>-2059788537.5921931</v>
      </c>
      <c r="AD145" s="202">
        <f t="shared" si="30"/>
        <v>-2272456267.0929308</v>
      </c>
      <c r="AE145" s="202">
        <f t="shared" si="30"/>
        <v>-2489377351.1836829</v>
      </c>
      <c r="AF145" s="202">
        <f t="shared" si="30"/>
        <v>-2710636856.9562502</v>
      </c>
      <c r="AG145" s="202">
        <f t="shared" si="30"/>
        <v>-2936321552.8442688</v>
      </c>
      <c r="AH145" s="202">
        <f t="shared" si="30"/>
        <v>-3166519942.6500478</v>
      </c>
      <c r="AI145" s="202">
        <f t="shared" si="30"/>
        <v>-3401322300.2519422</v>
      </c>
      <c r="AJ145" s="202">
        <f t="shared" si="30"/>
        <v>-3640820705.0058746</v>
      </c>
      <c r="AK145" s="202">
        <f t="shared" si="30"/>
        <v>-3885109077.8548856</v>
      </c>
      <c r="AL145" s="202">
        <f t="shared" si="30"/>
        <v>-4134283218.1608768</v>
      </c>
      <c r="AM145" s="202">
        <f t="shared" si="30"/>
        <v>-4388440841.2729883</v>
      </c>
      <c r="AN145" s="202">
        <f t="shared" si="30"/>
        <v>-4388440841.2729883</v>
      </c>
      <c r="AO145" s="202">
        <f t="shared" si="30"/>
        <v>-4388440841.2729883</v>
      </c>
      <c r="AP145" s="202">
        <f t="shared" si="30"/>
        <v>-4388440841.2729883</v>
      </c>
      <c r="AQ145" s="202">
        <f t="shared" si="30"/>
        <v>-4388440841.2729883</v>
      </c>
      <c r="AR145" s="203">
        <f t="shared" si="30"/>
        <v>-4388440841.2729883</v>
      </c>
    </row>
    <row r="146" spans="1:44" ht="12.95" customHeight="1" x14ac:dyDescent="0.2">
      <c r="B146" s="163" t="s">
        <v>227</v>
      </c>
      <c r="C146" s="204"/>
      <c r="D146" s="204"/>
      <c r="E146" s="205">
        <f t="shared" ref="E146:AR146" si="31">IF(E111&gt;$C$74,"",(-$C$94*(E138+$C$5*E117)+E131+$C$5*E117)/-E136)</f>
        <v>1.3550299687683434</v>
      </c>
      <c r="F146" s="205">
        <f t="shared" si="31"/>
        <v>1.3427697823265765</v>
      </c>
      <c r="G146" s="205">
        <f t="shared" si="31"/>
        <v>1.3301144140475918</v>
      </c>
      <c r="H146" s="205">
        <f t="shared" si="31"/>
        <v>1.3170492112797685</v>
      </c>
      <c r="I146" s="205">
        <f t="shared" si="31"/>
        <v>1.3035589246127826</v>
      </c>
      <c r="J146" s="205">
        <f t="shared" si="31"/>
        <v>1.2896276822756798</v>
      </c>
      <c r="K146" s="205">
        <f t="shared" si="31"/>
        <v>1.2752389634079024</v>
      </c>
      <c r="L146" s="205">
        <f t="shared" si="31"/>
        <v>1.2603755701530608</v>
      </c>
      <c r="M146" s="205">
        <f t="shared" si="31"/>
        <v>1.2450195985229757</v>
      </c>
      <c r="N146" s="205">
        <f t="shared" si="31"/>
        <v>1.2291524079771861</v>
      </c>
      <c r="O146" s="205">
        <f t="shared" si="31"/>
        <v>1.2127545896606389</v>
      </c>
      <c r="P146" s="205">
        <f t="shared" si="31"/>
        <v>1.1958059332397251</v>
      </c>
      <c r="Q146" s="205">
        <f t="shared" si="31"/>
        <v>1.1782853922741463</v>
      </c>
      <c r="R146" s="205">
        <f t="shared" si="31"/>
        <v>1.160171048059278</v>
      </c>
      <c r="S146" s="205">
        <f t="shared" si="31"/>
        <v>1.1414400718707856</v>
      </c>
      <c r="T146" s="205" t="str">
        <f t="shared" si="31"/>
        <v/>
      </c>
      <c r="U146" s="205" t="str">
        <f t="shared" si="31"/>
        <v/>
      </c>
      <c r="V146" s="205" t="str">
        <f t="shared" si="31"/>
        <v/>
      </c>
      <c r="W146" s="205" t="str">
        <f t="shared" si="31"/>
        <v/>
      </c>
      <c r="X146" s="205" t="str">
        <f t="shared" si="31"/>
        <v/>
      </c>
      <c r="Y146" s="205" t="str">
        <f t="shared" si="31"/>
        <v/>
      </c>
      <c r="Z146" s="205" t="str">
        <f t="shared" si="31"/>
        <v/>
      </c>
      <c r="AA146" s="205" t="str">
        <f t="shared" si="31"/>
        <v/>
      </c>
      <c r="AB146" s="205" t="str">
        <f t="shared" si="31"/>
        <v/>
      </c>
      <c r="AC146" s="205" t="str">
        <f t="shared" si="31"/>
        <v/>
      </c>
      <c r="AD146" s="205" t="str">
        <f t="shared" si="31"/>
        <v/>
      </c>
      <c r="AE146" s="205" t="str">
        <f t="shared" si="31"/>
        <v/>
      </c>
      <c r="AF146" s="205" t="str">
        <f t="shared" si="31"/>
        <v/>
      </c>
      <c r="AG146" s="205" t="str">
        <f t="shared" si="31"/>
        <v/>
      </c>
      <c r="AH146" s="205" t="str">
        <f t="shared" si="31"/>
        <v/>
      </c>
      <c r="AI146" s="205" t="str">
        <f t="shared" si="31"/>
        <v/>
      </c>
      <c r="AJ146" s="205" t="str">
        <f t="shared" si="31"/>
        <v/>
      </c>
      <c r="AK146" s="205" t="str">
        <f t="shared" si="31"/>
        <v/>
      </c>
      <c r="AL146" s="205" t="str">
        <f t="shared" si="31"/>
        <v/>
      </c>
      <c r="AM146" s="205" t="str">
        <f t="shared" si="31"/>
        <v/>
      </c>
      <c r="AN146" s="205" t="str">
        <f t="shared" si="31"/>
        <v/>
      </c>
      <c r="AO146" s="205" t="str">
        <f t="shared" si="31"/>
        <v/>
      </c>
      <c r="AP146" s="205" t="str">
        <f t="shared" si="31"/>
        <v/>
      </c>
      <c r="AQ146" s="205" t="str">
        <f t="shared" si="31"/>
        <v/>
      </c>
      <c r="AR146" s="206" t="str">
        <f t="shared" si="31"/>
        <v/>
      </c>
    </row>
    <row r="147" spans="1:44" ht="12.95" customHeight="1" x14ac:dyDescent="0.2">
      <c r="A147" s="33"/>
      <c r="B147" s="33"/>
      <c r="C147" s="33"/>
      <c r="D147" s="244"/>
      <c r="E147" s="207"/>
      <c r="F147" s="207"/>
      <c r="G147" s="207"/>
      <c r="H147" s="207"/>
      <c r="I147" s="207"/>
      <c r="J147" s="207"/>
      <c r="K147" s="207"/>
      <c r="L147" s="207"/>
      <c r="M147" s="207"/>
      <c r="N147" s="207"/>
      <c r="O147" s="207"/>
      <c r="P147" s="207"/>
      <c r="Q147" s="207"/>
      <c r="R147" s="207"/>
      <c r="S147" s="207"/>
      <c r="T147" s="207"/>
      <c r="U147" s="207"/>
      <c r="V147" s="207"/>
      <c r="W147" s="207"/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</row>
    <row r="148" spans="1:44" ht="12.95" customHeight="1" x14ac:dyDescent="0.2">
      <c r="B148" s="64" t="s">
        <v>228</v>
      </c>
      <c r="C148" s="57" t="s">
        <v>37</v>
      </c>
      <c r="D148" s="136" t="s">
        <v>114</v>
      </c>
      <c r="E148" s="34"/>
      <c r="F148" s="34"/>
      <c r="G148" s="34"/>
      <c r="H148" s="34"/>
      <c r="I148" s="34"/>
      <c r="J148" s="34"/>
      <c r="K148" s="34"/>
      <c r="L148" s="34"/>
      <c r="M148" s="34"/>
    </row>
    <row r="149" spans="1:44" x14ac:dyDescent="0.2">
      <c r="B149" s="50" t="s">
        <v>229</v>
      </c>
      <c r="C149" s="226">
        <f>NPV($C$91,E141:AR141)</f>
        <v>-1443931048.5488365</v>
      </c>
      <c r="D149" s="219" t="s">
        <v>230</v>
      </c>
    </row>
    <row r="150" spans="1:44" x14ac:dyDescent="0.2">
      <c r="B150" s="50" t="s">
        <v>231</v>
      </c>
      <c r="C150" s="227">
        <f>(1-$C$94)*NPV($C$91,E144:AR144)</f>
        <v>21196198253.186859</v>
      </c>
      <c r="D150" s="219" t="str">
        <f>$C$7</f>
        <v>kWh</v>
      </c>
      <c r="F150" s="208"/>
    </row>
    <row r="151" spans="1:44" x14ac:dyDescent="0.2">
      <c r="B151" s="50" t="s">
        <v>232</v>
      </c>
      <c r="C151" s="227">
        <f>$C$41*1000000</f>
        <v>3060365741.5146589</v>
      </c>
      <c r="D151" s="219" t="s">
        <v>183</v>
      </c>
      <c r="F151" s="209"/>
    </row>
    <row r="152" spans="1:44" x14ac:dyDescent="0.2">
      <c r="B152" s="50" t="s">
        <v>233</v>
      </c>
      <c r="C152" s="228">
        <f>AVERAGE(E146:AR146)</f>
        <v>1.2557595705650964</v>
      </c>
      <c r="D152" s="219"/>
      <c r="F152" s="209"/>
    </row>
    <row r="153" spans="1:44" x14ac:dyDescent="0.2">
      <c r="B153" s="50" t="s">
        <v>234</v>
      </c>
      <c r="C153" s="179" t="str">
        <f>CONCATENATE(ROUND(((1-$C$94)*$C$90*$C$92+$C$93*$C$91)*100,1),"% / ",ROUND((((1+(1-$C$94)*$C$90*$C$92+$C$93*$C$91)/(1+$C$89))-1)*100,1),"%")</f>
        <v>5% / 2,9%</v>
      </c>
      <c r="D153" s="219"/>
      <c r="F153" s="208"/>
      <c r="G153" s="35"/>
    </row>
    <row r="154" spans="1:44" x14ac:dyDescent="0.2">
      <c r="B154" s="50" t="s">
        <v>235</v>
      </c>
      <c r="C154" s="179">
        <f>IFERROR(IRR(D142:AR142),"n.v.t.")</f>
        <v>-2.2834772721846974E-3</v>
      </c>
      <c r="D154" s="219"/>
      <c r="F154" s="209"/>
      <c r="G154" s="35"/>
    </row>
    <row r="155" spans="1:44" x14ac:dyDescent="0.2">
      <c r="B155" s="50" t="s">
        <v>236</v>
      </c>
      <c r="C155" s="179">
        <f>IFERROR(IRR(D143:AR143),"n.v.t.")</f>
        <v>-1.5130256446261203E-2</v>
      </c>
      <c r="D155" s="219"/>
      <c r="G155" s="35"/>
    </row>
    <row r="156" spans="1:44" x14ac:dyDescent="0.2">
      <c r="B156" s="50" t="s">
        <v>237</v>
      </c>
      <c r="C156" s="227">
        <f>$C$92*C151-C97</f>
        <v>2295274306.135994</v>
      </c>
      <c r="D156" s="219" t="s">
        <v>183</v>
      </c>
      <c r="F156" s="22"/>
    </row>
    <row r="157" spans="1:44" x14ac:dyDescent="0.2">
      <c r="B157" s="50" t="s">
        <v>238</v>
      </c>
      <c r="C157" s="227">
        <f>$C$93*C151-C98</f>
        <v>765091435.37866473</v>
      </c>
      <c r="D157" s="219" t="s">
        <v>183</v>
      </c>
      <c r="F157" s="22"/>
    </row>
    <row r="158" spans="1:44" x14ac:dyDescent="0.2">
      <c r="B158" s="50" t="s">
        <v>123</v>
      </c>
      <c r="C158" s="179">
        <f>IF(AND(E114&gt;0,E115&gt;0),ROUND(E115/E114,2),0)</f>
        <v>0</v>
      </c>
      <c r="D158" s="219" t="s">
        <v>239</v>
      </c>
      <c r="F158" s="22"/>
    </row>
    <row r="159" spans="1:44" x14ac:dyDescent="0.2">
      <c r="B159" s="50" t="s">
        <v>240</v>
      </c>
      <c r="C159" s="179">
        <f>IF(C158=0,MAX(C29:C30),E117/SUM(C26,C28))</f>
        <v>3755.72</v>
      </c>
      <c r="D159" s="219" t="s">
        <v>147</v>
      </c>
      <c r="F159" s="22"/>
    </row>
    <row r="160" spans="1:44" ht="15" customHeight="1" x14ac:dyDescent="0.25">
      <c r="B160" s="51" t="s">
        <v>241</v>
      </c>
      <c r="C160" s="277" t="str">
        <f>CONCATENATE( "tussen ", INDEX(D111:X111, MATCH(0,D145:AR145, -1)), " en ",  1 + INDEX(D111:X111, MATCH(0,D145:AR145, -1)), " jaar")</f>
        <v>tussen 13 en 14 jaar</v>
      </c>
      <c r="D160" s="270"/>
      <c r="F160" s="210"/>
      <c r="G160" s="190"/>
      <c r="I160" s="190"/>
      <c r="J160" s="190"/>
      <c r="K160" s="190"/>
      <c r="L160" s="190"/>
      <c r="M160" s="190"/>
      <c r="N160" s="190"/>
      <c r="O160" s="190"/>
      <c r="P160" s="190"/>
      <c r="Q160" s="190"/>
      <c r="R160" s="190"/>
      <c r="S160" s="190"/>
      <c r="T160" s="190"/>
      <c r="U160" s="190"/>
      <c r="V160" s="190"/>
      <c r="W160" s="190"/>
      <c r="X160" s="190"/>
      <c r="Y160" s="190"/>
      <c r="Z160" s="190"/>
      <c r="AA160" s="190"/>
      <c r="AB160" s="190"/>
      <c r="AC160" s="190"/>
      <c r="AD160" s="190"/>
      <c r="AE160" s="190"/>
      <c r="AF160" s="190"/>
      <c r="AG160" s="190"/>
      <c r="AH160" s="190"/>
      <c r="AI160" s="190"/>
      <c r="AJ160" s="190"/>
      <c r="AK160" s="190"/>
      <c r="AL160" s="190"/>
      <c r="AM160" s="190"/>
      <c r="AN160" s="190"/>
      <c r="AO160" s="190"/>
      <c r="AP160" s="190"/>
      <c r="AQ160" s="190"/>
      <c r="AR160" s="190"/>
    </row>
    <row r="161" spans="2:44" x14ac:dyDescent="0.2">
      <c r="B161" s="6"/>
      <c r="C161" s="6"/>
      <c r="D161" s="36"/>
      <c r="E161" s="190"/>
      <c r="F161" s="210"/>
      <c r="G161" s="190"/>
      <c r="H161" s="190"/>
      <c r="I161" s="190"/>
      <c r="J161" s="190"/>
      <c r="K161" s="190"/>
      <c r="L161" s="190"/>
      <c r="M161" s="190"/>
      <c r="N161" s="190"/>
      <c r="O161" s="190"/>
      <c r="P161" s="190"/>
      <c r="Q161" s="190"/>
      <c r="R161" s="190"/>
      <c r="S161" s="190"/>
      <c r="T161" s="190"/>
      <c r="U161" s="190"/>
      <c r="V161" s="190"/>
      <c r="W161" s="190"/>
      <c r="X161" s="190"/>
      <c r="Y161" s="190"/>
      <c r="Z161" s="190"/>
      <c r="AA161" s="190"/>
      <c r="AB161" s="190"/>
      <c r="AC161" s="190"/>
      <c r="AD161" s="190"/>
      <c r="AE161" s="190"/>
      <c r="AF161" s="190"/>
      <c r="AG161" s="190"/>
      <c r="AH161" s="190"/>
      <c r="AI161" s="190"/>
      <c r="AJ161" s="190"/>
      <c r="AK161" s="190"/>
      <c r="AL161" s="190"/>
      <c r="AM161" s="190"/>
      <c r="AN161" s="190"/>
      <c r="AO161" s="190"/>
      <c r="AP161" s="190"/>
      <c r="AQ161" s="190"/>
      <c r="AR161" s="190"/>
    </row>
    <row r="162" spans="2:44" x14ac:dyDescent="0.2">
      <c r="B162" s="70" t="s">
        <v>242</v>
      </c>
      <c r="C162" s="57" t="s">
        <v>37</v>
      </c>
      <c r="D162" s="136" t="s">
        <v>114</v>
      </c>
      <c r="E162" s="190"/>
      <c r="F162" s="210"/>
      <c r="G162" s="190"/>
      <c r="H162" s="190"/>
      <c r="I162" s="190"/>
      <c r="J162" s="190"/>
      <c r="K162" s="190"/>
      <c r="L162" s="190"/>
      <c r="M162" s="190"/>
      <c r="N162" s="190"/>
      <c r="O162" s="190"/>
      <c r="P162" s="190"/>
      <c r="Q162" s="190"/>
      <c r="R162" s="190"/>
      <c r="S162" s="190"/>
      <c r="T162" s="190"/>
      <c r="U162" s="190"/>
      <c r="V162" s="190"/>
      <c r="W162" s="190"/>
      <c r="X162" s="190"/>
      <c r="Y162" s="190"/>
      <c r="Z162" s="190"/>
      <c r="AA162" s="190"/>
      <c r="AB162" s="190"/>
      <c r="AC162" s="190"/>
      <c r="AD162" s="190"/>
      <c r="AE162" s="190"/>
      <c r="AF162" s="190"/>
      <c r="AG162" s="190"/>
      <c r="AH162" s="190"/>
      <c r="AI162" s="190"/>
      <c r="AJ162" s="190"/>
      <c r="AK162" s="190"/>
      <c r="AL162" s="190"/>
      <c r="AM162" s="190"/>
      <c r="AN162" s="190"/>
      <c r="AO162" s="190"/>
      <c r="AP162" s="190"/>
      <c r="AQ162" s="190"/>
      <c r="AR162" s="190"/>
    </row>
    <row r="163" spans="2:44" ht="14.85" customHeight="1" x14ac:dyDescent="0.2">
      <c r="B163" s="50" t="s">
        <v>29</v>
      </c>
      <c r="C163" s="222">
        <f>IF(C15&gt;0,ROUND(INDEX(Correcties!$A$1:$I$3,MATCH(C15,Correcties!$A$1:$A$3,0),8),4),_xlfn.XLOOKUP($C12,Correcties!$A$3:$A$3,Correcties!$H$3:$H$3,"n.v.t"))</f>
        <v>3.7693825023999997E-2</v>
      </c>
      <c r="D163" s="219" t="str">
        <f t="shared" ref="D163:D169" si="32">CONCATENATE("Euro/",$C$7)</f>
        <v>Euro/kWh</v>
      </c>
    </row>
    <row r="164" spans="2:44" s="6" customFormat="1" x14ac:dyDescent="0.2">
      <c r="B164" s="224" t="s">
        <v>33</v>
      </c>
      <c r="C164" s="211">
        <f>IF(C15&gt;0,IFERROR(_xlfn.XLOOKUP(C15,Correcties!A3:A3,Correcties!F3:F3),"n.v.t."),_xlfn.XLOOKUP($C12,Correcties!$A$3:$A$3,Correcties!$F$3:$F$3,"n.v.t."))</f>
        <v>5.6540737536000002E-2</v>
      </c>
      <c r="D164" s="229" t="str">
        <f t="shared" si="32"/>
        <v>Euro/kWh</v>
      </c>
    </row>
    <row r="165" spans="2:44" s="6" customFormat="1" x14ac:dyDescent="0.2">
      <c r="B165" s="50" t="str">
        <f>"Voorlopig correctiebedrag "&amp;Colofon!$C$29</f>
        <v>Voorlopig correctiebedrag 2026</v>
      </c>
      <c r="C165" s="225">
        <f>IF(C15&gt;0,IFERROR(ROUND(INDEX(Correcties!$A$1:$I$3,MATCH(C15,Correcties!$A$1:$A$3,0),4),4),"n.v.t."),_xlfn.XLOOKUP($C12,Correcties!$A$3:$A$3,Correcties!$D$3:$D$3,"n.v.t."))</f>
        <v>7.425000000000001E-2</v>
      </c>
      <c r="D165" s="219" t="str">
        <f t="shared" si="32"/>
        <v>Euro/kWh</v>
      </c>
      <c r="F165" s="190"/>
      <c r="G165" s="190"/>
      <c r="H165" s="190"/>
      <c r="I165" s="190"/>
      <c r="J165" s="190"/>
      <c r="K165" s="190"/>
      <c r="L165" s="190"/>
      <c r="M165" s="190"/>
      <c r="N165" s="190"/>
      <c r="O165" s="190"/>
      <c r="P165" s="190"/>
      <c r="Q165" s="190"/>
      <c r="R165" s="190"/>
      <c r="S165" s="190"/>
      <c r="T165" s="190"/>
      <c r="U165" s="190"/>
      <c r="V165" s="190"/>
      <c r="W165" s="190"/>
      <c r="X165" s="190"/>
      <c r="Y165" s="190"/>
      <c r="Z165" s="190"/>
      <c r="AA165" s="190"/>
      <c r="AB165" s="190"/>
      <c r="AC165" s="190"/>
      <c r="AD165" s="190"/>
      <c r="AE165" s="190"/>
      <c r="AF165" s="190"/>
      <c r="AG165" s="190"/>
      <c r="AH165" s="190"/>
      <c r="AI165" s="190"/>
      <c r="AJ165" s="190"/>
      <c r="AK165" s="190"/>
      <c r="AL165" s="190"/>
      <c r="AM165" s="190"/>
      <c r="AN165" s="190"/>
      <c r="AO165" s="190"/>
      <c r="AP165" s="190"/>
      <c r="AQ165" s="190"/>
      <c r="AR165" s="190"/>
    </row>
    <row r="166" spans="2:44" s="6" customFormat="1" x14ac:dyDescent="0.2">
      <c r="B166" s="224" t="str">
        <f>"Voorlopige GvO-waarde "&amp;Colofon!$C$29</f>
        <v>Voorlopige GvO-waarde 2026</v>
      </c>
      <c r="C166" s="211">
        <f>IF(C15&gt;0,_xlfn.XLOOKUP(C15,Correcties!A7:A7,Correcties!D7:D7,0), _xlfn.XLOOKUP(C12,Correcties!A7:A7,Correcties!D7:D7,0))</f>
        <v>2E-3</v>
      </c>
      <c r="D166" s="229" t="str">
        <f t="shared" si="32"/>
        <v>Euro/kWh</v>
      </c>
    </row>
    <row r="167" spans="2:44" s="6" customFormat="1" x14ac:dyDescent="0.2">
      <c r="B167" s="50"/>
      <c r="C167" s="222"/>
      <c r="D167" s="219"/>
      <c r="F167" s="37"/>
      <c r="G167" s="37"/>
      <c r="H167" s="37"/>
      <c r="I167" s="37"/>
      <c r="J167" s="37"/>
      <c r="K167" s="37"/>
      <c r="L167" s="37"/>
      <c r="M167" s="37"/>
      <c r="N167" s="37"/>
      <c r="O167" s="37"/>
      <c r="P167" s="37"/>
    </row>
    <row r="168" spans="2:44" s="6" customFormat="1" x14ac:dyDescent="0.2">
      <c r="B168" s="58" t="s">
        <v>30</v>
      </c>
      <c r="C168" s="223">
        <f>_xlfn.XLOOKUP($C$13,Correcties!A14:A14,Correcties!D14:D14,"foutmelding")</f>
        <v>0</v>
      </c>
      <c r="D168" s="230" t="str">
        <f t="shared" si="32"/>
        <v>Euro/kWh</v>
      </c>
      <c r="F168" s="37"/>
      <c r="G168" s="37"/>
      <c r="H168" s="37"/>
      <c r="I168" s="37"/>
      <c r="J168" s="37"/>
      <c r="K168" s="37"/>
      <c r="L168" s="37"/>
      <c r="M168" s="37"/>
      <c r="N168" s="37"/>
      <c r="O168" s="37"/>
      <c r="P168" s="37"/>
    </row>
    <row r="169" spans="2:44" s="6" customFormat="1" ht="13.5" customHeight="1" x14ac:dyDescent="0.2">
      <c r="B169" s="51" t="s">
        <v>243</v>
      </c>
      <c r="C169" s="212">
        <f>IF(C14="Nee",0,_xlfn.XLOOKUP($C$13,Correcties!A14:A14,Correcties!F14:F14,"foutmelding"))</f>
        <v>0</v>
      </c>
      <c r="D169" s="221" t="str">
        <f t="shared" si="32"/>
        <v>Euro/kWh</v>
      </c>
      <c r="F169" s="37"/>
      <c r="G169" s="37"/>
      <c r="H169" s="37"/>
      <c r="I169" s="37"/>
      <c r="J169" s="37"/>
      <c r="K169" s="37"/>
      <c r="L169" s="37"/>
      <c r="M169" s="37"/>
      <c r="N169" s="37"/>
      <c r="O169" s="37"/>
      <c r="P169" s="37"/>
    </row>
    <row r="170" spans="2:44" s="6" customFormat="1" x14ac:dyDescent="0.2">
      <c r="E170" s="37"/>
      <c r="F170" s="37"/>
      <c r="G170" s="37"/>
      <c r="H170" s="37"/>
      <c r="I170" s="37"/>
      <c r="J170" s="37"/>
      <c r="K170" s="37"/>
      <c r="L170" s="37"/>
      <c r="M170" s="37"/>
      <c r="N170" s="37"/>
      <c r="O170" s="37"/>
      <c r="P170" s="37"/>
    </row>
    <row r="171" spans="2:44" s="6" customFormat="1" x14ac:dyDescent="0.2">
      <c r="B171" s="56" t="s">
        <v>244</v>
      </c>
      <c r="C171" s="57" t="s">
        <v>37</v>
      </c>
      <c r="D171" s="136" t="s">
        <v>114</v>
      </c>
    </row>
    <row r="172" spans="2:44" s="6" customFormat="1" x14ac:dyDescent="0.2">
      <c r="B172" s="50" t="s">
        <v>245</v>
      </c>
      <c r="C172" s="220">
        <v>35.799999999999997</v>
      </c>
      <c r="D172" s="219" t="s">
        <v>246</v>
      </c>
    </row>
    <row r="173" spans="2:44" s="6" customFormat="1" x14ac:dyDescent="0.2">
      <c r="B173" s="50" t="s">
        <v>247</v>
      </c>
      <c r="C173" s="220">
        <v>31.65</v>
      </c>
      <c r="D173" s="219" t="s">
        <v>246</v>
      </c>
    </row>
    <row r="174" spans="2:44" s="6" customFormat="1" x14ac:dyDescent="0.2">
      <c r="B174" s="50" t="s">
        <v>248</v>
      </c>
      <c r="C174" s="220">
        <v>35.17</v>
      </c>
      <c r="D174" s="219" t="s">
        <v>246</v>
      </c>
    </row>
    <row r="175" spans="2:44" s="6" customFormat="1" x14ac:dyDescent="0.2">
      <c r="B175" s="51" t="s">
        <v>249</v>
      </c>
      <c r="C175" s="213">
        <v>3.6</v>
      </c>
      <c r="D175" s="221" t="s">
        <v>250</v>
      </c>
    </row>
    <row r="176" spans="2:44" s="6" customFormat="1" x14ac:dyDescent="0.2">
      <c r="E176" s="38"/>
    </row>
    <row r="177" spans="5:8" s="6" customFormat="1" x14ac:dyDescent="0.2"/>
    <row r="178" spans="5:8" x14ac:dyDescent="0.2">
      <c r="E178" s="6"/>
      <c r="F178" s="6"/>
      <c r="H178" s="6"/>
    </row>
    <row r="179" spans="5:8" x14ac:dyDescent="0.2">
      <c r="E179" s="6"/>
      <c r="F179" s="6"/>
      <c r="H179" s="6"/>
    </row>
    <row r="180" spans="5:8" x14ac:dyDescent="0.2">
      <c r="E180" s="6"/>
      <c r="F180" s="6"/>
      <c r="H180" s="6"/>
    </row>
    <row r="181" spans="5:8" x14ac:dyDescent="0.2">
      <c r="H181" s="6"/>
    </row>
    <row r="182" spans="5:8" x14ac:dyDescent="0.2">
      <c r="H182" s="6"/>
    </row>
    <row r="183" spans="5:8" x14ac:dyDescent="0.2">
      <c r="H183" s="6"/>
    </row>
    <row r="184" spans="5:8" x14ac:dyDescent="0.2">
      <c r="H184" s="6"/>
    </row>
    <row r="185" spans="5:8" x14ac:dyDescent="0.2">
      <c r="H185" s="6"/>
    </row>
    <row r="186" spans="5:8" x14ac:dyDescent="0.2">
      <c r="H186" s="6"/>
    </row>
    <row r="187" spans="5:8" x14ac:dyDescent="0.2">
      <c r="H187" s="6"/>
    </row>
    <row r="188" spans="5:8" x14ac:dyDescent="0.2">
      <c r="H188" s="6"/>
    </row>
    <row r="189" spans="5:8" x14ac:dyDescent="0.2">
      <c r="H189" s="6"/>
    </row>
    <row r="190" spans="5:8" x14ac:dyDescent="0.2">
      <c r="H190" s="6"/>
    </row>
  </sheetData>
  <mergeCells count="88">
    <mergeCell ref="E20:M20"/>
    <mergeCell ref="E4:M4"/>
    <mergeCell ref="E5:M5"/>
    <mergeCell ref="E6:M6"/>
    <mergeCell ref="E8:M8"/>
    <mergeCell ref="E11:M11"/>
    <mergeCell ref="E12:M12"/>
    <mergeCell ref="E13:M13"/>
    <mergeCell ref="E15:M15"/>
    <mergeCell ref="E16:M16"/>
    <mergeCell ref="E17:M17"/>
    <mergeCell ref="E18:M18"/>
    <mergeCell ref="E34:M34"/>
    <mergeCell ref="E21:M21"/>
    <mergeCell ref="E22:M22"/>
    <mergeCell ref="E24:M24"/>
    <mergeCell ref="E25:M25"/>
    <mergeCell ref="E26:M26"/>
    <mergeCell ref="E27:M27"/>
    <mergeCell ref="E28:M28"/>
    <mergeCell ref="E29:M29"/>
    <mergeCell ref="E30:M30"/>
    <mergeCell ref="E32:M32"/>
    <mergeCell ref="E33:M33"/>
    <mergeCell ref="E47:M47"/>
    <mergeCell ref="E35:M35"/>
    <mergeCell ref="E36:M36"/>
    <mergeCell ref="E38:M38"/>
    <mergeCell ref="E39:M39"/>
    <mergeCell ref="E40:M40"/>
    <mergeCell ref="E41:M41"/>
    <mergeCell ref="E42:M42"/>
    <mergeCell ref="E43:M43"/>
    <mergeCell ref="E44:M44"/>
    <mergeCell ref="E45:M45"/>
    <mergeCell ref="E46:M46"/>
    <mergeCell ref="E60:M60"/>
    <mergeCell ref="E49:M49"/>
    <mergeCell ref="E51:M51"/>
    <mergeCell ref="E52:M52"/>
    <mergeCell ref="E53:M53"/>
    <mergeCell ref="E54:M54"/>
    <mergeCell ref="E55:M55"/>
    <mergeCell ref="E56:M56"/>
    <mergeCell ref="E57:M57"/>
    <mergeCell ref="E58:M58"/>
    <mergeCell ref="E59:M59"/>
    <mergeCell ref="E74:M74"/>
    <mergeCell ref="E62:M62"/>
    <mergeCell ref="E63:M63"/>
    <mergeCell ref="E64:M64"/>
    <mergeCell ref="E65:M65"/>
    <mergeCell ref="E66:M66"/>
    <mergeCell ref="E67:M67"/>
    <mergeCell ref="E68:M68"/>
    <mergeCell ref="E69:M69"/>
    <mergeCell ref="E70:M70"/>
    <mergeCell ref="E72:M72"/>
    <mergeCell ref="E73:M73"/>
    <mergeCell ref="E88:M88"/>
    <mergeCell ref="E75:M75"/>
    <mergeCell ref="E76:M76"/>
    <mergeCell ref="E77:M77"/>
    <mergeCell ref="E79:M79"/>
    <mergeCell ref="E80:M80"/>
    <mergeCell ref="E81:M81"/>
    <mergeCell ref="E82:M82"/>
    <mergeCell ref="E83:M83"/>
    <mergeCell ref="E84:M84"/>
    <mergeCell ref="E85:M85"/>
    <mergeCell ref="E86:M86"/>
    <mergeCell ref="E102:M102"/>
    <mergeCell ref="E89:M89"/>
    <mergeCell ref="E90:M90"/>
    <mergeCell ref="E91:M91"/>
    <mergeCell ref="E92:M92"/>
    <mergeCell ref="E93:M93"/>
    <mergeCell ref="E94:M94"/>
    <mergeCell ref="E96:M96"/>
    <mergeCell ref="E97:M97"/>
    <mergeCell ref="E98:M98"/>
    <mergeCell ref="E100:M100"/>
    <mergeCell ref="E101:M101"/>
    <mergeCell ref="E103:M103"/>
    <mergeCell ref="B106:C106"/>
    <mergeCell ref="B107:C107"/>
    <mergeCell ref="B110:M110"/>
    <mergeCell ref="C160:D160"/>
  </mergeCells>
  <conditionalFormatting sqref="G1:G3 G19 G109:G113 G148:G159 G163:G164 G166">
    <cfRule type="containsText" dxfId="8" priority="3" operator="containsText" text="Pas op">
      <formula>NOT(ISERROR(SEARCH("Pas op",G1)))</formula>
    </cfRule>
  </conditionalFormatting>
  <conditionalFormatting sqref="G104">
    <cfRule type="containsText" dxfId="7" priority="1" operator="containsText" text="Pas op">
      <formula>NOT(ISERROR(SEARCH("Pas op",G104)))</formula>
    </cfRule>
  </conditionalFormatting>
  <conditionalFormatting sqref="G176:G1048576">
    <cfRule type="containsText" dxfId="6" priority="2" operator="containsText" text="Pas op">
      <formula>NOT(ISERROR(SEARCH("Pas op",G176)))</formula>
    </cfRule>
  </conditionalFormatting>
  <dataValidations count="3">
    <dataValidation type="list" allowBlank="1" showInputMessage="1" showErrorMessage="1" sqref="C37353 C102889 C168425 C233961 C299497 C365033 C430569 C496105 C561641 C627177 C692713 C758249 C823785 C889321 C954857" xr:uid="{0C6356C7-212B-4EBE-8028-D503A1EF6EDB}">
      <formula1>"ja,nee"</formula1>
    </dataValidation>
    <dataValidation type="list" allowBlank="1" showInputMessage="1" showErrorMessage="1" sqref="C7" xr:uid="{3FD61E4E-B23B-4F02-AE4F-15B5B89A2CC4}">
      <formula1>"t CO2,kWh"</formula1>
    </dataValidation>
    <dataValidation type="list" allowBlank="1" showInputMessage="1" showErrorMessage="1" sqref="C14" xr:uid="{83192804-589D-4B47-A58E-134B61D0D3E0}">
      <formula1>"Nee,Ja,Geen warmte"</formula1>
    </dataValidation>
  </dataValidations>
  <pageMargins left="0.7" right="0.7" top="0.75" bottom="0.75" header="0.3" footer="0.3"/>
  <pageSetup paperSize="9" scale="14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05EBBE-53C9-4A63-997E-3F7201316DA3}">
  <sheetPr>
    <pageSetUpPr fitToPage="1"/>
  </sheetPr>
  <dimension ref="A1:AR190"/>
  <sheetViews>
    <sheetView showGridLines="0" zoomScaleNormal="100" workbookViewId="0"/>
  </sheetViews>
  <sheetFormatPr defaultColWidth="12.5703125" defaultRowHeight="12.75" x14ac:dyDescent="0.2"/>
  <cols>
    <col min="1" max="1" width="1.42578125" style="244" customWidth="1"/>
    <col min="2" max="2" width="53.42578125" style="244" customWidth="1"/>
    <col min="3" max="3" width="17.5703125" style="17" customWidth="1"/>
    <col min="4" max="4" width="29.42578125" style="17" bestFit="1" customWidth="1"/>
    <col min="5" max="5" width="20.42578125" style="244" customWidth="1"/>
    <col min="6" max="12" width="12.5703125" style="244" customWidth="1"/>
    <col min="13" max="13" width="15.42578125" style="244" customWidth="1"/>
    <col min="14" max="43" width="12.5703125" style="244" customWidth="1"/>
    <col min="44" max="16384" width="12.5703125" style="244"/>
  </cols>
  <sheetData>
    <row r="1" spans="1:44" ht="20.100000000000001" customHeight="1" x14ac:dyDescent="0.3">
      <c r="A1" s="16" t="str">
        <f>CONCATENATE("Berekening basisbedragen: ", Colofon!C16)</f>
        <v>Berekening basisbedragen: Advies TOWOZ 2026</v>
      </c>
    </row>
    <row r="2" spans="1:44" s="18" customFormat="1" ht="20.100000000000001" customHeight="1" x14ac:dyDescent="0.3">
      <c r="A2" s="142" t="s">
        <v>273</v>
      </c>
      <c r="C2" s="19"/>
      <c r="D2" s="19"/>
      <c r="G2" s="20"/>
    </row>
    <row r="4" spans="1:44" ht="15" customHeight="1" x14ac:dyDescent="0.25">
      <c r="B4" s="56" t="s">
        <v>124</v>
      </c>
      <c r="C4" s="57" t="s">
        <v>37</v>
      </c>
      <c r="D4" s="57" t="s">
        <v>114</v>
      </c>
      <c r="E4" s="262" t="s">
        <v>31</v>
      </c>
      <c r="F4" s="263"/>
      <c r="G4" s="263"/>
      <c r="H4" s="263"/>
      <c r="I4" s="263"/>
      <c r="J4" s="263"/>
      <c r="K4" s="263"/>
      <c r="L4" s="263"/>
      <c r="M4" s="255"/>
    </row>
    <row r="5" spans="1:44" ht="12.95" customHeight="1" x14ac:dyDescent="0.25">
      <c r="B5" s="50" t="s">
        <v>28</v>
      </c>
      <c r="C5" s="281">
        <f>ROUND((C157-C149)/C150,4)</f>
        <v>0.1042</v>
      </c>
      <c r="D5" s="52" t="str">
        <f>CONCATENATE("Euro/",$C$7)</f>
        <v>Euro/kWh</v>
      </c>
      <c r="E5" s="264" t="s">
        <v>125</v>
      </c>
      <c r="F5" s="265"/>
      <c r="G5" s="265"/>
      <c r="H5" s="265"/>
      <c r="I5" s="265"/>
      <c r="J5" s="265"/>
      <c r="K5" s="265"/>
      <c r="L5" s="265"/>
      <c r="M5" s="266"/>
    </row>
    <row r="6" spans="1:44" ht="12.95" customHeight="1" x14ac:dyDescent="0.25">
      <c r="B6" s="50" t="s">
        <v>27</v>
      </c>
      <c r="C6" s="71">
        <f>(ROUND(C5,4)-(ROUND(C164,4)+ROUND(C166,4)+ROUND(C167,4)+ROUND(C169,4)))/ROUND(C70,4)*1000</f>
        <v>217.3086067522587</v>
      </c>
      <c r="D6" s="53" t="s">
        <v>126</v>
      </c>
      <c r="E6" s="264" t="s">
        <v>127</v>
      </c>
      <c r="F6" s="265"/>
      <c r="G6" s="265"/>
      <c r="H6" s="265"/>
      <c r="I6" s="265"/>
      <c r="J6" s="265"/>
      <c r="K6" s="265"/>
      <c r="L6" s="265"/>
      <c r="M6" s="266"/>
    </row>
    <row r="7" spans="1:44" ht="12.95" customHeight="1" x14ac:dyDescent="0.2">
      <c r="B7" s="50" t="s">
        <v>34</v>
      </c>
      <c r="C7" s="79" t="s">
        <v>35</v>
      </c>
      <c r="D7" s="54"/>
      <c r="E7" s="137" t="s">
        <v>128</v>
      </c>
      <c r="F7" s="137"/>
      <c r="G7" s="137"/>
      <c r="H7" s="137"/>
      <c r="I7" s="137"/>
      <c r="J7" s="137"/>
      <c r="K7" s="137"/>
      <c r="L7" s="137"/>
      <c r="M7" s="243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</row>
    <row r="8" spans="1:44" ht="12.95" customHeight="1" x14ac:dyDescent="0.25">
      <c r="B8" s="50" t="s">
        <v>36</v>
      </c>
      <c r="C8" s="72" t="str">
        <f>IF(C7="kWh","kW",IF(C7="t CO2","t CO2/uur","foutmelding"))</f>
        <v>kW</v>
      </c>
      <c r="D8" s="54"/>
      <c r="E8" s="264"/>
      <c r="F8" s="265"/>
      <c r="G8" s="265"/>
      <c r="H8" s="265"/>
      <c r="I8" s="265"/>
      <c r="J8" s="265"/>
      <c r="K8" s="265"/>
      <c r="L8" s="265"/>
      <c r="M8" s="266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/>
      <c r="AO8" s="21"/>
      <c r="AP8" s="21"/>
      <c r="AQ8" s="21"/>
      <c r="AR8" s="21"/>
    </row>
    <row r="9" spans="1:44" ht="12.95" customHeight="1" x14ac:dyDescent="0.2">
      <c r="B9" s="51" t="s">
        <v>18</v>
      </c>
      <c r="C9" s="80" t="s">
        <v>21</v>
      </c>
      <c r="D9" s="55"/>
      <c r="E9" s="138" t="s">
        <v>129</v>
      </c>
      <c r="F9" s="138"/>
      <c r="G9" s="138"/>
      <c r="H9" s="138"/>
      <c r="I9" s="138"/>
      <c r="J9" s="138"/>
      <c r="K9" s="138"/>
      <c r="L9" s="138"/>
      <c r="M9" s="246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</row>
    <row r="10" spans="1:44" s="22" customFormat="1" ht="12.95" customHeight="1" x14ac:dyDescent="0.2">
      <c r="B10" s="21"/>
      <c r="C10" s="21"/>
      <c r="D10" s="21"/>
      <c r="E10" s="23"/>
      <c r="F10" s="23"/>
      <c r="G10" s="23"/>
      <c r="H10" s="23"/>
      <c r="I10" s="23"/>
      <c r="J10" s="23"/>
      <c r="K10" s="23"/>
      <c r="L10" s="23"/>
      <c r="M10" s="23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/>
      <c r="AP10" s="21"/>
      <c r="AQ10" s="21"/>
      <c r="AR10" s="21"/>
    </row>
    <row r="11" spans="1:44" ht="12.95" customHeight="1" x14ac:dyDescent="0.25">
      <c r="B11" s="56" t="s">
        <v>130</v>
      </c>
      <c r="C11" s="57" t="s">
        <v>37</v>
      </c>
      <c r="D11" s="57" t="s">
        <v>131</v>
      </c>
      <c r="E11" s="262" t="s">
        <v>31</v>
      </c>
      <c r="F11" s="263"/>
      <c r="G11" s="263"/>
      <c r="H11" s="263"/>
      <c r="I11" s="263"/>
      <c r="J11" s="263"/>
      <c r="K11" s="263"/>
      <c r="L11" s="263"/>
      <c r="M11" s="255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</row>
    <row r="12" spans="1:44" ht="12.95" customHeight="1" x14ac:dyDescent="0.25">
      <c r="B12" s="58" t="s">
        <v>38</v>
      </c>
      <c r="C12" s="140" t="s">
        <v>253</v>
      </c>
      <c r="D12" s="59" t="str">
        <f>_xlfn.XLOOKUP(C12,Correcties!A3:A3,Correcties!B3:B3,"")</f>
        <v>Elektriciteiit-WOZ (vanaf 2025)</v>
      </c>
      <c r="E12" s="267" t="str">
        <f>IFERROR(INDEX(Correcties!$A$1:$I$244,MATCH('N1 (b)'!C12,Correcties!$A$1:$A$244,0),5),"")</f>
        <v>EPEX2 x PF_WOZ</v>
      </c>
      <c r="F12" s="263"/>
      <c r="G12" s="263"/>
      <c r="H12" s="263"/>
      <c r="I12" s="263"/>
      <c r="J12" s="263"/>
      <c r="K12" s="263"/>
      <c r="L12" s="263"/>
      <c r="M12" s="255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</row>
    <row r="13" spans="1:44" ht="12.95" customHeight="1" x14ac:dyDescent="0.25">
      <c r="B13" s="50" t="s">
        <v>39</v>
      </c>
      <c r="C13" s="140">
        <v>0</v>
      </c>
      <c r="D13" s="60" t="str">
        <f>_xlfn.XLOOKUP(C13,Correcties!A14:A14,Correcties!B14:B14)</f>
        <v>Geen ETS-correctie</v>
      </c>
      <c r="E13" s="264">
        <f>_xlfn.XLOOKUP(C13,Correcties!A14:A14,Correcties!E14:E14)</f>
        <v>0</v>
      </c>
      <c r="F13" s="265"/>
      <c r="G13" s="265"/>
      <c r="H13" s="265"/>
      <c r="I13" s="265"/>
      <c r="J13" s="265"/>
      <c r="K13" s="265"/>
      <c r="L13" s="265"/>
      <c r="M13" s="266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</row>
    <row r="14" spans="1:44" ht="12.95" customHeight="1" x14ac:dyDescent="0.2">
      <c r="B14" s="50" t="s">
        <v>132</v>
      </c>
      <c r="C14" s="79" t="s">
        <v>40</v>
      </c>
      <c r="D14" s="60" t="s">
        <v>133</v>
      </c>
      <c r="E14" s="137" t="s">
        <v>134</v>
      </c>
      <c r="F14" s="137"/>
      <c r="G14" s="137"/>
      <c r="H14" s="137"/>
      <c r="I14" s="137"/>
      <c r="J14" s="137"/>
      <c r="K14" s="137"/>
      <c r="L14" s="137"/>
      <c r="M14" s="243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</row>
    <row r="15" spans="1:44" ht="15" customHeight="1" x14ac:dyDescent="0.25">
      <c r="B15" s="50" t="s">
        <v>41</v>
      </c>
      <c r="C15" s="140"/>
      <c r="D15" s="53" t="str">
        <f>_xlfn.XLOOKUP(C15,Correcties!A3:A3,Correcties!B3:B3,"")</f>
        <v/>
      </c>
      <c r="E15" s="264" t="str">
        <f>"Enkel relevant voor zon-pv. "&amp;_xlfn.XLOOKUP(C15,Correcties!A3:A3,Correcties!E3:E3,"")</f>
        <v xml:space="preserve">Enkel relevant voor zon-pv. </v>
      </c>
      <c r="F15" s="265"/>
      <c r="G15" s="265"/>
      <c r="H15" s="265"/>
      <c r="I15" s="265"/>
      <c r="J15" s="265"/>
      <c r="K15" s="265"/>
      <c r="L15" s="265"/>
      <c r="M15" s="266"/>
    </row>
    <row r="16" spans="1:44" ht="15" customHeight="1" x14ac:dyDescent="0.25">
      <c r="B16" s="50" t="s">
        <v>42</v>
      </c>
      <c r="C16" s="140"/>
      <c r="D16" s="53" t="str">
        <f>_xlfn.XLOOKUP(C16,Correcties!A3:A3,Correcties!B3:B3,"")</f>
        <v/>
      </c>
      <c r="E16" s="264" t="str">
        <f>"Enkel relevant voor zon-pv. "&amp;_xlfn.XLOOKUP(C16,Correcties!A3:A3,Correcties!E3:E3,"")</f>
        <v xml:space="preserve">Enkel relevant voor zon-pv. </v>
      </c>
      <c r="F16" s="265"/>
      <c r="G16" s="265"/>
      <c r="H16" s="265"/>
      <c r="I16" s="265"/>
      <c r="J16" s="265"/>
      <c r="K16" s="265"/>
      <c r="L16" s="265"/>
      <c r="M16" s="266"/>
    </row>
    <row r="17" spans="2:13" ht="15" customHeight="1" x14ac:dyDescent="0.25">
      <c r="B17" s="50" t="s">
        <v>43</v>
      </c>
      <c r="C17" s="81"/>
      <c r="D17" s="53"/>
      <c r="E17" s="264" t="s">
        <v>135</v>
      </c>
      <c r="F17" s="265"/>
      <c r="G17" s="265"/>
      <c r="H17" s="265"/>
      <c r="I17" s="265"/>
      <c r="J17" s="265"/>
      <c r="K17" s="265"/>
      <c r="L17" s="265"/>
      <c r="M17" s="266"/>
    </row>
    <row r="18" spans="2:13" ht="15" customHeight="1" x14ac:dyDescent="0.25">
      <c r="B18" s="51" t="s">
        <v>44</v>
      </c>
      <c r="C18" s="82"/>
      <c r="D18" s="61"/>
      <c r="E18" s="268" t="s">
        <v>136</v>
      </c>
      <c r="F18" s="269"/>
      <c r="G18" s="269"/>
      <c r="H18" s="269"/>
      <c r="I18" s="269"/>
      <c r="J18" s="269"/>
      <c r="K18" s="269"/>
      <c r="L18" s="269"/>
      <c r="M18" s="270"/>
    </row>
    <row r="19" spans="2:13" x14ac:dyDescent="0.2">
      <c r="C19" s="24"/>
    </row>
    <row r="20" spans="2:13" ht="15" customHeight="1" x14ac:dyDescent="0.25">
      <c r="B20" s="56" t="s">
        <v>137</v>
      </c>
      <c r="C20" s="57" t="s">
        <v>37</v>
      </c>
      <c r="D20" s="57" t="s">
        <v>114</v>
      </c>
      <c r="E20" s="262" t="s">
        <v>31</v>
      </c>
      <c r="F20" s="263"/>
      <c r="G20" s="263"/>
      <c r="H20" s="263"/>
      <c r="I20" s="263"/>
      <c r="J20" s="263"/>
      <c r="K20" s="263"/>
      <c r="L20" s="263"/>
      <c r="M20" s="255"/>
    </row>
    <row r="21" spans="2:13" ht="15" customHeight="1" x14ac:dyDescent="0.25">
      <c r="B21" s="50" t="s">
        <v>45</v>
      </c>
      <c r="C21" s="79"/>
      <c r="D21" s="52" t="str">
        <f>C8</f>
        <v>kW</v>
      </c>
      <c r="E21" s="264"/>
      <c r="F21" s="265"/>
      <c r="G21" s="265"/>
      <c r="H21" s="265"/>
      <c r="I21" s="265"/>
      <c r="J21" s="265"/>
      <c r="K21" s="265"/>
      <c r="L21" s="265"/>
      <c r="M21" s="266"/>
    </row>
    <row r="22" spans="2:13" ht="12.95" customHeight="1" x14ac:dyDescent="0.25">
      <c r="B22" s="50" t="s">
        <v>46</v>
      </c>
      <c r="C22" s="178"/>
      <c r="D22" s="52"/>
      <c r="E22" s="264" t="s">
        <v>138</v>
      </c>
      <c r="F22" s="265"/>
      <c r="G22" s="265"/>
      <c r="H22" s="265"/>
      <c r="I22" s="265"/>
      <c r="J22" s="265"/>
      <c r="K22" s="265"/>
      <c r="L22" s="265"/>
      <c r="M22" s="266"/>
    </row>
    <row r="23" spans="2:13" x14ac:dyDescent="0.2">
      <c r="B23" s="50" t="s">
        <v>47</v>
      </c>
      <c r="C23" s="79"/>
      <c r="D23" s="53"/>
      <c r="E23" s="137" t="s">
        <v>139</v>
      </c>
      <c r="F23" s="137"/>
      <c r="G23" s="137"/>
      <c r="H23" s="137"/>
      <c r="I23" s="137"/>
      <c r="J23" s="137"/>
      <c r="K23" s="137"/>
      <c r="L23" s="137"/>
      <c r="M23" s="243"/>
    </row>
    <row r="24" spans="2:13" ht="15" customHeight="1" x14ac:dyDescent="0.25">
      <c r="B24" s="62" t="s">
        <v>140</v>
      </c>
      <c r="C24" s="83"/>
      <c r="D24" s="53"/>
      <c r="E24" s="264" t="s">
        <v>141</v>
      </c>
      <c r="F24" s="265"/>
      <c r="G24" s="265"/>
      <c r="H24" s="265"/>
      <c r="I24" s="265"/>
      <c r="J24" s="265"/>
      <c r="K24" s="265"/>
      <c r="L24" s="265"/>
      <c r="M24" s="266"/>
    </row>
    <row r="25" spans="2:13" ht="15" customHeight="1" x14ac:dyDescent="0.25">
      <c r="B25" s="62" t="s">
        <v>142</v>
      </c>
      <c r="C25" s="179">
        <f>IF(C23="JA",IF(C24&lt;&gt;"",C21*C175/C172/C24,0),0)</f>
        <v>0</v>
      </c>
      <c r="D25" s="53" t="s">
        <v>143</v>
      </c>
      <c r="E25" s="264"/>
      <c r="F25" s="265"/>
      <c r="G25" s="265"/>
      <c r="H25" s="265"/>
      <c r="I25" s="265"/>
      <c r="J25" s="265"/>
      <c r="K25" s="265"/>
      <c r="L25" s="265"/>
      <c r="M25" s="266"/>
    </row>
    <row r="26" spans="2:13" ht="15" customHeight="1" x14ac:dyDescent="0.25">
      <c r="B26" s="50" t="s">
        <v>48</v>
      </c>
      <c r="C26" s="79"/>
      <c r="D26" s="52" t="str">
        <f>C8</f>
        <v>kW</v>
      </c>
      <c r="E26" s="264" t="s">
        <v>144</v>
      </c>
      <c r="F26" s="265"/>
      <c r="G26" s="265"/>
      <c r="H26" s="265"/>
      <c r="I26" s="265"/>
      <c r="J26" s="265"/>
      <c r="K26" s="265"/>
      <c r="L26" s="265"/>
      <c r="M26" s="266"/>
    </row>
    <row r="27" spans="2:13" ht="15" customHeight="1" x14ac:dyDescent="0.25">
      <c r="B27" s="62" t="s">
        <v>145</v>
      </c>
      <c r="C27" s="179">
        <f>IF(C23="JA",IF(C26=0,,C26*C175/C173),0)</f>
        <v>0</v>
      </c>
      <c r="D27" s="53" t="s">
        <v>143</v>
      </c>
      <c r="E27" s="264"/>
      <c r="F27" s="265"/>
      <c r="G27" s="265"/>
      <c r="H27" s="265"/>
      <c r="I27" s="265"/>
      <c r="J27" s="265"/>
      <c r="K27" s="265"/>
      <c r="L27" s="265"/>
      <c r="M27" s="266"/>
    </row>
    <row r="28" spans="2:13" ht="15" customHeight="1" x14ac:dyDescent="0.25">
      <c r="B28" s="50" t="s">
        <v>49</v>
      </c>
      <c r="C28" s="84">
        <v>1000000</v>
      </c>
      <c r="D28" s="52" t="str">
        <f>C8</f>
        <v>kW</v>
      </c>
      <c r="E28" s="264" t="s">
        <v>146</v>
      </c>
      <c r="F28" s="265"/>
      <c r="G28" s="265"/>
      <c r="H28" s="265"/>
      <c r="I28" s="265"/>
      <c r="J28" s="265"/>
      <c r="K28" s="265"/>
      <c r="L28" s="265"/>
      <c r="M28" s="266"/>
    </row>
    <row r="29" spans="2:13" ht="15" customHeight="1" x14ac:dyDescent="0.25">
      <c r="B29" s="50" t="s">
        <v>50</v>
      </c>
      <c r="C29" s="84"/>
      <c r="D29" s="53" t="s">
        <v>147</v>
      </c>
      <c r="E29" s="264" t="s">
        <v>148</v>
      </c>
      <c r="F29" s="265"/>
      <c r="G29" s="265"/>
      <c r="H29" s="265"/>
      <c r="I29" s="265"/>
      <c r="J29" s="265"/>
      <c r="K29" s="265"/>
      <c r="L29" s="265"/>
      <c r="M29" s="266"/>
    </row>
    <row r="30" spans="2:13" ht="15" customHeight="1" x14ac:dyDescent="0.25">
      <c r="B30" s="51" t="s">
        <v>51</v>
      </c>
      <c r="C30" s="80">
        <v>3755.72</v>
      </c>
      <c r="D30" s="61" t="s">
        <v>147</v>
      </c>
      <c r="E30" s="268" t="s">
        <v>148</v>
      </c>
      <c r="F30" s="269"/>
      <c r="G30" s="269"/>
      <c r="H30" s="269"/>
      <c r="I30" s="269"/>
      <c r="J30" s="269"/>
      <c r="K30" s="269"/>
      <c r="L30" s="269"/>
      <c r="M30" s="270"/>
    </row>
    <row r="31" spans="2:13" x14ac:dyDescent="0.2">
      <c r="C31" s="25"/>
      <c r="E31" s="141"/>
      <c r="F31" s="141"/>
      <c r="G31" s="141"/>
      <c r="H31" s="141"/>
      <c r="I31" s="141"/>
      <c r="J31" s="141"/>
      <c r="K31" s="141"/>
      <c r="L31" s="141"/>
      <c r="M31" s="141"/>
    </row>
    <row r="32" spans="2:13" ht="15" customHeight="1" x14ac:dyDescent="0.25">
      <c r="B32" s="56" t="s">
        <v>149</v>
      </c>
      <c r="C32" s="57" t="s">
        <v>37</v>
      </c>
      <c r="D32" s="57" t="s">
        <v>114</v>
      </c>
      <c r="E32" s="262" t="s">
        <v>31</v>
      </c>
      <c r="F32" s="263"/>
      <c r="G32" s="263"/>
      <c r="H32" s="263"/>
      <c r="I32" s="263"/>
      <c r="J32" s="263"/>
      <c r="K32" s="263"/>
      <c r="L32" s="263"/>
      <c r="M32" s="255"/>
    </row>
    <row r="33" spans="2:13" ht="15" customHeight="1" x14ac:dyDescent="0.25">
      <c r="B33" s="50" t="s">
        <v>52</v>
      </c>
      <c r="C33" s="180">
        <f>IF(C21&gt;0,C28/C21,IF(C28&gt;0,1,0))</f>
        <v>1</v>
      </c>
      <c r="D33" s="53"/>
      <c r="E33" s="264"/>
      <c r="F33" s="265"/>
      <c r="G33" s="265"/>
      <c r="H33" s="265"/>
      <c r="I33" s="265"/>
      <c r="J33" s="265"/>
      <c r="K33" s="265"/>
      <c r="L33" s="265"/>
      <c r="M33" s="266"/>
    </row>
    <row r="34" spans="2:13" ht="15" customHeight="1" x14ac:dyDescent="0.25">
      <c r="B34" s="50" t="s">
        <v>53</v>
      </c>
      <c r="C34" s="180">
        <f>IF(C28&gt;0,C33-C36*C33*(C26*C29)/(C28*C30),)</f>
        <v>1</v>
      </c>
      <c r="D34" s="53"/>
      <c r="E34" s="264"/>
      <c r="F34" s="265"/>
      <c r="G34" s="265"/>
      <c r="H34" s="265"/>
      <c r="I34" s="265"/>
      <c r="J34" s="265"/>
      <c r="K34" s="265"/>
      <c r="L34" s="265"/>
      <c r="M34" s="266"/>
    </row>
    <row r="35" spans="2:13" ht="15" customHeight="1" x14ac:dyDescent="0.25">
      <c r="B35" s="50" t="s">
        <v>54</v>
      </c>
      <c r="C35" s="73">
        <f>IF(C21&gt;0,C26/C21,0)</f>
        <v>0</v>
      </c>
      <c r="D35" s="53"/>
      <c r="E35" s="264"/>
      <c r="F35" s="265"/>
      <c r="G35" s="265"/>
      <c r="H35" s="265"/>
      <c r="I35" s="265"/>
      <c r="J35" s="265"/>
      <c r="K35" s="265"/>
      <c r="L35" s="265"/>
      <c r="M35" s="266"/>
    </row>
    <row r="36" spans="2:13" ht="15" customHeight="1" x14ac:dyDescent="0.25">
      <c r="B36" s="51" t="s">
        <v>55</v>
      </c>
      <c r="C36" s="86"/>
      <c r="D36" s="61" t="s">
        <v>150</v>
      </c>
      <c r="E36" s="268" t="s">
        <v>151</v>
      </c>
      <c r="F36" s="269"/>
      <c r="G36" s="269"/>
      <c r="H36" s="269"/>
      <c r="I36" s="269"/>
      <c r="J36" s="269"/>
      <c r="K36" s="269"/>
      <c r="L36" s="269"/>
      <c r="M36" s="270"/>
    </row>
    <row r="37" spans="2:13" x14ac:dyDescent="0.2">
      <c r="C37" s="26"/>
      <c r="E37" s="141"/>
      <c r="F37" s="141"/>
      <c r="G37" s="141"/>
      <c r="H37" s="141"/>
      <c r="I37" s="141"/>
      <c r="J37" s="141"/>
      <c r="K37" s="141"/>
      <c r="L37" s="141"/>
      <c r="M37" s="141"/>
    </row>
    <row r="38" spans="2:13" ht="15" customHeight="1" x14ac:dyDescent="0.25">
      <c r="B38" s="56" t="s">
        <v>56</v>
      </c>
      <c r="C38" s="57" t="s">
        <v>37</v>
      </c>
      <c r="D38" s="57" t="s">
        <v>114</v>
      </c>
      <c r="E38" s="262" t="s">
        <v>31</v>
      </c>
      <c r="F38" s="263"/>
      <c r="G38" s="263"/>
      <c r="H38" s="263"/>
      <c r="I38" s="263"/>
      <c r="J38" s="263"/>
      <c r="K38" s="263"/>
      <c r="L38" s="263"/>
      <c r="M38" s="255"/>
    </row>
    <row r="39" spans="2:13" ht="15" customHeight="1" x14ac:dyDescent="0.25">
      <c r="B39" s="63" t="s">
        <v>152</v>
      </c>
      <c r="C39" s="84"/>
      <c r="D39" s="53" t="str">
        <f>CONCATENATE("Euro/",$C$8)</f>
        <v>Euro/kW</v>
      </c>
      <c r="E39" s="264" t="s">
        <v>153</v>
      </c>
      <c r="F39" s="265"/>
      <c r="G39" s="265"/>
      <c r="H39" s="265"/>
      <c r="I39" s="265"/>
      <c r="J39" s="265"/>
      <c r="K39" s="265"/>
      <c r="L39" s="265"/>
      <c r="M39" s="266"/>
    </row>
    <row r="40" spans="2:13" ht="15" customHeight="1" x14ac:dyDescent="0.25">
      <c r="B40" s="63" t="s">
        <v>154</v>
      </c>
      <c r="C40" s="79">
        <v>3037.5838625455672</v>
      </c>
      <c r="D40" s="53" t="str">
        <f>CONCATENATE("Euro/",$C$8)</f>
        <v>Euro/kW</v>
      </c>
      <c r="E40" s="264" t="s">
        <v>277</v>
      </c>
      <c r="F40" s="265"/>
      <c r="G40" s="265"/>
      <c r="H40" s="265"/>
      <c r="I40" s="265"/>
      <c r="J40" s="265"/>
      <c r="K40" s="265"/>
      <c r="L40" s="265"/>
      <c r="M40" s="266"/>
    </row>
    <row r="41" spans="2:13" ht="15" customHeight="1" x14ac:dyDescent="0.25">
      <c r="B41" s="50" t="s">
        <v>57</v>
      </c>
      <c r="C41" s="181">
        <f>((C21*C39+SUM(C26,C28)*C40)*(1+D103*C92))/1000000</f>
        <v>3060.365741514659</v>
      </c>
      <c r="D41" s="53" t="s">
        <v>155</v>
      </c>
      <c r="E41" s="271"/>
      <c r="F41" s="265"/>
      <c r="G41" s="265"/>
      <c r="H41" s="265"/>
      <c r="I41" s="265"/>
      <c r="J41" s="265"/>
      <c r="K41" s="265"/>
      <c r="L41" s="265"/>
      <c r="M41" s="266"/>
    </row>
    <row r="42" spans="2:13" ht="15" customHeight="1" x14ac:dyDescent="0.25">
      <c r="B42" s="63" t="s">
        <v>156</v>
      </c>
      <c r="C42" s="178"/>
      <c r="D42" s="53" t="str">
        <f>CONCATENATE("Euro/",$C$8,"/jaar")</f>
        <v>Euro/kW/jaar</v>
      </c>
      <c r="E42" s="264" t="s">
        <v>157</v>
      </c>
      <c r="F42" s="265"/>
      <c r="G42" s="265"/>
      <c r="H42" s="265"/>
      <c r="I42" s="265"/>
      <c r="J42" s="265"/>
      <c r="K42" s="265"/>
      <c r="L42" s="265"/>
      <c r="M42" s="266"/>
    </row>
    <row r="43" spans="2:13" ht="15" customHeight="1" x14ac:dyDescent="0.25">
      <c r="B43" s="63" t="s">
        <v>158</v>
      </c>
      <c r="C43" s="178">
        <v>52.612950488608796</v>
      </c>
      <c r="D43" s="53" t="str">
        <f>CONCATENATE("Euro/",$C$8,"/jaar")</f>
        <v>Euro/kW/jaar</v>
      </c>
      <c r="E43" s="264" t="s">
        <v>157</v>
      </c>
      <c r="F43" s="265"/>
      <c r="G43" s="265"/>
      <c r="H43" s="265"/>
      <c r="I43" s="265"/>
      <c r="J43" s="265"/>
      <c r="K43" s="265"/>
      <c r="L43" s="265"/>
      <c r="M43" s="266"/>
    </row>
    <row r="44" spans="2:13" ht="15" customHeight="1" x14ac:dyDescent="0.25">
      <c r="B44" s="50" t="s">
        <v>58</v>
      </c>
      <c r="C44" s="74">
        <f>(C42*C21+C43*SUM(C26,C28))/1000</f>
        <v>52612.950488608789</v>
      </c>
      <c r="D44" s="53" t="s">
        <v>159</v>
      </c>
      <c r="E44" s="271" t="s">
        <v>160</v>
      </c>
      <c r="F44" s="265"/>
      <c r="G44" s="265"/>
      <c r="H44" s="265"/>
      <c r="I44" s="265"/>
      <c r="J44" s="265"/>
      <c r="K44" s="265"/>
      <c r="L44" s="265"/>
      <c r="M44" s="266"/>
    </row>
    <row r="45" spans="2:13" ht="15" customHeight="1" x14ac:dyDescent="0.25">
      <c r="B45" s="50" t="s">
        <v>161</v>
      </c>
      <c r="C45" s="182"/>
      <c r="D45" s="53" t="str">
        <f>CONCATENATE("Euro/",$C$7)</f>
        <v>Euro/kWh</v>
      </c>
      <c r="E45" s="264" t="str">
        <f>CONCATENATE("Het betreft de inkoopkosten voor elektriciteit, per ", $C$7," output")</f>
        <v>Het betreft de inkoopkosten voor elektriciteit, per kWh output</v>
      </c>
      <c r="F45" s="265"/>
      <c r="G45" s="265"/>
      <c r="H45" s="265"/>
      <c r="I45" s="265"/>
      <c r="J45" s="265"/>
      <c r="K45" s="265"/>
      <c r="L45" s="265"/>
      <c r="M45" s="266"/>
    </row>
    <row r="46" spans="2:13" ht="15" customHeight="1" x14ac:dyDescent="0.25">
      <c r="B46" s="50" t="s">
        <v>162</v>
      </c>
      <c r="C46" s="182"/>
      <c r="D46" s="53" t="str">
        <f>CONCATENATE("Euro/",$C$7)</f>
        <v>Euro/kWh</v>
      </c>
      <c r="E46" s="264" t="str">
        <f>CONCATENATE("Het betreft de inkoopkosten voor gas, per ", $C$7," output")</f>
        <v>Het betreft de inkoopkosten voor gas, per kWh output</v>
      </c>
      <c r="F46" s="265"/>
      <c r="G46" s="265"/>
      <c r="H46" s="265"/>
      <c r="I46" s="265"/>
      <c r="J46" s="265"/>
      <c r="K46" s="265"/>
      <c r="L46" s="265"/>
      <c r="M46" s="266"/>
    </row>
    <row r="47" spans="2:13" ht="15" customHeight="1" x14ac:dyDescent="0.25">
      <c r="B47" s="50" t="s">
        <v>163</v>
      </c>
      <c r="C47" s="182"/>
      <c r="D47" s="53" t="str">
        <f>CONCATENATE("Euro/",$C$7)</f>
        <v>Euro/kWh</v>
      </c>
      <c r="E47" s="264" t="str">
        <f>CONCATENATE("Het betreft de inkoopkosten voor warmte, per ", $C$7," output")</f>
        <v>Het betreft de inkoopkosten voor warmte, per kWh output</v>
      </c>
      <c r="F47" s="265"/>
      <c r="G47" s="265"/>
      <c r="H47" s="265"/>
      <c r="I47" s="265"/>
      <c r="J47" s="265"/>
      <c r="K47" s="265"/>
      <c r="L47" s="265"/>
      <c r="M47" s="266"/>
    </row>
    <row r="48" spans="2:13" ht="15" customHeight="1" x14ac:dyDescent="0.25">
      <c r="B48" s="50" t="s">
        <v>59</v>
      </c>
      <c r="C48" s="182">
        <v>0.01</v>
      </c>
      <c r="D48" s="53" t="str">
        <f>CONCATENATE("Euro/",$C$7)</f>
        <v>Euro/kWh</v>
      </c>
      <c r="E48" s="243" t="s">
        <v>275</v>
      </c>
      <c r="M48" s="245"/>
    </row>
    <row r="49" spans="2:13" ht="15" customHeight="1" x14ac:dyDescent="0.25">
      <c r="B49" s="51" t="s">
        <v>164</v>
      </c>
      <c r="C49" s="183">
        <f>SUM(C45:C48)</f>
        <v>0.01</v>
      </c>
      <c r="D49" s="61" t="str">
        <f>CONCATENATE("Euro/",$C$7)</f>
        <v>Euro/kWh</v>
      </c>
      <c r="E49" s="272"/>
      <c r="F49" s="269"/>
      <c r="G49" s="269"/>
      <c r="H49" s="269"/>
      <c r="I49" s="269"/>
      <c r="J49" s="269"/>
      <c r="K49" s="269"/>
      <c r="L49" s="269"/>
      <c r="M49" s="270"/>
    </row>
    <row r="50" spans="2:13" x14ac:dyDescent="0.2">
      <c r="C50" s="26"/>
      <c r="E50" s="141"/>
      <c r="F50" s="141"/>
      <c r="G50" s="141"/>
      <c r="H50" s="141"/>
      <c r="I50" s="141"/>
      <c r="J50" s="141"/>
      <c r="K50" s="141"/>
      <c r="L50" s="141"/>
      <c r="M50" s="141"/>
    </row>
    <row r="51" spans="2:13" ht="15" customHeight="1" x14ac:dyDescent="0.25">
      <c r="B51" s="64" t="s">
        <v>60</v>
      </c>
      <c r="C51" s="57" t="s">
        <v>37</v>
      </c>
      <c r="D51" s="57" t="s">
        <v>114</v>
      </c>
      <c r="E51" s="262" t="s">
        <v>31</v>
      </c>
      <c r="F51" s="263"/>
      <c r="G51" s="263"/>
      <c r="H51" s="263"/>
      <c r="I51" s="263"/>
      <c r="J51" s="263"/>
      <c r="K51" s="263"/>
      <c r="L51" s="263"/>
      <c r="M51" s="255"/>
    </row>
    <row r="52" spans="2:13" ht="15" customHeight="1" x14ac:dyDescent="0.25">
      <c r="B52" s="50" t="s">
        <v>61</v>
      </c>
      <c r="C52" s="81"/>
      <c r="D52" s="53" t="s">
        <v>165</v>
      </c>
      <c r="E52" s="264"/>
      <c r="F52" s="265"/>
      <c r="G52" s="265"/>
      <c r="H52" s="265"/>
      <c r="I52" s="265"/>
      <c r="J52" s="265"/>
      <c r="K52" s="265"/>
      <c r="L52" s="265"/>
      <c r="M52" s="266"/>
    </row>
    <row r="53" spans="2:13" ht="15" customHeight="1" x14ac:dyDescent="0.25">
      <c r="B53" s="50" t="s">
        <v>62</v>
      </c>
      <c r="C53" s="179">
        <f>IF(C52=0,,C21*MAX(C29,C30)*C175/C52/1000)</f>
        <v>0</v>
      </c>
      <c r="D53" s="53" t="s">
        <v>166</v>
      </c>
      <c r="E53" s="273"/>
      <c r="F53" s="265"/>
      <c r="G53" s="265"/>
      <c r="H53" s="265"/>
      <c r="I53" s="265"/>
      <c r="J53" s="265"/>
      <c r="K53" s="265"/>
      <c r="L53" s="265"/>
      <c r="M53" s="266"/>
    </row>
    <row r="54" spans="2:13" ht="15" customHeight="1" x14ac:dyDescent="0.25">
      <c r="B54" s="50" t="s">
        <v>63</v>
      </c>
      <c r="C54" s="87"/>
      <c r="D54" s="53" t="s">
        <v>167</v>
      </c>
      <c r="E54" s="264" t="s">
        <v>168</v>
      </c>
      <c r="F54" s="265"/>
      <c r="G54" s="265"/>
      <c r="H54" s="265"/>
      <c r="I54" s="265"/>
      <c r="J54" s="265"/>
      <c r="K54" s="265"/>
      <c r="L54" s="265"/>
      <c r="M54" s="266"/>
    </row>
    <row r="55" spans="2:13" ht="15" customHeight="1" x14ac:dyDescent="0.25">
      <c r="B55" s="50" t="s">
        <v>64</v>
      </c>
      <c r="C55" s="87"/>
      <c r="D55" s="53" t="str">
        <f>CONCATENATE("kWh/",$C$7)</f>
        <v>kWh/kWh</v>
      </c>
      <c r="E55" s="264"/>
      <c r="F55" s="265"/>
      <c r="G55" s="265"/>
      <c r="H55" s="265"/>
      <c r="I55" s="265"/>
      <c r="J55" s="265"/>
      <c r="K55" s="265"/>
      <c r="L55" s="265"/>
      <c r="M55" s="266"/>
    </row>
    <row r="56" spans="2:13" ht="15" customHeight="1" x14ac:dyDescent="0.25">
      <c r="B56" s="50" t="s">
        <v>65</v>
      </c>
      <c r="C56" s="179">
        <f>IF(C55=0,,MAX(C26,C28)*MAX(C29,C30)*C55*10^(-3))</f>
        <v>0</v>
      </c>
      <c r="D56" s="53" t="s">
        <v>169</v>
      </c>
      <c r="E56" s="264"/>
      <c r="F56" s="265"/>
      <c r="G56" s="265"/>
      <c r="H56" s="265"/>
      <c r="I56" s="265"/>
      <c r="J56" s="265"/>
      <c r="K56" s="265"/>
      <c r="L56" s="265"/>
      <c r="M56" s="266"/>
    </row>
    <row r="57" spans="2:13" ht="15" customHeight="1" x14ac:dyDescent="0.25">
      <c r="B57" s="50" t="s">
        <v>66</v>
      </c>
      <c r="C57" s="87"/>
      <c r="D57" s="53" t="str">
        <f>CONCATENATE("kWh/",$C$7)</f>
        <v>kWh/kWh</v>
      </c>
      <c r="E57" s="264"/>
      <c r="F57" s="265"/>
      <c r="G57" s="265"/>
      <c r="H57" s="265"/>
      <c r="I57" s="265"/>
      <c r="J57" s="265"/>
      <c r="K57" s="265"/>
      <c r="L57" s="265"/>
      <c r="M57" s="266"/>
    </row>
    <row r="58" spans="2:13" ht="15" customHeight="1" x14ac:dyDescent="0.25">
      <c r="B58" s="50" t="s">
        <v>67</v>
      </c>
      <c r="C58" s="179">
        <f>IF(C57=0,,MAX($C$26,$C$28)*MAX($C$29,$C$30)*C57/1000)</f>
        <v>0</v>
      </c>
      <c r="D58" s="53" t="s">
        <v>169</v>
      </c>
      <c r="E58" s="264"/>
      <c r="F58" s="265"/>
      <c r="G58" s="265"/>
      <c r="H58" s="265"/>
      <c r="I58" s="265"/>
      <c r="J58" s="265"/>
      <c r="K58" s="265"/>
      <c r="L58" s="265"/>
      <c r="M58" s="266"/>
    </row>
    <row r="59" spans="2:13" ht="15" customHeight="1" x14ac:dyDescent="0.25">
      <c r="B59" s="50" t="s">
        <v>68</v>
      </c>
      <c r="C59" s="87"/>
      <c r="D59" s="53" t="str">
        <f>CONCATENATE("kWh/",$C$7)</f>
        <v>kWh/kWh</v>
      </c>
      <c r="E59" s="264"/>
      <c r="F59" s="265"/>
      <c r="G59" s="265"/>
      <c r="H59" s="265"/>
      <c r="I59" s="265"/>
      <c r="J59" s="265"/>
      <c r="K59" s="265"/>
      <c r="L59" s="265"/>
      <c r="M59" s="266"/>
    </row>
    <row r="60" spans="2:13" ht="15" customHeight="1" x14ac:dyDescent="0.25">
      <c r="B60" s="51" t="s">
        <v>69</v>
      </c>
      <c r="C60" s="184">
        <f>IF(C59=0,,MAX($C$26,$C$28)*MAX($C$29,$C$30)*C59/1000)</f>
        <v>0</v>
      </c>
      <c r="D60" s="61" t="s">
        <v>169</v>
      </c>
      <c r="E60" s="268"/>
      <c r="F60" s="269"/>
      <c r="G60" s="269"/>
      <c r="H60" s="269"/>
      <c r="I60" s="269"/>
      <c r="J60" s="269"/>
      <c r="K60" s="269"/>
      <c r="L60" s="269"/>
      <c r="M60" s="270"/>
    </row>
    <row r="61" spans="2:13" x14ac:dyDescent="0.2">
      <c r="C61" s="26"/>
      <c r="E61" s="141"/>
      <c r="F61" s="141"/>
      <c r="G61" s="141"/>
      <c r="H61" s="141"/>
      <c r="I61" s="141"/>
      <c r="J61" s="141"/>
      <c r="K61" s="141"/>
      <c r="L61" s="141"/>
      <c r="M61" s="141"/>
    </row>
    <row r="62" spans="2:13" ht="15" customHeight="1" x14ac:dyDescent="0.25">
      <c r="B62" s="64" t="s">
        <v>70</v>
      </c>
      <c r="C62" s="57" t="s">
        <v>37</v>
      </c>
      <c r="D62" s="57" t="s">
        <v>114</v>
      </c>
      <c r="E62" s="262" t="s">
        <v>31</v>
      </c>
      <c r="F62" s="263"/>
      <c r="G62" s="263"/>
      <c r="H62" s="263"/>
      <c r="I62" s="263"/>
      <c r="J62" s="263"/>
      <c r="K62" s="263"/>
      <c r="L62" s="263"/>
      <c r="M62" s="255"/>
    </row>
    <row r="63" spans="2:13" ht="15" customHeight="1" x14ac:dyDescent="0.25">
      <c r="B63" s="50" t="s">
        <v>71</v>
      </c>
      <c r="C63" s="94"/>
      <c r="D63" s="53" t="str">
        <f>IF(AND(C26&gt;0,C23=""),CONCATENATE("kg CO2/",$C$7),"kg CO2/kWh")</f>
        <v>kg CO2/kWh</v>
      </c>
      <c r="E63" s="264"/>
      <c r="F63" s="265"/>
      <c r="G63" s="265"/>
      <c r="H63" s="265"/>
      <c r="I63" s="265"/>
      <c r="J63" s="265"/>
      <c r="K63" s="265"/>
      <c r="L63" s="265"/>
      <c r="M63" s="266"/>
    </row>
    <row r="64" spans="2:13" ht="15" customHeight="1" x14ac:dyDescent="0.25">
      <c r="B64" s="50" t="s">
        <v>72</v>
      </c>
      <c r="C64" s="94">
        <v>8.7999999999999995E-2</v>
      </c>
      <c r="D64" s="53" t="str">
        <f>IF(C28&gt;0,CONCATENATE("kg CO2/",$C$7),"kg CO2/kWh")</f>
        <v>kg CO2/kWh</v>
      </c>
      <c r="E64" s="264"/>
      <c r="F64" s="265"/>
      <c r="G64" s="265"/>
      <c r="H64" s="265"/>
      <c r="I64" s="265"/>
      <c r="J64" s="265"/>
      <c r="K64" s="265"/>
      <c r="L64" s="265"/>
      <c r="M64" s="266"/>
    </row>
    <row r="65" spans="2:13" ht="15" customHeight="1" x14ac:dyDescent="0.25">
      <c r="B65" s="50" t="s">
        <v>73</v>
      </c>
      <c r="C65" s="94"/>
      <c r="D65" s="53" t="str">
        <f>IF(C23="Ja",CONCATENATE("kg CO2/",$C$7),"kg CO2/kWh")</f>
        <v>kg CO2/kWh</v>
      </c>
      <c r="E65" s="264"/>
      <c r="F65" s="265"/>
      <c r="G65" s="265"/>
      <c r="H65" s="265"/>
      <c r="I65" s="265"/>
      <c r="J65" s="265"/>
      <c r="K65" s="265"/>
      <c r="L65" s="265"/>
      <c r="M65" s="266"/>
    </row>
    <row r="66" spans="2:13" ht="15" customHeight="1" x14ac:dyDescent="0.25">
      <c r="B66" s="50" t="s">
        <v>74</v>
      </c>
      <c r="C66" s="87"/>
      <c r="D66" s="53" t="s">
        <v>170</v>
      </c>
      <c r="E66" s="264" t="s">
        <v>171</v>
      </c>
      <c r="F66" s="265"/>
      <c r="G66" s="265"/>
      <c r="H66" s="265"/>
      <c r="I66" s="265"/>
      <c r="J66" s="265"/>
      <c r="K66" s="265"/>
      <c r="L66" s="265"/>
      <c r="M66" s="266"/>
    </row>
    <row r="67" spans="2:13" ht="15" customHeight="1" x14ac:dyDescent="0.25">
      <c r="B67" s="50" t="s">
        <v>75</v>
      </c>
      <c r="C67" s="185"/>
      <c r="D67" s="53" t="s">
        <v>172</v>
      </c>
      <c r="E67" s="264"/>
      <c r="F67" s="265"/>
      <c r="G67" s="265"/>
      <c r="H67" s="265"/>
      <c r="I67" s="265"/>
      <c r="J67" s="265"/>
      <c r="K67" s="265"/>
      <c r="L67" s="265"/>
      <c r="M67" s="266"/>
    </row>
    <row r="68" spans="2:13" ht="15" customHeight="1" x14ac:dyDescent="0.25">
      <c r="B68" s="50" t="s">
        <v>76</v>
      </c>
      <c r="C68" s="185"/>
      <c r="D68" s="53" t="s">
        <v>172</v>
      </c>
      <c r="E68" s="264"/>
      <c r="F68" s="265"/>
      <c r="G68" s="265"/>
      <c r="H68" s="265"/>
      <c r="I68" s="265"/>
      <c r="J68" s="265"/>
      <c r="K68" s="265"/>
      <c r="L68" s="265"/>
      <c r="M68" s="266"/>
    </row>
    <row r="69" spans="2:13" ht="15" customHeight="1" x14ac:dyDescent="0.25">
      <c r="B69" s="50" t="s">
        <v>77</v>
      </c>
      <c r="C69" s="185"/>
      <c r="D69" s="53" t="s">
        <v>172</v>
      </c>
      <c r="E69" s="264"/>
      <c r="F69" s="265"/>
      <c r="G69" s="265"/>
      <c r="H69" s="265"/>
      <c r="I69" s="265"/>
      <c r="J69" s="265"/>
      <c r="K69" s="265"/>
      <c r="L69" s="265"/>
      <c r="M69" s="266"/>
    </row>
    <row r="70" spans="2:13" ht="15" customHeight="1" x14ac:dyDescent="0.25">
      <c r="B70" s="65" t="s">
        <v>173</v>
      </c>
      <c r="C70" s="75">
        <f>ROUND((IF($C$23="Ja",$C$65,($C$64*IF($C$17&gt;0,1/$C$17,1)*$C$28*$C$30+$C$63*$C$26*$C$29)/($C$28*$C$30+$C$26*$C$29))-$C$55*$C$68-$C$57*$C$67-$C$69*$C$59+(-$C$53*$C$66)/(($C$28*$C$30)+($C$26*$C$29)))*C86,4)</f>
        <v>0.21029999999999999</v>
      </c>
      <c r="D70" s="61" t="str">
        <f>CONCATENATE("kg CO2/",$C$7)</f>
        <v>kg CO2/kWh</v>
      </c>
      <c r="E70" s="268"/>
      <c r="F70" s="269"/>
      <c r="G70" s="269"/>
      <c r="H70" s="269"/>
      <c r="I70" s="269"/>
      <c r="J70" s="269"/>
      <c r="K70" s="269"/>
      <c r="L70" s="269"/>
      <c r="M70" s="270"/>
    </row>
    <row r="71" spans="2:13" x14ac:dyDescent="0.2">
      <c r="C71" s="26"/>
      <c r="E71" s="141"/>
      <c r="F71" s="141"/>
      <c r="G71" s="141"/>
      <c r="H71" s="141"/>
      <c r="I71" s="141"/>
      <c r="J71" s="141"/>
      <c r="K71" s="141"/>
      <c r="L71" s="141"/>
      <c r="M71" s="141"/>
    </row>
    <row r="72" spans="2:13" ht="15" customHeight="1" x14ac:dyDescent="0.25">
      <c r="B72" s="64" t="s">
        <v>78</v>
      </c>
      <c r="C72" s="57" t="s">
        <v>37</v>
      </c>
      <c r="D72" s="57" t="s">
        <v>114</v>
      </c>
      <c r="E72" s="262" t="s">
        <v>31</v>
      </c>
      <c r="F72" s="263"/>
      <c r="G72" s="263"/>
      <c r="H72" s="263"/>
      <c r="I72" s="263"/>
      <c r="J72" s="263"/>
      <c r="K72" s="263"/>
      <c r="L72" s="263"/>
      <c r="M72" s="255"/>
    </row>
    <row r="73" spans="2:13" ht="15" customHeight="1" x14ac:dyDescent="0.25">
      <c r="B73" s="50" t="s">
        <v>79</v>
      </c>
      <c r="C73" s="88">
        <v>35</v>
      </c>
      <c r="D73" s="53" t="s">
        <v>174</v>
      </c>
      <c r="E73" s="264" t="s">
        <v>175</v>
      </c>
      <c r="F73" s="265"/>
      <c r="G73" s="265"/>
      <c r="H73" s="265"/>
      <c r="I73" s="265"/>
      <c r="J73" s="265"/>
      <c r="K73" s="265"/>
      <c r="L73" s="265"/>
      <c r="M73" s="266"/>
    </row>
    <row r="74" spans="2:13" ht="15" customHeight="1" x14ac:dyDescent="0.25">
      <c r="B74" s="66" t="s">
        <v>80</v>
      </c>
      <c r="C74" s="95">
        <v>15</v>
      </c>
      <c r="D74" s="53" t="s">
        <v>174</v>
      </c>
      <c r="E74" s="264"/>
      <c r="F74" s="265"/>
      <c r="G74" s="265"/>
      <c r="H74" s="265"/>
      <c r="I74" s="265"/>
      <c r="J74" s="265"/>
      <c r="K74" s="265"/>
      <c r="L74" s="265"/>
      <c r="M74" s="266"/>
    </row>
    <row r="75" spans="2:13" ht="15" customHeight="1" x14ac:dyDescent="0.25">
      <c r="B75" s="66" t="s">
        <v>81</v>
      </c>
      <c r="C75" s="95">
        <v>20</v>
      </c>
      <c r="D75" s="53" t="s">
        <v>174</v>
      </c>
      <c r="E75" s="264"/>
      <c r="F75" s="265"/>
      <c r="G75" s="265"/>
      <c r="H75" s="265"/>
      <c r="I75" s="265"/>
      <c r="J75" s="265"/>
      <c r="K75" s="265"/>
      <c r="L75" s="265"/>
      <c r="M75" s="266"/>
    </row>
    <row r="76" spans="2:13" ht="15" customHeight="1" x14ac:dyDescent="0.25">
      <c r="B76" s="66" t="s">
        <v>82</v>
      </c>
      <c r="C76" s="95">
        <v>15</v>
      </c>
      <c r="D76" s="53" t="s">
        <v>174</v>
      </c>
      <c r="E76" s="264"/>
      <c r="F76" s="265"/>
      <c r="G76" s="265"/>
      <c r="H76" s="265"/>
      <c r="I76" s="265"/>
      <c r="J76" s="265"/>
      <c r="K76" s="265"/>
      <c r="L76" s="265"/>
      <c r="M76" s="266"/>
    </row>
    <row r="77" spans="2:13" ht="15" customHeight="1" x14ac:dyDescent="0.25">
      <c r="B77" s="51" t="s">
        <v>176</v>
      </c>
      <c r="C77" s="85"/>
      <c r="D77" s="61" t="s">
        <v>174</v>
      </c>
      <c r="E77" s="268" t="s">
        <v>177</v>
      </c>
      <c r="F77" s="269"/>
      <c r="G77" s="269"/>
      <c r="H77" s="269"/>
      <c r="I77" s="269"/>
      <c r="J77" s="269"/>
      <c r="K77" s="269"/>
      <c r="L77" s="269"/>
      <c r="M77" s="270"/>
    </row>
    <row r="78" spans="2:13" x14ac:dyDescent="0.2">
      <c r="C78" s="26"/>
      <c r="E78" s="141"/>
      <c r="F78" s="141"/>
      <c r="G78" s="141"/>
      <c r="H78" s="141"/>
      <c r="I78" s="141"/>
      <c r="J78" s="141"/>
      <c r="K78" s="141"/>
      <c r="L78" s="141"/>
      <c r="M78" s="141"/>
    </row>
    <row r="79" spans="2:13" ht="15" customHeight="1" x14ac:dyDescent="0.25">
      <c r="B79" s="64" t="s">
        <v>83</v>
      </c>
      <c r="C79" s="57" t="s">
        <v>37</v>
      </c>
      <c r="D79" s="57" t="s">
        <v>114</v>
      </c>
      <c r="E79" s="262" t="s">
        <v>31</v>
      </c>
      <c r="F79" s="263"/>
      <c r="G79" s="263"/>
      <c r="H79" s="263"/>
      <c r="I79" s="263"/>
      <c r="J79" s="263"/>
      <c r="K79" s="263"/>
      <c r="L79" s="263"/>
      <c r="M79" s="255"/>
    </row>
    <row r="80" spans="2:13" ht="15" customHeight="1" x14ac:dyDescent="0.25">
      <c r="B80" s="50" t="s">
        <v>84</v>
      </c>
      <c r="C80" s="249">
        <f>C164</f>
        <v>5.6540737536000002E-2</v>
      </c>
      <c r="D80" s="53" t="s">
        <v>178</v>
      </c>
      <c r="E80" s="264" t="s">
        <v>251</v>
      </c>
      <c r="F80" s="265"/>
      <c r="G80" s="265"/>
      <c r="H80" s="265"/>
      <c r="I80" s="265"/>
      <c r="J80" s="265"/>
      <c r="K80" s="265"/>
      <c r="L80" s="265"/>
      <c r="M80" s="266"/>
    </row>
    <row r="81" spans="2:13" ht="15" customHeight="1" x14ac:dyDescent="0.25">
      <c r="B81" s="50" t="s">
        <v>85</v>
      </c>
      <c r="C81" s="88">
        <v>3915.72</v>
      </c>
      <c r="D81" s="53" t="s">
        <v>147</v>
      </c>
      <c r="E81" s="264"/>
      <c r="F81" s="265"/>
      <c r="G81" s="265"/>
      <c r="H81" s="265"/>
      <c r="I81" s="265"/>
      <c r="J81" s="265"/>
      <c r="K81" s="265"/>
      <c r="L81" s="265"/>
      <c r="M81" s="266"/>
    </row>
    <row r="82" spans="2:13" ht="15" customHeight="1" x14ac:dyDescent="0.25">
      <c r="B82" s="50" t="s">
        <v>86</v>
      </c>
      <c r="C82" s="27"/>
      <c r="D82" s="53" t="s">
        <v>178</v>
      </c>
      <c r="E82" s="264"/>
      <c r="F82" s="265"/>
      <c r="G82" s="265"/>
      <c r="H82" s="265"/>
      <c r="I82" s="265"/>
      <c r="J82" s="265"/>
      <c r="K82" s="265"/>
      <c r="L82" s="265"/>
      <c r="M82" s="266"/>
    </row>
    <row r="83" spans="2:13" ht="15" customHeight="1" x14ac:dyDescent="0.25">
      <c r="B83" s="50" t="s">
        <v>87</v>
      </c>
      <c r="C83" s="87"/>
      <c r="D83" s="53" t="s">
        <v>147</v>
      </c>
      <c r="E83" s="264"/>
      <c r="F83" s="265"/>
      <c r="G83" s="265"/>
      <c r="H83" s="265"/>
      <c r="I83" s="265"/>
      <c r="J83" s="265"/>
      <c r="K83" s="265"/>
      <c r="L83" s="265"/>
      <c r="M83" s="266"/>
    </row>
    <row r="84" spans="2:13" ht="15" customHeight="1" x14ac:dyDescent="0.25">
      <c r="B84" s="50" t="s">
        <v>179</v>
      </c>
      <c r="C84" s="76">
        <f>SUM(E117:INDEX(E117:AR117,1,C76))</f>
        <v>56335800000</v>
      </c>
      <c r="D84" s="52" t="str">
        <f>C7</f>
        <v>kWh</v>
      </c>
      <c r="E84" s="264"/>
      <c r="F84" s="265"/>
      <c r="G84" s="265"/>
      <c r="H84" s="265"/>
      <c r="I84" s="265"/>
      <c r="J84" s="265"/>
      <c r="K84" s="265"/>
      <c r="L84" s="265"/>
      <c r="M84" s="266"/>
    </row>
    <row r="85" spans="2:13" ht="15" customHeight="1" x14ac:dyDescent="0.25">
      <c r="B85" s="67" t="s">
        <v>180</v>
      </c>
      <c r="C85" s="76">
        <f>IF(C77=0,SUM(E117:INDEX(E117:AR117,1,C73)),SUM(E117:INDEX(E117:AR117,1,C77)))</f>
        <v>134650200000</v>
      </c>
      <c r="D85" s="52" t="str">
        <f>C7</f>
        <v>kWh</v>
      </c>
      <c r="E85" s="264"/>
      <c r="F85" s="265"/>
      <c r="G85" s="265"/>
      <c r="H85" s="265"/>
      <c r="I85" s="265"/>
      <c r="J85" s="265"/>
      <c r="K85" s="265"/>
      <c r="L85" s="265"/>
      <c r="M85" s="266"/>
    </row>
    <row r="86" spans="2:13" ht="15" customHeight="1" x14ac:dyDescent="0.25">
      <c r="B86" s="68" t="s">
        <v>181</v>
      </c>
      <c r="C86" s="186">
        <f>C85/C84</f>
        <v>2.3901355798621835</v>
      </c>
      <c r="D86" s="61"/>
      <c r="E86" s="268"/>
      <c r="F86" s="269"/>
      <c r="G86" s="269"/>
      <c r="H86" s="269"/>
      <c r="I86" s="269"/>
      <c r="J86" s="269"/>
      <c r="K86" s="269"/>
      <c r="L86" s="269"/>
      <c r="M86" s="270"/>
    </row>
    <row r="87" spans="2:13" x14ac:dyDescent="0.2">
      <c r="C87" s="26"/>
      <c r="E87" s="141"/>
      <c r="F87" s="141"/>
      <c r="G87" s="141"/>
      <c r="H87" s="141"/>
      <c r="I87" s="141"/>
      <c r="J87" s="141"/>
      <c r="K87" s="141"/>
      <c r="L87" s="141"/>
      <c r="M87" s="141"/>
    </row>
    <row r="88" spans="2:13" ht="15" customHeight="1" x14ac:dyDescent="0.25">
      <c r="B88" s="64" t="s">
        <v>182</v>
      </c>
      <c r="C88" s="57" t="s">
        <v>37</v>
      </c>
      <c r="D88" s="57" t="s">
        <v>114</v>
      </c>
      <c r="E88" s="262" t="s">
        <v>31</v>
      </c>
      <c r="F88" s="263"/>
      <c r="G88" s="263"/>
      <c r="H88" s="263"/>
      <c r="I88" s="263"/>
      <c r="J88" s="263"/>
      <c r="K88" s="263"/>
      <c r="L88" s="263"/>
      <c r="M88" s="255"/>
    </row>
    <row r="89" spans="2:13" ht="15" customHeight="1" x14ac:dyDescent="0.25">
      <c r="B89" s="50" t="s">
        <v>88</v>
      </c>
      <c r="C89" s="187">
        <v>0.02</v>
      </c>
      <c r="D89" s="53"/>
      <c r="E89" s="264"/>
      <c r="F89" s="265"/>
      <c r="G89" s="265"/>
      <c r="H89" s="265"/>
      <c r="I89" s="265"/>
      <c r="J89" s="265"/>
      <c r="K89" s="265"/>
      <c r="L89" s="265"/>
      <c r="M89" s="266"/>
    </row>
    <row r="90" spans="2:13" ht="15" customHeight="1" x14ac:dyDescent="0.25">
      <c r="B90" s="50" t="s">
        <v>89</v>
      </c>
      <c r="C90" s="188">
        <v>4.4999999999999998E-2</v>
      </c>
      <c r="D90" s="53"/>
      <c r="E90" s="264"/>
      <c r="F90" s="265"/>
      <c r="G90" s="265"/>
      <c r="H90" s="265"/>
      <c r="I90" s="265"/>
      <c r="J90" s="265"/>
      <c r="K90" s="265"/>
      <c r="L90" s="265"/>
      <c r="M90" s="266"/>
    </row>
    <row r="91" spans="2:13" ht="15" customHeight="1" x14ac:dyDescent="0.25">
      <c r="B91" s="50" t="s">
        <v>90</v>
      </c>
      <c r="C91" s="188">
        <v>0.1</v>
      </c>
      <c r="D91" s="53"/>
      <c r="E91" s="264"/>
      <c r="F91" s="265"/>
      <c r="G91" s="265"/>
      <c r="H91" s="265"/>
      <c r="I91" s="265"/>
      <c r="J91" s="265"/>
      <c r="K91" s="265"/>
      <c r="L91" s="265"/>
      <c r="M91" s="266"/>
    </row>
    <row r="92" spans="2:13" ht="15" customHeight="1" x14ac:dyDescent="0.25">
      <c r="B92" s="66" t="s">
        <v>91</v>
      </c>
      <c r="C92" s="73">
        <f>100%-C93</f>
        <v>0.75</v>
      </c>
      <c r="D92" s="53"/>
      <c r="E92" s="264"/>
      <c r="F92" s="265"/>
      <c r="G92" s="265"/>
      <c r="H92" s="265"/>
      <c r="I92" s="265"/>
      <c r="J92" s="265"/>
      <c r="K92" s="265"/>
      <c r="L92" s="265"/>
      <c r="M92" s="266"/>
    </row>
    <row r="93" spans="2:13" ht="15" customHeight="1" x14ac:dyDescent="0.25">
      <c r="B93" s="50" t="s">
        <v>92</v>
      </c>
      <c r="C93" s="28">
        <v>0.25</v>
      </c>
      <c r="D93" s="53"/>
      <c r="E93" s="264"/>
      <c r="F93" s="265"/>
      <c r="G93" s="265"/>
      <c r="H93" s="265"/>
      <c r="I93" s="265"/>
      <c r="J93" s="265"/>
      <c r="K93" s="265"/>
      <c r="L93" s="265"/>
      <c r="M93" s="266"/>
    </row>
    <row r="94" spans="2:13" ht="15" customHeight="1" x14ac:dyDescent="0.25">
      <c r="B94" s="68" t="s">
        <v>93</v>
      </c>
      <c r="C94" s="189">
        <v>0.25800000000000001</v>
      </c>
      <c r="D94" s="61"/>
      <c r="E94" s="268"/>
      <c r="F94" s="269"/>
      <c r="G94" s="269"/>
      <c r="H94" s="269"/>
      <c r="I94" s="269"/>
      <c r="J94" s="269"/>
      <c r="K94" s="269"/>
      <c r="L94" s="269"/>
      <c r="M94" s="270"/>
    </row>
    <row r="95" spans="2:13" x14ac:dyDescent="0.2">
      <c r="C95" s="26"/>
      <c r="E95" s="141"/>
      <c r="F95" s="141"/>
      <c r="G95" s="141"/>
      <c r="H95" s="141"/>
      <c r="I95" s="141"/>
      <c r="J95" s="141"/>
      <c r="K95" s="141"/>
      <c r="L95" s="141"/>
      <c r="M95" s="141"/>
    </row>
    <row r="96" spans="2:13" ht="15" customHeight="1" x14ac:dyDescent="0.25">
      <c r="B96" s="64" t="s">
        <v>94</v>
      </c>
      <c r="C96" s="57" t="s">
        <v>37</v>
      </c>
      <c r="D96" s="57" t="s">
        <v>114</v>
      </c>
      <c r="E96" s="262" t="s">
        <v>31</v>
      </c>
      <c r="F96" s="263"/>
      <c r="G96" s="263"/>
      <c r="H96" s="263"/>
      <c r="I96" s="263"/>
      <c r="J96" s="263"/>
      <c r="K96" s="263"/>
      <c r="L96" s="263"/>
      <c r="M96" s="255"/>
    </row>
    <row r="97" spans="1:44" ht="15" customHeight="1" x14ac:dyDescent="0.25">
      <c r="B97" s="50" t="s">
        <v>95</v>
      </c>
      <c r="C97" s="29"/>
      <c r="D97" s="53" t="s">
        <v>183</v>
      </c>
      <c r="E97" s="264"/>
      <c r="F97" s="265"/>
      <c r="G97" s="265"/>
      <c r="H97" s="265"/>
      <c r="I97" s="265"/>
      <c r="J97" s="265"/>
      <c r="K97" s="265"/>
      <c r="L97" s="265"/>
      <c r="M97" s="266"/>
    </row>
    <row r="98" spans="1:44" ht="15" customHeight="1" x14ac:dyDescent="0.25">
      <c r="B98" s="51" t="s">
        <v>96</v>
      </c>
      <c r="C98" s="30"/>
      <c r="D98" s="61" t="s">
        <v>183</v>
      </c>
      <c r="E98" s="268"/>
      <c r="F98" s="269"/>
      <c r="G98" s="269"/>
      <c r="H98" s="269"/>
      <c r="I98" s="269"/>
      <c r="J98" s="269"/>
      <c r="K98" s="269"/>
      <c r="L98" s="269"/>
      <c r="M98" s="270"/>
    </row>
    <row r="99" spans="1:44" x14ac:dyDescent="0.2">
      <c r="C99" s="26"/>
      <c r="E99" s="141"/>
      <c r="F99" s="141"/>
      <c r="G99" s="141"/>
      <c r="H99" s="141"/>
      <c r="I99" s="141"/>
      <c r="J99" s="141"/>
      <c r="K99" s="141"/>
      <c r="L99" s="141"/>
      <c r="M99" s="141"/>
    </row>
    <row r="100" spans="1:44" ht="15" customHeight="1" x14ac:dyDescent="0.25">
      <c r="B100" s="56" t="s">
        <v>97</v>
      </c>
      <c r="C100" s="57" t="s">
        <v>15</v>
      </c>
      <c r="D100" s="57" t="s">
        <v>37</v>
      </c>
      <c r="E100" s="262" t="s">
        <v>31</v>
      </c>
      <c r="F100" s="263"/>
      <c r="G100" s="263"/>
      <c r="H100" s="263"/>
      <c r="I100" s="263"/>
      <c r="J100" s="263"/>
      <c r="K100" s="263"/>
      <c r="L100" s="263"/>
      <c r="M100" s="255"/>
    </row>
    <row r="101" spans="1:44" ht="15" customHeight="1" x14ac:dyDescent="0.25">
      <c r="B101" s="66"/>
      <c r="C101" s="89">
        <v>16</v>
      </c>
      <c r="D101" s="90">
        <f>-283000000/2</f>
        <v>-141500000</v>
      </c>
      <c r="E101" s="264" t="s">
        <v>184</v>
      </c>
      <c r="F101" s="265"/>
      <c r="G101" s="265"/>
      <c r="H101" s="265"/>
      <c r="I101" s="265"/>
      <c r="J101" s="265"/>
      <c r="K101" s="265"/>
      <c r="L101" s="265"/>
      <c r="M101" s="266"/>
    </row>
    <row r="102" spans="1:44" ht="15" customHeight="1" x14ac:dyDescent="0.25">
      <c r="B102" s="69"/>
      <c r="C102" s="91"/>
      <c r="D102" s="92"/>
      <c r="E102" s="268" t="str">
        <f>"De waarde als reële kosten is gedefinieerd in euro van het jaar "&amp;E105&amp;"."</f>
        <v>De waarde als reële kosten is gedefinieerd in euro van het jaar 2026.</v>
      </c>
      <c r="F102" s="269"/>
      <c r="G102" s="269"/>
      <c r="H102" s="269"/>
      <c r="I102" s="269"/>
      <c r="J102" s="269"/>
      <c r="K102" s="269"/>
      <c r="L102" s="269"/>
      <c r="M102" s="270"/>
    </row>
    <row r="103" spans="1:44" ht="15" customHeight="1" x14ac:dyDescent="0.25">
      <c r="B103" s="51" t="s">
        <v>98</v>
      </c>
      <c r="C103" s="31">
        <v>0</v>
      </c>
      <c r="D103" s="164">
        <v>0.01</v>
      </c>
      <c r="E103" s="268" t="s">
        <v>185</v>
      </c>
      <c r="F103" s="269"/>
      <c r="G103" s="269"/>
      <c r="H103" s="269"/>
      <c r="I103" s="269"/>
      <c r="J103" s="269"/>
      <c r="K103" s="269"/>
      <c r="L103" s="269"/>
      <c r="M103" s="270"/>
    </row>
    <row r="104" spans="1:44" x14ac:dyDescent="0.2">
      <c r="E104" s="190"/>
    </row>
    <row r="105" spans="1:44" s="32" customFormat="1" x14ac:dyDescent="0.2">
      <c r="A105" s="244"/>
      <c r="B105" s="56" t="s">
        <v>186</v>
      </c>
      <c r="C105" s="57"/>
      <c r="D105" s="57" t="s">
        <v>114</v>
      </c>
      <c r="E105" s="57">
        <f>Colofon!C29</f>
        <v>2026</v>
      </c>
      <c r="F105" s="57">
        <f t="shared" ref="F105:AR105" si="0">E105+1</f>
        <v>2027</v>
      </c>
      <c r="G105" s="57">
        <f t="shared" si="0"/>
        <v>2028</v>
      </c>
      <c r="H105" s="57">
        <f t="shared" si="0"/>
        <v>2029</v>
      </c>
      <c r="I105" s="57">
        <f t="shared" si="0"/>
        <v>2030</v>
      </c>
      <c r="J105" s="57">
        <f t="shared" si="0"/>
        <v>2031</v>
      </c>
      <c r="K105" s="57">
        <f t="shared" si="0"/>
        <v>2032</v>
      </c>
      <c r="L105" s="57">
        <f t="shared" si="0"/>
        <v>2033</v>
      </c>
      <c r="M105" s="57">
        <f t="shared" si="0"/>
        <v>2034</v>
      </c>
      <c r="N105" s="57">
        <f t="shared" si="0"/>
        <v>2035</v>
      </c>
      <c r="O105" s="57">
        <f t="shared" si="0"/>
        <v>2036</v>
      </c>
      <c r="P105" s="57">
        <f t="shared" si="0"/>
        <v>2037</v>
      </c>
      <c r="Q105" s="57">
        <f t="shared" si="0"/>
        <v>2038</v>
      </c>
      <c r="R105" s="57">
        <f t="shared" si="0"/>
        <v>2039</v>
      </c>
      <c r="S105" s="57">
        <f t="shared" si="0"/>
        <v>2040</v>
      </c>
      <c r="T105" s="57">
        <f t="shared" si="0"/>
        <v>2041</v>
      </c>
      <c r="U105" s="57">
        <f t="shared" si="0"/>
        <v>2042</v>
      </c>
      <c r="V105" s="57">
        <f t="shared" si="0"/>
        <v>2043</v>
      </c>
      <c r="W105" s="57">
        <f t="shared" si="0"/>
        <v>2044</v>
      </c>
      <c r="X105" s="57">
        <f t="shared" si="0"/>
        <v>2045</v>
      </c>
      <c r="Y105" s="57">
        <f t="shared" si="0"/>
        <v>2046</v>
      </c>
      <c r="Z105" s="57">
        <f t="shared" si="0"/>
        <v>2047</v>
      </c>
      <c r="AA105" s="57">
        <f t="shared" si="0"/>
        <v>2048</v>
      </c>
      <c r="AB105" s="57">
        <f t="shared" si="0"/>
        <v>2049</v>
      </c>
      <c r="AC105" s="57">
        <f t="shared" si="0"/>
        <v>2050</v>
      </c>
      <c r="AD105" s="57">
        <f t="shared" si="0"/>
        <v>2051</v>
      </c>
      <c r="AE105" s="57">
        <f t="shared" si="0"/>
        <v>2052</v>
      </c>
      <c r="AF105" s="57">
        <f t="shared" si="0"/>
        <v>2053</v>
      </c>
      <c r="AG105" s="57">
        <f t="shared" si="0"/>
        <v>2054</v>
      </c>
      <c r="AH105" s="57">
        <f t="shared" si="0"/>
        <v>2055</v>
      </c>
      <c r="AI105" s="57">
        <f t="shared" si="0"/>
        <v>2056</v>
      </c>
      <c r="AJ105" s="57">
        <f t="shared" si="0"/>
        <v>2057</v>
      </c>
      <c r="AK105" s="57">
        <f t="shared" si="0"/>
        <v>2058</v>
      </c>
      <c r="AL105" s="57">
        <f t="shared" si="0"/>
        <v>2059</v>
      </c>
      <c r="AM105" s="57">
        <f t="shared" si="0"/>
        <v>2060</v>
      </c>
      <c r="AN105" s="57">
        <f t="shared" si="0"/>
        <v>2061</v>
      </c>
      <c r="AO105" s="57">
        <f t="shared" si="0"/>
        <v>2062</v>
      </c>
      <c r="AP105" s="57">
        <f t="shared" si="0"/>
        <v>2063</v>
      </c>
      <c r="AQ105" s="57">
        <f t="shared" si="0"/>
        <v>2064</v>
      </c>
      <c r="AR105" s="136">
        <f t="shared" si="0"/>
        <v>2065</v>
      </c>
    </row>
    <row r="106" spans="1:44" s="247" customFormat="1" ht="13.5" customHeight="1" x14ac:dyDescent="0.25">
      <c r="B106" s="274" t="s">
        <v>187</v>
      </c>
      <c r="C106" s="275"/>
      <c r="D106" s="191" t="str">
        <f>CONCATENATE("Euro/",$C$7)</f>
        <v>Euro/kWh</v>
      </c>
      <c r="E106" s="93"/>
      <c r="F106" s="192">
        <f t="shared" ref="F106:AR106" si="1">IF(F$111&lt;=$C76,$E$106,)</f>
        <v>0</v>
      </c>
      <c r="G106" s="192">
        <f t="shared" si="1"/>
        <v>0</v>
      </c>
      <c r="H106" s="192">
        <f t="shared" si="1"/>
        <v>0</v>
      </c>
      <c r="I106" s="192">
        <f t="shared" si="1"/>
        <v>0</v>
      </c>
      <c r="J106" s="192">
        <f t="shared" si="1"/>
        <v>0</v>
      </c>
      <c r="K106" s="192">
        <f t="shared" si="1"/>
        <v>0</v>
      </c>
      <c r="L106" s="192">
        <f t="shared" si="1"/>
        <v>0</v>
      </c>
      <c r="M106" s="192">
        <f t="shared" si="1"/>
        <v>0</v>
      </c>
      <c r="N106" s="192">
        <f t="shared" si="1"/>
        <v>0</v>
      </c>
      <c r="O106" s="192">
        <f t="shared" si="1"/>
        <v>0</v>
      </c>
      <c r="P106" s="192">
        <f t="shared" si="1"/>
        <v>0</v>
      </c>
      <c r="Q106" s="192">
        <f t="shared" si="1"/>
        <v>0</v>
      </c>
      <c r="R106" s="192">
        <f t="shared" si="1"/>
        <v>0</v>
      </c>
      <c r="S106" s="192">
        <f t="shared" si="1"/>
        <v>0</v>
      </c>
      <c r="T106" s="192">
        <f t="shared" si="1"/>
        <v>0</v>
      </c>
      <c r="U106" s="192">
        <f t="shared" si="1"/>
        <v>0</v>
      </c>
      <c r="V106" s="192">
        <f t="shared" si="1"/>
        <v>0</v>
      </c>
      <c r="W106" s="192">
        <f t="shared" si="1"/>
        <v>0</v>
      </c>
      <c r="X106" s="192">
        <f t="shared" si="1"/>
        <v>0</v>
      </c>
      <c r="Y106" s="192">
        <f t="shared" si="1"/>
        <v>0</v>
      </c>
      <c r="Z106" s="192">
        <f t="shared" si="1"/>
        <v>0</v>
      </c>
      <c r="AA106" s="192">
        <f t="shared" si="1"/>
        <v>0</v>
      </c>
      <c r="AB106" s="192">
        <f t="shared" si="1"/>
        <v>0</v>
      </c>
      <c r="AC106" s="192">
        <f t="shared" si="1"/>
        <v>0</v>
      </c>
      <c r="AD106" s="192">
        <f t="shared" si="1"/>
        <v>0</v>
      </c>
      <c r="AE106" s="192">
        <f t="shared" si="1"/>
        <v>0</v>
      </c>
      <c r="AF106" s="192">
        <f t="shared" si="1"/>
        <v>0</v>
      </c>
      <c r="AG106" s="192">
        <f t="shared" si="1"/>
        <v>0</v>
      </c>
      <c r="AH106" s="192">
        <f t="shared" si="1"/>
        <v>0</v>
      </c>
      <c r="AI106" s="192">
        <f t="shared" si="1"/>
        <v>0</v>
      </c>
      <c r="AJ106" s="192">
        <f t="shared" si="1"/>
        <v>0</v>
      </c>
      <c r="AK106" s="192">
        <f t="shared" si="1"/>
        <v>0</v>
      </c>
      <c r="AL106" s="192">
        <f t="shared" si="1"/>
        <v>0</v>
      </c>
      <c r="AM106" s="192">
        <f t="shared" si="1"/>
        <v>0</v>
      </c>
      <c r="AN106" s="192">
        <f t="shared" si="1"/>
        <v>0</v>
      </c>
      <c r="AO106" s="192">
        <f t="shared" si="1"/>
        <v>0</v>
      </c>
      <c r="AP106" s="192">
        <f t="shared" si="1"/>
        <v>0</v>
      </c>
      <c r="AQ106" s="192">
        <f t="shared" si="1"/>
        <v>0</v>
      </c>
      <c r="AR106" s="192">
        <f t="shared" si="1"/>
        <v>0</v>
      </c>
    </row>
    <row r="107" spans="1:44" s="247" customFormat="1" ht="13.5" customHeight="1" x14ac:dyDescent="0.25">
      <c r="B107" s="274" t="s">
        <v>188</v>
      </c>
      <c r="C107" s="275"/>
      <c r="D107" s="191" t="str">
        <f>CONCATENATE("Euro/",$C$7)</f>
        <v>Euro/kWh</v>
      </c>
      <c r="E107" s="93"/>
      <c r="F107" s="192">
        <f t="shared" ref="F107:AR107" si="2">IF(F$111&lt;=$C73,$E$107*F108,)</f>
        <v>0</v>
      </c>
      <c r="G107" s="192">
        <f t="shared" si="2"/>
        <v>0</v>
      </c>
      <c r="H107" s="192">
        <f t="shared" si="2"/>
        <v>0</v>
      </c>
      <c r="I107" s="192">
        <f t="shared" si="2"/>
        <v>0</v>
      </c>
      <c r="J107" s="192">
        <f t="shared" si="2"/>
        <v>0</v>
      </c>
      <c r="K107" s="192">
        <f t="shared" si="2"/>
        <v>0</v>
      </c>
      <c r="L107" s="192">
        <f t="shared" si="2"/>
        <v>0</v>
      </c>
      <c r="M107" s="192">
        <f t="shared" si="2"/>
        <v>0</v>
      </c>
      <c r="N107" s="192">
        <f t="shared" si="2"/>
        <v>0</v>
      </c>
      <c r="O107" s="192">
        <f t="shared" si="2"/>
        <v>0</v>
      </c>
      <c r="P107" s="192">
        <f t="shared" si="2"/>
        <v>0</v>
      </c>
      <c r="Q107" s="192">
        <f t="shared" si="2"/>
        <v>0</v>
      </c>
      <c r="R107" s="192">
        <f t="shared" si="2"/>
        <v>0</v>
      </c>
      <c r="S107" s="192">
        <f t="shared" si="2"/>
        <v>0</v>
      </c>
      <c r="T107" s="192">
        <f t="shared" si="2"/>
        <v>0</v>
      </c>
      <c r="U107" s="192">
        <f t="shared" si="2"/>
        <v>0</v>
      </c>
      <c r="V107" s="192">
        <f t="shared" si="2"/>
        <v>0</v>
      </c>
      <c r="W107" s="192">
        <f t="shared" si="2"/>
        <v>0</v>
      </c>
      <c r="X107" s="192">
        <f t="shared" si="2"/>
        <v>0</v>
      </c>
      <c r="Y107" s="192">
        <f t="shared" si="2"/>
        <v>0</v>
      </c>
      <c r="Z107" s="192">
        <f t="shared" si="2"/>
        <v>0</v>
      </c>
      <c r="AA107" s="192">
        <f t="shared" si="2"/>
        <v>0</v>
      </c>
      <c r="AB107" s="192">
        <f t="shared" si="2"/>
        <v>0</v>
      </c>
      <c r="AC107" s="192">
        <f t="shared" si="2"/>
        <v>0</v>
      </c>
      <c r="AD107" s="192">
        <f t="shared" si="2"/>
        <v>0</v>
      </c>
      <c r="AE107" s="192">
        <f t="shared" si="2"/>
        <v>0</v>
      </c>
      <c r="AF107" s="192">
        <f t="shared" si="2"/>
        <v>0</v>
      </c>
      <c r="AG107" s="192">
        <f t="shared" si="2"/>
        <v>0</v>
      </c>
      <c r="AH107" s="192">
        <f t="shared" si="2"/>
        <v>0</v>
      </c>
      <c r="AI107" s="192">
        <f t="shared" si="2"/>
        <v>0</v>
      </c>
      <c r="AJ107" s="192">
        <f t="shared" si="2"/>
        <v>0</v>
      </c>
      <c r="AK107" s="192">
        <f t="shared" si="2"/>
        <v>0</v>
      </c>
      <c r="AL107" s="192">
        <f t="shared" si="2"/>
        <v>0</v>
      </c>
      <c r="AM107" s="192">
        <f t="shared" si="2"/>
        <v>0</v>
      </c>
      <c r="AN107" s="192">
        <f t="shared" si="2"/>
        <v>0</v>
      </c>
      <c r="AO107" s="192">
        <f t="shared" si="2"/>
        <v>0</v>
      </c>
      <c r="AP107" s="192">
        <f t="shared" si="2"/>
        <v>0</v>
      </c>
      <c r="AQ107" s="192">
        <f t="shared" si="2"/>
        <v>0</v>
      </c>
      <c r="AR107" s="192">
        <f t="shared" si="2"/>
        <v>0</v>
      </c>
    </row>
    <row r="108" spans="1:44" x14ac:dyDescent="0.2">
      <c r="B108" s="69" t="s">
        <v>189</v>
      </c>
      <c r="C108" s="193"/>
      <c r="D108" s="193" t="s">
        <v>190</v>
      </c>
      <c r="E108" s="77">
        <f t="shared" ref="E108:AR108" si="3">POWER(1+$C$89,E111-$E$111)</f>
        <v>1</v>
      </c>
      <c r="F108" s="77">
        <f t="shared" si="3"/>
        <v>1.02</v>
      </c>
      <c r="G108" s="77">
        <f t="shared" si="3"/>
        <v>1.0404</v>
      </c>
      <c r="H108" s="77">
        <f t="shared" si="3"/>
        <v>1.0612079999999999</v>
      </c>
      <c r="I108" s="77">
        <f t="shared" si="3"/>
        <v>1.08243216</v>
      </c>
      <c r="J108" s="77">
        <f t="shared" si="3"/>
        <v>1.1040808032</v>
      </c>
      <c r="K108" s="77">
        <f t="shared" si="3"/>
        <v>1.1261624192640001</v>
      </c>
      <c r="L108" s="77">
        <f t="shared" si="3"/>
        <v>1.1486856676492798</v>
      </c>
      <c r="M108" s="77">
        <f t="shared" si="3"/>
        <v>1.1716593810022655</v>
      </c>
      <c r="N108" s="77">
        <f t="shared" si="3"/>
        <v>1.1950925686223108</v>
      </c>
      <c r="O108" s="77">
        <f t="shared" si="3"/>
        <v>1.2189944199947571</v>
      </c>
      <c r="P108" s="77">
        <f t="shared" si="3"/>
        <v>1.243374308394652</v>
      </c>
      <c r="Q108" s="77">
        <f t="shared" si="3"/>
        <v>1.2682417945625453</v>
      </c>
      <c r="R108" s="77">
        <f t="shared" si="3"/>
        <v>1.2936066304537961</v>
      </c>
      <c r="S108" s="77">
        <f t="shared" si="3"/>
        <v>1.3194787630628722</v>
      </c>
      <c r="T108" s="77">
        <f t="shared" si="3"/>
        <v>1.3458683383241292</v>
      </c>
      <c r="U108" s="77">
        <f t="shared" si="3"/>
        <v>1.372785705090612</v>
      </c>
      <c r="V108" s="77">
        <f t="shared" si="3"/>
        <v>1.4002414191924244</v>
      </c>
      <c r="W108" s="77">
        <f t="shared" si="3"/>
        <v>1.4282462475762727</v>
      </c>
      <c r="X108" s="77">
        <f t="shared" si="3"/>
        <v>1.4568111725277981</v>
      </c>
      <c r="Y108" s="77">
        <f t="shared" si="3"/>
        <v>1.4859473959783542</v>
      </c>
      <c r="Z108" s="77">
        <f t="shared" si="3"/>
        <v>1.5156663438979212</v>
      </c>
      <c r="AA108" s="77">
        <f t="shared" si="3"/>
        <v>1.5459796707758797</v>
      </c>
      <c r="AB108" s="77">
        <f t="shared" si="3"/>
        <v>1.576899264191397</v>
      </c>
      <c r="AC108" s="77">
        <f t="shared" si="3"/>
        <v>1.608437249475225</v>
      </c>
      <c r="AD108" s="77">
        <f t="shared" si="3"/>
        <v>1.6406059944647295</v>
      </c>
      <c r="AE108" s="77">
        <f t="shared" si="3"/>
        <v>1.6734181143540243</v>
      </c>
      <c r="AF108" s="77">
        <f t="shared" si="3"/>
        <v>1.7068864766411045</v>
      </c>
      <c r="AG108" s="77">
        <f t="shared" si="3"/>
        <v>1.7410242061739269</v>
      </c>
      <c r="AH108" s="77">
        <f t="shared" si="3"/>
        <v>1.7758446902974052</v>
      </c>
      <c r="AI108" s="77">
        <f t="shared" si="3"/>
        <v>1.8113615841033535</v>
      </c>
      <c r="AJ108" s="77">
        <f t="shared" si="3"/>
        <v>1.8475888157854201</v>
      </c>
      <c r="AK108" s="77">
        <f t="shared" si="3"/>
        <v>1.8845405921011289</v>
      </c>
      <c r="AL108" s="77">
        <f t="shared" si="3"/>
        <v>1.9222314039431516</v>
      </c>
      <c r="AM108" s="77">
        <f t="shared" si="3"/>
        <v>1.9606760320220145</v>
      </c>
      <c r="AN108" s="77">
        <f t="shared" si="3"/>
        <v>1.9998895526624547</v>
      </c>
      <c r="AO108" s="77">
        <f t="shared" si="3"/>
        <v>2.0398873437157037</v>
      </c>
      <c r="AP108" s="77">
        <f t="shared" si="3"/>
        <v>2.080685090590018</v>
      </c>
      <c r="AQ108" s="77">
        <f t="shared" si="3"/>
        <v>2.1222987924018186</v>
      </c>
      <c r="AR108" s="78">
        <f t="shared" si="3"/>
        <v>2.1647447682498542</v>
      </c>
    </row>
    <row r="109" spans="1:44" ht="12.95" customHeight="1" x14ac:dyDescent="0.2"/>
    <row r="110" spans="1:44" ht="12.95" customHeight="1" x14ac:dyDescent="0.25">
      <c r="B110" s="276" t="s">
        <v>191</v>
      </c>
      <c r="C110" s="263"/>
      <c r="D110" s="263"/>
      <c r="E110" s="263"/>
      <c r="F110" s="263"/>
      <c r="G110" s="263"/>
      <c r="H110" s="263"/>
      <c r="I110" s="263"/>
      <c r="J110" s="263"/>
      <c r="K110" s="263"/>
      <c r="L110" s="263"/>
      <c r="M110" s="263"/>
      <c r="N110" s="155"/>
      <c r="O110" s="155"/>
      <c r="P110" s="155"/>
      <c r="Q110" s="155"/>
      <c r="R110" s="155"/>
      <c r="S110" s="155"/>
      <c r="T110" s="155"/>
      <c r="U110" s="155"/>
      <c r="V110" s="155"/>
      <c r="W110" s="155"/>
      <c r="X110" s="155"/>
      <c r="Y110" s="155"/>
      <c r="Z110" s="155"/>
      <c r="AA110" s="155"/>
      <c r="AB110" s="155"/>
      <c r="AC110" s="155"/>
      <c r="AD110" s="155"/>
      <c r="AE110" s="155"/>
      <c r="AF110" s="155"/>
      <c r="AG110" s="155"/>
      <c r="AH110" s="155"/>
      <c r="AI110" s="155"/>
      <c r="AJ110" s="155"/>
      <c r="AK110" s="155"/>
      <c r="AL110" s="155"/>
      <c r="AM110" s="155"/>
      <c r="AN110" s="155"/>
      <c r="AO110" s="155"/>
      <c r="AP110" s="155"/>
      <c r="AQ110" s="155"/>
      <c r="AR110" s="156"/>
    </row>
    <row r="111" spans="1:44" ht="12.95" customHeight="1" x14ac:dyDescent="0.2">
      <c r="B111" s="157" t="s">
        <v>192</v>
      </c>
      <c r="C111" s="143"/>
      <c r="D111" s="144">
        <v>0</v>
      </c>
      <c r="E111" s="144">
        <v>1</v>
      </c>
      <c r="F111" s="144">
        <v>2</v>
      </c>
      <c r="G111" s="144">
        <v>3</v>
      </c>
      <c r="H111" s="144">
        <v>4</v>
      </c>
      <c r="I111" s="144">
        <v>5</v>
      </c>
      <c r="J111" s="144">
        <v>6</v>
      </c>
      <c r="K111" s="144">
        <v>7</v>
      </c>
      <c r="L111" s="144">
        <v>8</v>
      </c>
      <c r="M111" s="144">
        <v>9</v>
      </c>
      <c r="N111" s="144">
        <v>10</v>
      </c>
      <c r="O111" s="144">
        <v>11</v>
      </c>
      <c r="P111" s="144">
        <v>12</v>
      </c>
      <c r="Q111" s="144">
        <v>13</v>
      </c>
      <c r="R111" s="144">
        <v>14</v>
      </c>
      <c r="S111" s="144">
        <v>15</v>
      </c>
      <c r="T111" s="144">
        <v>16</v>
      </c>
      <c r="U111" s="144">
        <v>17</v>
      </c>
      <c r="V111" s="144">
        <v>18</v>
      </c>
      <c r="W111" s="144">
        <v>19</v>
      </c>
      <c r="X111" s="144">
        <v>20</v>
      </c>
      <c r="Y111" s="144">
        <v>21</v>
      </c>
      <c r="Z111" s="144">
        <v>22</v>
      </c>
      <c r="AA111" s="144">
        <v>23</v>
      </c>
      <c r="AB111" s="144">
        <v>24</v>
      </c>
      <c r="AC111" s="144">
        <v>25</v>
      </c>
      <c r="AD111" s="144">
        <v>26</v>
      </c>
      <c r="AE111" s="144">
        <v>27</v>
      </c>
      <c r="AF111" s="144">
        <v>28</v>
      </c>
      <c r="AG111" s="144">
        <v>29</v>
      </c>
      <c r="AH111" s="144">
        <v>30</v>
      </c>
      <c r="AI111" s="144">
        <v>31</v>
      </c>
      <c r="AJ111" s="144">
        <v>32</v>
      </c>
      <c r="AK111" s="144">
        <v>33</v>
      </c>
      <c r="AL111" s="144">
        <v>34</v>
      </c>
      <c r="AM111" s="144">
        <v>35</v>
      </c>
      <c r="AN111" s="144">
        <v>36</v>
      </c>
      <c r="AO111" s="144">
        <v>37</v>
      </c>
      <c r="AP111" s="144">
        <v>38</v>
      </c>
      <c r="AQ111" s="144">
        <v>39</v>
      </c>
      <c r="AR111" s="158">
        <v>40</v>
      </c>
    </row>
    <row r="112" spans="1:44" ht="12.95" customHeight="1" x14ac:dyDescent="0.2">
      <c r="B112" s="50" t="s">
        <v>193</v>
      </c>
      <c r="C112" s="145" t="s">
        <v>183</v>
      </c>
      <c r="D112" s="146">
        <f>-C151</f>
        <v>-3060365741.5146589</v>
      </c>
      <c r="E112" s="147"/>
      <c r="F112" s="147"/>
      <c r="G112" s="147"/>
      <c r="H112" s="147"/>
      <c r="I112" s="147"/>
      <c r="J112" s="147"/>
      <c r="K112" s="147"/>
      <c r="L112" s="147"/>
      <c r="M112" s="147"/>
      <c r="N112" s="147"/>
      <c r="O112" s="147"/>
      <c r="P112" s="147"/>
      <c r="Q112" s="147"/>
      <c r="R112" s="147"/>
      <c r="S112" s="147"/>
      <c r="T112" s="147"/>
      <c r="U112" s="147"/>
      <c r="V112" s="147"/>
      <c r="W112" s="147"/>
      <c r="X112" s="147"/>
      <c r="Y112" s="147"/>
      <c r="Z112" s="147"/>
      <c r="AA112" s="147"/>
      <c r="AB112" s="147"/>
      <c r="AC112" s="147"/>
      <c r="AD112" s="147"/>
      <c r="AE112" s="147"/>
      <c r="AF112" s="147"/>
      <c r="AG112" s="147"/>
      <c r="AH112" s="147"/>
      <c r="AI112" s="147"/>
      <c r="AJ112" s="147"/>
      <c r="AK112" s="147"/>
      <c r="AL112" s="147"/>
      <c r="AM112" s="147"/>
      <c r="AN112" s="147"/>
      <c r="AO112" s="147"/>
      <c r="AP112" s="147"/>
      <c r="AQ112" s="147"/>
      <c r="AR112" s="159"/>
    </row>
    <row r="113" spans="2:44" ht="12.95" customHeight="1" x14ac:dyDescent="0.2">
      <c r="B113" s="157" t="s">
        <v>194</v>
      </c>
      <c r="C113" s="148"/>
      <c r="D113" s="149"/>
      <c r="E113" s="149"/>
      <c r="F113" s="149"/>
      <c r="G113" s="149"/>
      <c r="H113" s="149"/>
      <c r="I113" s="149"/>
      <c r="J113" s="149"/>
      <c r="K113" s="149"/>
      <c r="L113" s="149"/>
      <c r="M113" s="149"/>
      <c r="N113" s="149"/>
      <c r="O113" s="149"/>
      <c r="P113" s="149"/>
      <c r="Q113" s="149"/>
      <c r="R113" s="149"/>
      <c r="S113" s="149"/>
      <c r="T113" s="149"/>
      <c r="U113" s="149"/>
      <c r="V113" s="149"/>
      <c r="W113" s="149"/>
      <c r="X113" s="149"/>
      <c r="Y113" s="149"/>
      <c r="Z113" s="149"/>
      <c r="AA113" s="149"/>
      <c r="AB113" s="149"/>
      <c r="AC113" s="149"/>
      <c r="AD113" s="149"/>
      <c r="AE113" s="149"/>
      <c r="AF113" s="149"/>
      <c r="AG113" s="149"/>
      <c r="AH113" s="149"/>
      <c r="AI113" s="149"/>
      <c r="AJ113" s="149"/>
      <c r="AK113" s="149"/>
      <c r="AL113" s="149"/>
      <c r="AM113" s="149"/>
      <c r="AN113" s="149"/>
      <c r="AO113" s="149"/>
      <c r="AP113" s="149"/>
      <c r="AQ113" s="149"/>
      <c r="AR113" s="160"/>
    </row>
    <row r="114" spans="2:44" x14ac:dyDescent="0.2">
      <c r="B114" s="50" t="s">
        <v>195</v>
      </c>
      <c r="C114" s="150" t="str">
        <f>$C$7</f>
        <v>kWh</v>
      </c>
      <c r="D114" s="145"/>
      <c r="E114" s="194">
        <f t="shared" ref="E114:AR114" si="4">IF(E111&lt;=$C$76,$C$28*$C$30,IF(AND(E111&gt;$C$76,E111&lt;=$C$73),$C$28*$C$81,0))*IF($C$33=0,1,$C$34/$C$33)</f>
        <v>3755720000</v>
      </c>
      <c r="F114" s="194">
        <f t="shared" si="4"/>
        <v>3755720000</v>
      </c>
      <c r="G114" s="194">
        <f t="shared" si="4"/>
        <v>3755720000</v>
      </c>
      <c r="H114" s="194">
        <f t="shared" si="4"/>
        <v>3755720000</v>
      </c>
      <c r="I114" s="194">
        <f t="shared" si="4"/>
        <v>3755720000</v>
      </c>
      <c r="J114" s="194">
        <f t="shared" si="4"/>
        <v>3755720000</v>
      </c>
      <c r="K114" s="194">
        <f t="shared" si="4"/>
        <v>3755720000</v>
      </c>
      <c r="L114" s="194">
        <f t="shared" si="4"/>
        <v>3755720000</v>
      </c>
      <c r="M114" s="194">
        <f t="shared" si="4"/>
        <v>3755720000</v>
      </c>
      <c r="N114" s="194">
        <f t="shared" si="4"/>
        <v>3755720000</v>
      </c>
      <c r="O114" s="194">
        <f t="shared" si="4"/>
        <v>3755720000</v>
      </c>
      <c r="P114" s="194">
        <f t="shared" si="4"/>
        <v>3755720000</v>
      </c>
      <c r="Q114" s="194">
        <f t="shared" si="4"/>
        <v>3755720000</v>
      </c>
      <c r="R114" s="194">
        <f t="shared" si="4"/>
        <v>3755720000</v>
      </c>
      <c r="S114" s="194">
        <f t="shared" si="4"/>
        <v>3755720000</v>
      </c>
      <c r="T114" s="194">
        <f t="shared" si="4"/>
        <v>3915720000</v>
      </c>
      <c r="U114" s="194">
        <f t="shared" si="4"/>
        <v>3915720000</v>
      </c>
      <c r="V114" s="194">
        <f t="shared" si="4"/>
        <v>3915720000</v>
      </c>
      <c r="W114" s="194">
        <f t="shared" si="4"/>
        <v>3915720000</v>
      </c>
      <c r="X114" s="194">
        <f t="shared" si="4"/>
        <v>3915720000</v>
      </c>
      <c r="Y114" s="194">
        <f t="shared" si="4"/>
        <v>3915720000</v>
      </c>
      <c r="Z114" s="194">
        <f t="shared" si="4"/>
        <v>3915720000</v>
      </c>
      <c r="AA114" s="194">
        <f t="shared" si="4"/>
        <v>3915720000</v>
      </c>
      <c r="AB114" s="194">
        <f t="shared" si="4"/>
        <v>3915720000</v>
      </c>
      <c r="AC114" s="194">
        <f t="shared" si="4"/>
        <v>3915720000</v>
      </c>
      <c r="AD114" s="194">
        <f t="shared" si="4"/>
        <v>3915720000</v>
      </c>
      <c r="AE114" s="194">
        <f t="shared" si="4"/>
        <v>3915720000</v>
      </c>
      <c r="AF114" s="194">
        <f t="shared" si="4"/>
        <v>3915720000</v>
      </c>
      <c r="AG114" s="194">
        <f t="shared" si="4"/>
        <v>3915720000</v>
      </c>
      <c r="AH114" s="194">
        <f t="shared" si="4"/>
        <v>3915720000</v>
      </c>
      <c r="AI114" s="194">
        <f t="shared" si="4"/>
        <v>3915720000</v>
      </c>
      <c r="AJ114" s="194">
        <f t="shared" si="4"/>
        <v>3915720000</v>
      </c>
      <c r="AK114" s="194">
        <f t="shared" si="4"/>
        <v>3915720000</v>
      </c>
      <c r="AL114" s="194">
        <f t="shared" si="4"/>
        <v>3915720000</v>
      </c>
      <c r="AM114" s="194">
        <f t="shared" si="4"/>
        <v>3915720000</v>
      </c>
      <c r="AN114" s="194">
        <f t="shared" si="4"/>
        <v>0</v>
      </c>
      <c r="AO114" s="194">
        <f t="shared" si="4"/>
        <v>0</v>
      </c>
      <c r="AP114" s="194">
        <f t="shared" si="4"/>
        <v>0</v>
      </c>
      <c r="AQ114" s="194">
        <f t="shared" si="4"/>
        <v>0</v>
      </c>
      <c r="AR114" s="195">
        <f t="shared" si="4"/>
        <v>0</v>
      </c>
    </row>
    <row r="115" spans="2:44" x14ac:dyDescent="0.2">
      <c r="B115" s="50" t="s">
        <v>196</v>
      </c>
      <c r="C115" s="150" t="str">
        <f>$C$7</f>
        <v>kWh</v>
      </c>
      <c r="D115" s="145"/>
      <c r="E115" s="194">
        <f t="shared" ref="E115:AR115" si="5">IF($C$23="Ja",0,IF(E111&lt;=$C$76,$C$26*$C$29,IF(AND(E111&gt;$C$76,E111&lt;=$C$73),$C$26*$C$83,0)))</f>
        <v>0</v>
      </c>
      <c r="F115" s="194">
        <f t="shared" si="5"/>
        <v>0</v>
      </c>
      <c r="G115" s="194">
        <f t="shared" si="5"/>
        <v>0</v>
      </c>
      <c r="H115" s="194">
        <f t="shared" si="5"/>
        <v>0</v>
      </c>
      <c r="I115" s="194">
        <f t="shared" si="5"/>
        <v>0</v>
      </c>
      <c r="J115" s="194">
        <f t="shared" si="5"/>
        <v>0</v>
      </c>
      <c r="K115" s="194">
        <f t="shared" si="5"/>
        <v>0</v>
      </c>
      <c r="L115" s="194">
        <f t="shared" si="5"/>
        <v>0</v>
      </c>
      <c r="M115" s="194">
        <f t="shared" si="5"/>
        <v>0</v>
      </c>
      <c r="N115" s="194">
        <f t="shared" si="5"/>
        <v>0</v>
      </c>
      <c r="O115" s="194">
        <f t="shared" si="5"/>
        <v>0</v>
      </c>
      <c r="P115" s="194">
        <f t="shared" si="5"/>
        <v>0</v>
      </c>
      <c r="Q115" s="194">
        <f t="shared" si="5"/>
        <v>0</v>
      </c>
      <c r="R115" s="194">
        <f t="shared" si="5"/>
        <v>0</v>
      </c>
      <c r="S115" s="194">
        <f t="shared" si="5"/>
        <v>0</v>
      </c>
      <c r="T115" s="194">
        <f t="shared" si="5"/>
        <v>0</v>
      </c>
      <c r="U115" s="194">
        <f t="shared" si="5"/>
        <v>0</v>
      </c>
      <c r="V115" s="194">
        <f t="shared" si="5"/>
        <v>0</v>
      </c>
      <c r="W115" s="194">
        <f t="shared" si="5"/>
        <v>0</v>
      </c>
      <c r="X115" s="194">
        <f t="shared" si="5"/>
        <v>0</v>
      </c>
      <c r="Y115" s="194">
        <f t="shared" si="5"/>
        <v>0</v>
      </c>
      <c r="Z115" s="194">
        <f t="shared" si="5"/>
        <v>0</v>
      </c>
      <c r="AA115" s="194">
        <f t="shared" si="5"/>
        <v>0</v>
      </c>
      <c r="AB115" s="194">
        <f t="shared" si="5"/>
        <v>0</v>
      </c>
      <c r="AC115" s="194">
        <f t="shared" si="5"/>
        <v>0</v>
      </c>
      <c r="AD115" s="194">
        <f t="shared" si="5"/>
        <v>0</v>
      </c>
      <c r="AE115" s="194">
        <f t="shared" si="5"/>
        <v>0</v>
      </c>
      <c r="AF115" s="194">
        <f t="shared" si="5"/>
        <v>0</v>
      </c>
      <c r="AG115" s="194">
        <f t="shared" si="5"/>
        <v>0</v>
      </c>
      <c r="AH115" s="194">
        <f t="shared" si="5"/>
        <v>0</v>
      </c>
      <c r="AI115" s="194">
        <f t="shared" si="5"/>
        <v>0</v>
      </c>
      <c r="AJ115" s="194">
        <f t="shared" si="5"/>
        <v>0</v>
      </c>
      <c r="AK115" s="194">
        <f t="shared" si="5"/>
        <v>0</v>
      </c>
      <c r="AL115" s="194">
        <f t="shared" si="5"/>
        <v>0</v>
      </c>
      <c r="AM115" s="194">
        <f t="shared" si="5"/>
        <v>0</v>
      </c>
      <c r="AN115" s="194">
        <f t="shared" si="5"/>
        <v>0</v>
      </c>
      <c r="AO115" s="194">
        <f t="shared" si="5"/>
        <v>0</v>
      </c>
      <c r="AP115" s="194">
        <f t="shared" si="5"/>
        <v>0</v>
      </c>
      <c r="AQ115" s="194">
        <f t="shared" si="5"/>
        <v>0</v>
      </c>
      <c r="AR115" s="195">
        <f t="shared" si="5"/>
        <v>0</v>
      </c>
    </row>
    <row r="116" spans="2:44" x14ac:dyDescent="0.2">
      <c r="B116" s="50" t="s">
        <v>197</v>
      </c>
      <c r="C116" s="145" t="s">
        <v>198</v>
      </c>
      <c r="D116" s="145"/>
      <c r="E116" s="194">
        <f t="shared" ref="E116:AR116" si="6">IF(OR(E111&gt;$C$73,$C$23&lt;&gt;"JA"),0,$C$26*$C$29*$C$174/$C$173)</f>
        <v>0</v>
      </c>
      <c r="F116" s="194">
        <f t="shared" si="6"/>
        <v>0</v>
      </c>
      <c r="G116" s="194">
        <f t="shared" si="6"/>
        <v>0</v>
      </c>
      <c r="H116" s="194">
        <f t="shared" si="6"/>
        <v>0</v>
      </c>
      <c r="I116" s="194">
        <f t="shared" si="6"/>
        <v>0</v>
      </c>
      <c r="J116" s="194">
        <f t="shared" si="6"/>
        <v>0</v>
      </c>
      <c r="K116" s="194">
        <f t="shared" si="6"/>
        <v>0</v>
      </c>
      <c r="L116" s="194">
        <f t="shared" si="6"/>
        <v>0</v>
      </c>
      <c r="M116" s="194">
        <f t="shared" si="6"/>
        <v>0</v>
      </c>
      <c r="N116" s="194">
        <f t="shared" si="6"/>
        <v>0</v>
      </c>
      <c r="O116" s="194">
        <f t="shared" si="6"/>
        <v>0</v>
      </c>
      <c r="P116" s="194">
        <f t="shared" si="6"/>
        <v>0</v>
      </c>
      <c r="Q116" s="194">
        <f t="shared" si="6"/>
        <v>0</v>
      </c>
      <c r="R116" s="194">
        <f t="shared" si="6"/>
        <v>0</v>
      </c>
      <c r="S116" s="194">
        <f t="shared" si="6"/>
        <v>0</v>
      </c>
      <c r="T116" s="194">
        <f t="shared" si="6"/>
        <v>0</v>
      </c>
      <c r="U116" s="194">
        <f t="shared" si="6"/>
        <v>0</v>
      </c>
      <c r="V116" s="194">
        <f t="shared" si="6"/>
        <v>0</v>
      </c>
      <c r="W116" s="194">
        <f t="shared" si="6"/>
        <v>0</v>
      </c>
      <c r="X116" s="194">
        <f t="shared" si="6"/>
        <v>0</v>
      </c>
      <c r="Y116" s="194">
        <f t="shared" si="6"/>
        <v>0</v>
      </c>
      <c r="Z116" s="194">
        <f t="shared" si="6"/>
        <v>0</v>
      </c>
      <c r="AA116" s="194">
        <f t="shared" si="6"/>
        <v>0</v>
      </c>
      <c r="AB116" s="194">
        <f t="shared" si="6"/>
        <v>0</v>
      </c>
      <c r="AC116" s="194">
        <f t="shared" si="6"/>
        <v>0</v>
      </c>
      <c r="AD116" s="194">
        <f t="shared" si="6"/>
        <v>0</v>
      </c>
      <c r="AE116" s="194">
        <f t="shared" si="6"/>
        <v>0</v>
      </c>
      <c r="AF116" s="194">
        <f t="shared" si="6"/>
        <v>0</v>
      </c>
      <c r="AG116" s="194">
        <f t="shared" si="6"/>
        <v>0</v>
      </c>
      <c r="AH116" s="194">
        <f t="shared" si="6"/>
        <v>0</v>
      </c>
      <c r="AI116" s="194">
        <f t="shared" si="6"/>
        <v>0</v>
      </c>
      <c r="AJ116" s="194">
        <f t="shared" si="6"/>
        <v>0</v>
      </c>
      <c r="AK116" s="194">
        <f t="shared" si="6"/>
        <v>0</v>
      </c>
      <c r="AL116" s="194">
        <f t="shared" si="6"/>
        <v>0</v>
      </c>
      <c r="AM116" s="194">
        <f t="shared" si="6"/>
        <v>0</v>
      </c>
      <c r="AN116" s="194">
        <f t="shared" si="6"/>
        <v>0</v>
      </c>
      <c r="AO116" s="194">
        <f t="shared" si="6"/>
        <v>0</v>
      </c>
      <c r="AP116" s="194">
        <f t="shared" si="6"/>
        <v>0</v>
      </c>
      <c r="AQ116" s="194">
        <f t="shared" si="6"/>
        <v>0</v>
      </c>
      <c r="AR116" s="195">
        <f t="shared" si="6"/>
        <v>0</v>
      </c>
    </row>
    <row r="117" spans="2:44" x14ac:dyDescent="0.2">
      <c r="B117" s="161" t="s">
        <v>199</v>
      </c>
      <c r="C117" s="151" t="str">
        <f>$C$7</f>
        <v>kWh</v>
      </c>
      <c r="D117" s="152"/>
      <c r="E117" s="196">
        <f t="shared" ref="E117:AR117" si="7">SUM(E114:E116)</f>
        <v>3755720000</v>
      </c>
      <c r="F117" s="196">
        <f t="shared" si="7"/>
        <v>3755720000</v>
      </c>
      <c r="G117" s="196">
        <f t="shared" si="7"/>
        <v>3755720000</v>
      </c>
      <c r="H117" s="196">
        <f t="shared" si="7"/>
        <v>3755720000</v>
      </c>
      <c r="I117" s="196">
        <f t="shared" si="7"/>
        <v>3755720000</v>
      </c>
      <c r="J117" s="196">
        <f t="shared" si="7"/>
        <v>3755720000</v>
      </c>
      <c r="K117" s="196">
        <f t="shared" si="7"/>
        <v>3755720000</v>
      </c>
      <c r="L117" s="196">
        <f t="shared" si="7"/>
        <v>3755720000</v>
      </c>
      <c r="M117" s="196">
        <f t="shared" si="7"/>
        <v>3755720000</v>
      </c>
      <c r="N117" s="196">
        <f t="shared" si="7"/>
        <v>3755720000</v>
      </c>
      <c r="O117" s="196">
        <f t="shared" si="7"/>
        <v>3755720000</v>
      </c>
      <c r="P117" s="196">
        <f t="shared" si="7"/>
        <v>3755720000</v>
      </c>
      <c r="Q117" s="196">
        <f t="shared" si="7"/>
        <v>3755720000</v>
      </c>
      <c r="R117" s="196">
        <f t="shared" si="7"/>
        <v>3755720000</v>
      </c>
      <c r="S117" s="196">
        <f t="shared" si="7"/>
        <v>3755720000</v>
      </c>
      <c r="T117" s="196">
        <f t="shared" si="7"/>
        <v>3915720000</v>
      </c>
      <c r="U117" s="196">
        <f t="shared" si="7"/>
        <v>3915720000</v>
      </c>
      <c r="V117" s="196">
        <f t="shared" si="7"/>
        <v>3915720000</v>
      </c>
      <c r="W117" s="196">
        <f t="shared" si="7"/>
        <v>3915720000</v>
      </c>
      <c r="X117" s="196">
        <f t="shared" si="7"/>
        <v>3915720000</v>
      </c>
      <c r="Y117" s="196">
        <f t="shared" si="7"/>
        <v>3915720000</v>
      </c>
      <c r="Z117" s="196">
        <f t="shared" si="7"/>
        <v>3915720000</v>
      </c>
      <c r="AA117" s="196">
        <f t="shared" si="7"/>
        <v>3915720000</v>
      </c>
      <c r="AB117" s="196">
        <f t="shared" si="7"/>
        <v>3915720000</v>
      </c>
      <c r="AC117" s="196">
        <f t="shared" si="7"/>
        <v>3915720000</v>
      </c>
      <c r="AD117" s="196">
        <f t="shared" si="7"/>
        <v>3915720000</v>
      </c>
      <c r="AE117" s="196">
        <f t="shared" si="7"/>
        <v>3915720000</v>
      </c>
      <c r="AF117" s="196">
        <f t="shared" si="7"/>
        <v>3915720000</v>
      </c>
      <c r="AG117" s="196">
        <f t="shared" si="7"/>
        <v>3915720000</v>
      </c>
      <c r="AH117" s="196">
        <f t="shared" si="7"/>
        <v>3915720000</v>
      </c>
      <c r="AI117" s="196">
        <f t="shared" si="7"/>
        <v>3915720000</v>
      </c>
      <c r="AJ117" s="196">
        <f t="shared" si="7"/>
        <v>3915720000</v>
      </c>
      <c r="AK117" s="196">
        <f t="shared" si="7"/>
        <v>3915720000</v>
      </c>
      <c r="AL117" s="196">
        <f t="shared" si="7"/>
        <v>3915720000</v>
      </c>
      <c r="AM117" s="196">
        <f t="shared" si="7"/>
        <v>3915720000</v>
      </c>
      <c r="AN117" s="196">
        <f t="shared" si="7"/>
        <v>0</v>
      </c>
      <c r="AO117" s="196">
        <f t="shared" si="7"/>
        <v>0</v>
      </c>
      <c r="AP117" s="196">
        <f t="shared" si="7"/>
        <v>0</v>
      </c>
      <c r="AQ117" s="196">
        <f t="shared" si="7"/>
        <v>0</v>
      </c>
      <c r="AR117" s="197">
        <f t="shared" si="7"/>
        <v>0</v>
      </c>
    </row>
    <row r="118" spans="2:44" ht="12.95" customHeight="1" x14ac:dyDescent="0.2">
      <c r="B118" s="157" t="s">
        <v>200</v>
      </c>
      <c r="C118" s="148"/>
      <c r="D118" s="149"/>
      <c r="E118" s="149"/>
      <c r="F118" s="149"/>
      <c r="G118" s="149"/>
      <c r="H118" s="149"/>
      <c r="I118" s="149"/>
      <c r="J118" s="149"/>
      <c r="K118" s="149"/>
      <c r="L118" s="149"/>
      <c r="M118" s="149"/>
      <c r="N118" s="149"/>
      <c r="O118" s="149"/>
      <c r="P118" s="149"/>
      <c r="Q118" s="149"/>
      <c r="R118" s="149"/>
      <c r="S118" s="149"/>
      <c r="T118" s="149"/>
      <c r="U118" s="149"/>
      <c r="V118" s="149"/>
      <c r="W118" s="149"/>
      <c r="X118" s="149"/>
      <c r="Y118" s="149"/>
      <c r="Z118" s="149"/>
      <c r="AA118" s="149"/>
      <c r="AB118" s="149"/>
      <c r="AC118" s="149"/>
      <c r="AD118" s="149"/>
      <c r="AE118" s="149"/>
      <c r="AF118" s="149"/>
      <c r="AG118" s="149"/>
      <c r="AH118" s="149"/>
      <c r="AI118" s="149"/>
      <c r="AJ118" s="149"/>
      <c r="AK118" s="149"/>
      <c r="AL118" s="149"/>
      <c r="AM118" s="149"/>
      <c r="AN118" s="149"/>
      <c r="AO118" s="149"/>
      <c r="AP118" s="149"/>
      <c r="AQ118" s="149"/>
      <c r="AR118" s="160"/>
    </row>
    <row r="119" spans="2:44" x14ac:dyDescent="0.2">
      <c r="B119" s="50" t="s">
        <v>201</v>
      </c>
      <c r="C119" s="145" t="s">
        <v>183</v>
      </c>
      <c r="D119" s="145"/>
      <c r="E119" s="194">
        <f t="shared" ref="E119:AR119" si="8">IF(E111&gt;$C$73,0,-E108*(($C$42*$C$21+$C$43*SUM($C$26,$C$28))+E117*$C$49))+IF($C$101=E111,$D$101*E108,0)+IF($C$102=E111,$D$102*E108,0)</f>
        <v>-90170150.488608792</v>
      </c>
      <c r="F119" s="194">
        <f t="shared" si="8"/>
        <v>-91973553.498380974</v>
      </c>
      <c r="G119" s="194">
        <f t="shared" si="8"/>
        <v>-93813024.568348587</v>
      </c>
      <c r="H119" s="194">
        <f t="shared" si="8"/>
        <v>-95689285.059715554</v>
      </c>
      <c r="I119" s="194">
        <f t="shared" si="8"/>
        <v>-97603070.76090987</v>
      </c>
      <c r="J119" s="194">
        <f t="shared" si="8"/>
        <v>-99555132.176128075</v>
      </c>
      <c r="K119" s="194">
        <f t="shared" si="8"/>
        <v>-101546234.81965064</v>
      </c>
      <c r="L119" s="194">
        <f t="shared" si="8"/>
        <v>-103577159.51604362</v>
      </c>
      <c r="M119" s="194">
        <f t="shared" si="8"/>
        <v>-105648702.70636451</v>
      </c>
      <c r="N119" s="194">
        <f t="shared" si="8"/>
        <v>-107761676.7604918</v>
      </c>
      <c r="O119" s="194">
        <f t="shared" si="8"/>
        <v>-109916910.29570164</v>
      </c>
      <c r="P119" s="194">
        <f t="shared" si="8"/>
        <v>-112115248.50161564</v>
      </c>
      <c r="Q119" s="194">
        <f t="shared" si="8"/>
        <v>-114357553.47164798</v>
      </c>
      <c r="R119" s="194">
        <f t="shared" si="8"/>
        <v>-116644704.54108094</v>
      </c>
      <c r="S119" s="194">
        <f t="shared" si="8"/>
        <v>-118977598.63190256</v>
      </c>
      <c r="T119" s="194">
        <f t="shared" si="8"/>
        <v>-313950909.81872344</v>
      </c>
      <c r="U119" s="194">
        <f t="shared" si="8"/>
        <v>-125980750.7447764</v>
      </c>
      <c r="V119" s="194">
        <f t="shared" si="8"/>
        <v>-128500365.75967194</v>
      </c>
      <c r="W119" s="194">
        <f t="shared" si="8"/>
        <v>-131070373.07486536</v>
      </c>
      <c r="X119" s="194">
        <f t="shared" si="8"/>
        <v>-133691780.53636266</v>
      </c>
      <c r="Y119" s="194">
        <f t="shared" si="8"/>
        <v>-136365616.14708993</v>
      </c>
      <c r="Z119" s="194">
        <f t="shared" si="8"/>
        <v>-139092928.47003171</v>
      </c>
      <c r="AA119" s="194">
        <f t="shared" si="8"/>
        <v>-141874787.03943235</v>
      </c>
      <c r="AB119" s="194">
        <f t="shared" si="8"/>
        <v>-144712282.78022099</v>
      </c>
      <c r="AC119" s="194">
        <f t="shared" si="8"/>
        <v>-147606528.43582541</v>
      </c>
      <c r="AD119" s="194">
        <f t="shared" si="8"/>
        <v>-150558659.0045419</v>
      </c>
      <c r="AE119" s="194">
        <f t="shared" si="8"/>
        <v>-153569832.18463278</v>
      </c>
      <c r="AF119" s="194">
        <f t="shared" si="8"/>
        <v>-156641228.82832539</v>
      </c>
      <c r="AG119" s="194">
        <f t="shared" si="8"/>
        <v>-159774053.40489194</v>
      </c>
      <c r="AH119" s="194">
        <f t="shared" si="8"/>
        <v>-162969534.47298974</v>
      </c>
      <c r="AI119" s="194">
        <f t="shared" si="8"/>
        <v>-166228925.16244957</v>
      </c>
      <c r="AJ119" s="194">
        <f t="shared" si="8"/>
        <v>-169553503.6656985</v>
      </c>
      <c r="AK119" s="194">
        <f t="shared" si="8"/>
        <v>-172944573.73901251</v>
      </c>
      <c r="AL119" s="194">
        <f t="shared" si="8"/>
        <v>-176403465.21379277</v>
      </c>
      <c r="AM119" s="194">
        <f t="shared" si="8"/>
        <v>-179931534.51806861</v>
      </c>
      <c r="AN119" s="194">
        <f t="shared" si="8"/>
        <v>0</v>
      </c>
      <c r="AO119" s="194">
        <f t="shared" si="8"/>
        <v>0</v>
      </c>
      <c r="AP119" s="194">
        <f t="shared" si="8"/>
        <v>0</v>
      </c>
      <c r="AQ119" s="194">
        <f t="shared" si="8"/>
        <v>0</v>
      </c>
      <c r="AR119" s="195">
        <f t="shared" si="8"/>
        <v>0</v>
      </c>
    </row>
    <row r="120" spans="2:44" x14ac:dyDescent="0.2">
      <c r="B120" s="50" t="s">
        <v>202</v>
      </c>
      <c r="C120" s="145" t="s">
        <v>183</v>
      </c>
      <c r="D120" s="145"/>
      <c r="E120" s="194">
        <f t="shared" ref="E120:AR120" si="9">IF(OR(E111&gt;$C$73, $C$52=0), 0, -E108*$C$54/$C$52*$C$21*MAX($C$29,$C$30)*$C$175/1000)</f>
        <v>0</v>
      </c>
      <c r="F120" s="194">
        <f t="shared" si="9"/>
        <v>0</v>
      </c>
      <c r="G120" s="194">
        <f t="shared" si="9"/>
        <v>0</v>
      </c>
      <c r="H120" s="194">
        <f t="shared" si="9"/>
        <v>0</v>
      </c>
      <c r="I120" s="194">
        <f t="shared" si="9"/>
        <v>0</v>
      </c>
      <c r="J120" s="194">
        <f t="shared" si="9"/>
        <v>0</v>
      </c>
      <c r="K120" s="194">
        <f t="shared" si="9"/>
        <v>0</v>
      </c>
      <c r="L120" s="194">
        <f t="shared" si="9"/>
        <v>0</v>
      </c>
      <c r="M120" s="194">
        <f t="shared" si="9"/>
        <v>0</v>
      </c>
      <c r="N120" s="194">
        <f t="shared" si="9"/>
        <v>0</v>
      </c>
      <c r="O120" s="194">
        <f t="shared" si="9"/>
        <v>0</v>
      </c>
      <c r="P120" s="194">
        <f t="shared" si="9"/>
        <v>0</v>
      </c>
      <c r="Q120" s="194">
        <f t="shared" si="9"/>
        <v>0</v>
      </c>
      <c r="R120" s="194">
        <f t="shared" si="9"/>
        <v>0</v>
      </c>
      <c r="S120" s="194">
        <f t="shared" si="9"/>
        <v>0</v>
      </c>
      <c r="T120" s="194">
        <f t="shared" si="9"/>
        <v>0</v>
      </c>
      <c r="U120" s="194">
        <f t="shared" si="9"/>
        <v>0</v>
      </c>
      <c r="V120" s="194">
        <f t="shared" si="9"/>
        <v>0</v>
      </c>
      <c r="W120" s="194">
        <f t="shared" si="9"/>
        <v>0</v>
      </c>
      <c r="X120" s="194">
        <f t="shared" si="9"/>
        <v>0</v>
      </c>
      <c r="Y120" s="194">
        <f t="shared" si="9"/>
        <v>0</v>
      </c>
      <c r="Z120" s="194">
        <f t="shared" si="9"/>
        <v>0</v>
      </c>
      <c r="AA120" s="194">
        <f t="shared" si="9"/>
        <v>0</v>
      </c>
      <c r="AB120" s="194">
        <f t="shared" si="9"/>
        <v>0</v>
      </c>
      <c r="AC120" s="194">
        <f t="shared" si="9"/>
        <v>0</v>
      </c>
      <c r="AD120" s="194">
        <f t="shared" si="9"/>
        <v>0</v>
      </c>
      <c r="AE120" s="194">
        <f t="shared" si="9"/>
        <v>0</v>
      </c>
      <c r="AF120" s="194">
        <f t="shared" si="9"/>
        <v>0</v>
      </c>
      <c r="AG120" s="194">
        <f t="shared" si="9"/>
        <v>0</v>
      </c>
      <c r="AH120" s="194">
        <f t="shared" si="9"/>
        <v>0</v>
      </c>
      <c r="AI120" s="194">
        <f t="shared" si="9"/>
        <v>0</v>
      </c>
      <c r="AJ120" s="194">
        <f t="shared" si="9"/>
        <v>0</v>
      </c>
      <c r="AK120" s="194">
        <f t="shared" si="9"/>
        <v>0</v>
      </c>
      <c r="AL120" s="194">
        <f t="shared" si="9"/>
        <v>0</v>
      </c>
      <c r="AM120" s="194">
        <f t="shared" si="9"/>
        <v>0</v>
      </c>
      <c r="AN120" s="194">
        <f t="shared" si="9"/>
        <v>0</v>
      </c>
      <c r="AO120" s="194">
        <f t="shared" si="9"/>
        <v>0</v>
      </c>
      <c r="AP120" s="194">
        <f t="shared" si="9"/>
        <v>0</v>
      </c>
      <c r="AQ120" s="194">
        <f t="shared" si="9"/>
        <v>0</v>
      </c>
      <c r="AR120" s="195">
        <f t="shared" si="9"/>
        <v>0</v>
      </c>
    </row>
    <row r="121" spans="2:44" x14ac:dyDescent="0.2">
      <c r="B121" s="50" t="s">
        <v>203</v>
      </c>
      <c r="C121" s="145" t="s">
        <v>178</v>
      </c>
      <c r="D121" s="145"/>
      <c r="E121" s="198">
        <f t="shared" ref="E121:AR121" si="10">IF(AND(E111&gt;$C$76,E111&lt;=$C$73),(IF($C$81&gt;0,$C$80*E108,0)), )</f>
        <v>0</v>
      </c>
      <c r="F121" s="198">
        <f t="shared" si="10"/>
        <v>0</v>
      </c>
      <c r="G121" s="198">
        <f t="shared" si="10"/>
        <v>0</v>
      </c>
      <c r="H121" s="198">
        <f t="shared" si="10"/>
        <v>0</v>
      </c>
      <c r="I121" s="198">
        <f t="shared" si="10"/>
        <v>0</v>
      </c>
      <c r="J121" s="198">
        <f t="shared" si="10"/>
        <v>0</v>
      </c>
      <c r="K121" s="198">
        <f t="shared" si="10"/>
        <v>0</v>
      </c>
      <c r="L121" s="198">
        <f t="shared" si="10"/>
        <v>0</v>
      </c>
      <c r="M121" s="198">
        <f t="shared" si="10"/>
        <v>0</v>
      </c>
      <c r="N121" s="198">
        <f t="shared" si="10"/>
        <v>0</v>
      </c>
      <c r="O121" s="198">
        <f t="shared" si="10"/>
        <v>0</v>
      </c>
      <c r="P121" s="198">
        <f t="shared" si="10"/>
        <v>0</v>
      </c>
      <c r="Q121" s="198">
        <f t="shared" si="10"/>
        <v>0</v>
      </c>
      <c r="R121" s="198">
        <f t="shared" si="10"/>
        <v>0</v>
      </c>
      <c r="S121" s="198">
        <f t="shared" si="10"/>
        <v>0</v>
      </c>
      <c r="T121" s="198">
        <f t="shared" si="10"/>
        <v>7.6096388475197049E-2</v>
      </c>
      <c r="U121" s="198">
        <f t="shared" si="10"/>
        <v>7.7618316244701002E-2</v>
      </c>
      <c r="V121" s="198">
        <f t="shared" si="10"/>
        <v>7.917068256959503E-2</v>
      </c>
      <c r="W121" s="198">
        <f t="shared" si="10"/>
        <v>8.0754096220986921E-2</v>
      </c>
      <c r="X121" s="198">
        <f t="shared" si="10"/>
        <v>8.2369178145406646E-2</v>
      </c>
      <c r="Y121" s="198">
        <f t="shared" si="10"/>
        <v>8.4016561708314785E-2</v>
      </c>
      <c r="Z121" s="198">
        <f t="shared" si="10"/>
        <v>8.5696892942481076E-2</v>
      </c>
      <c r="AA121" s="198">
        <f t="shared" si="10"/>
        <v>8.7410830801330705E-2</v>
      </c>
      <c r="AB121" s="198">
        <f t="shared" si="10"/>
        <v>8.9159047417357307E-2</v>
      </c>
      <c r="AC121" s="198">
        <f t="shared" si="10"/>
        <v>9.0942228365704453E-2</v>
      </c>
      <c r="AD121" s="198">
        <f t="shared" si="10"/>
        <v>9.2761072933018551E-2</v>
      </c>
      <c r="AE121" s="198">
        <f t="shared" si="10"/>
        <v>9.4616294391678929E-2</v>
      </c>
      <c r="AF121" s="198">
        <f t="shared" si="10"/>
        <v>9.6508620279512486E-2</v>
      </c>
      <c r="AG121" s="198">
        <f t="shared" si="10"/>
        <v>9.8438792685102763E-2</v>
      </c>
      <c r="AH121" s="198">
        <f t="shared" si="10"/>
        <v>0.1004075685388048</v>
      </c>
      <c r="AI121" s="198">
        <f t="shared" si="10"/>
        <v>0.1024157199095809</v>
      </c>
      <c r="AJ121" s="198">
        <f t="shared" si="10"/>
        <v>0.1044640343077725</v>
      </c>
      <c r="AK121" s="198">
        <f t="shared" si="10"/>
        <v>0.10655331499392796</v>
      </c>
      <c r="AL121" s="198">
        <f t="shared" si="10"/>
        <v>0.10868438129380653</v>
      </c>
      <c r="AM121" s="198">
        <f t="shared" si="10"/>
        <v>0.11085806891968265</v>
      </c>
      <c r="AN121" s="198">
        <f t="shared" si="10"/>
        <v>0</v>
      </c>
      <c r="AO121" s="198">
        <f t="shared" si="10"/>
        <v>0</v>
      </c>
      <c r="AP121" s="198">
        <f t="shared" si="10"/>
        <v>0</v>
      </c>
      <c r="AQ121" s="198">
        <f t="shared" si="10"/>
        <v>0</v>
      </c>
      <c r="AR121" s="199">
        <f t="shared" si="10"/>
        <v>0</v>
      </c>
    </row>
    <row r="122" spans="2:44" x14ac:dyDescent="0.2">
      <c r="B122" s="50" t="s">
        <v>204</v>
      </c>
      <c r="C122" s="145" t="s">
        <v>178</v>
      </c>
      <c r="D122" s="145"/>
      <c r="E122" s="198">
        <f t="shared" ref="E122:AR122" si="11">IF($C$23="Ja",0,IF(AND(E111&gt;$C$76,E111&lt;=$C$73),(IF($C$83&gt;0,$C$82*E108,0)), ))</f>
        <v>0</v>
      </c>
      <c r="F122" s="198">
        <f t="shared" si="11"/>
        <v>0</v>
      </c>
      <c r="G122" s="198">
        <f t="shared" si="11"/>
        <v>0</v>
      </c>
      <c r="H122" s="198">
        <f t="shared" si="11"/>
        <v>0</v>
      </c>
      <c r="I122" s="198">
        <f t="shared" si="11"/>
        <v>0</v>
      </c>
      <c r="J122" s="198">
        <f t="shared" si="11"/>
        <v>0</v>
      </c>
      <c r="K122" s="198">
        <f t="shared" si="11"/>
        <v>0</v>
      </c>
      <c r="L122" s="198">
        <f t="shared" si="11"/>
        <v>0</v>
      </c>
      <c r="M122" s="198">
        <f t="shared" si="11"/>
        <v>0</v>
      </c>
      <c r="N122" s="198">
        <f t="shared" si="11"/>
        <v>0</v>
      </c>
      <c r="O122" s="198">
        <f t="shared" si="11"/>
        <v>0</v>
      </c>
      <c r="P122" s="198">
        <f t="shared" si="11"/>
        <v>0</v>
      </c>
      <c r="Q122" s="198">
        <f t="shared" si="11"/>
        <v>0</v>
      </c>
      <c r="R122" s="198">
        <f t="shared" si="11"/>
        <v>0</v>
      </c>
      <c r="S122" s="198">
        <f t="shared" si="11"/>
        <v>0</v>
      </c>
      <c r="T122" s="198">
        <f t="shared" si="11"/>
        <v>0</v>
      </c>
      <c r="U122" s="198">
        <f t="shared" si="11"/>
        <v>0</v>
      </c>
      <c r="V122" s="198">
        <f t="shared" si="11"/>
        <v>0</v>
      </c>
      <c r="W122" s="198">
        <f t="shared" si="11"/>
        <v>0</v>
      </c>
      <c r="X122" s="198">
        <f t="shared" si="11"/>
        <v>0</v>
      </c>
      <c r="Y122" s="198">
        <f t="shared" si="11"/>
        <v>0</v>
      </c>
      <c r="Z122" s="198">
        <f t="shared" si="11"/>
        <v>0</v>
      </c>
      <c r="AA122" s="198">
        <f t="shared" si="11"/>
        <v>0</v>
      </c>
      <c r="AB122" s="198">
        <f t="shared" si="11"/>
        <v>0</v>
      </c>
      <c r="AC122" s="198">
        <f t="shared" si="11"/>
        <v>0</v>
      </c>
      <c r="AD122" s="198">
        <f t="shared" si="11"/>
        <v>0</v>
      </c>
      <c r="AE122" s="198">
        <f t="shared" si="11"/>
        <v>0</v>
      </c>
      <c r="AF122" s="198">
        <f t="shared" si="11"/>
        <v>0</v>
      </c>
      <c r="AG122" s="198">
        <f t="shared" si="11"/>
        <v>0</v>
      </c>
      <c r="AH122" s="198">
        <f t="shared" si="11"/>
        <v>0</v>
      </c>
      <c r="AI122" s="198">
        <f t="shared" si="11"/>
        <v>0</v>
      </c>
      <c r="AJ122" s="198">
        <f t="shared" si="11"/>
        <v>0</v>
      </c>
      <c r="AK122" s="198">
        <f t="shared" si="11"/>
        <v>0</v>
      </c>
      <c r="AL122" s="198">
        <f t="shared" si="11"/>
        <v>0</v>
      </c>
      <c r="AM122" s="198">
        <f t="shared" si="11"/>
        <v>0</v>
      </c>
      <c r="AN122" s="198">
        <f t="shared" si="11"/>
        <v>0</v>
      </c>
      <c r="AO122" s="198">
        <f t="shared" si="11"/>
        <v>0</v>
      </c>
      <c r="AP122" s="198">
        <f t="shared" si="11"/>
        <v>0</v>
      </c>
      <c r="AQ122" s="198">
        <f t="shared" si="11"/>
        <v>0</v>
      </c>
      <c r="AR122" s="199">
        <f t="shared" si="11"/>
        <v>0</v>
      </c>
    </row>
    <row r="123" spans="2:44" x14ac:dyDescent="0.2">
      <c r="B123" s="50" t="s">
        <v>205</v>
      </c>
      <c r="C123" s="145" t="str">
        <f>CONCATENATE("Euro/",$C$7)</f>
        <v>Euro/kWh</v>
      </c>
      <c r="D123" s="145"/>
      <c r="E123" s="198">
        <f t="shared" ref="E123:AR123" si="12">E107</f>
        <v>0</v>
      </c>
      <c r="F123" s="198">
        <f t="shared" si="12"/>
        <v>0</v>
      </c>
      <c r="G123" s="198">
        <f t="shared" si="12"/>
        <v>0</v>
      </c>
      <c r="H123" s="198">
        <f t="shared" si="12"/>
        <v>0</v>
      </c>
      <c r="I123" s="198">
        <f t="shared" si="12"/>
        <v>0</v>
      </c>
      <c r="J123" s="198">
        <f t="shared" si="12"/>
        <v>0</v>
      </c>
      <c r="K123" s="198">
        <f t="shared" si="12"/>
        <v>0</v>
      </c>
      <c r="L123" s="198">
        <f t="shared" si="12"/>
        <v>0</v>
      </c>
      <c r="M123" s="198">
        <f t="shared" si="12"/>
        <v>0</v>
      </c>
      <c r="N123" s="198">
        <f t="shared" si="12"/>
        <v>0</v>
      </c>
      <c r="O123" s="198">
        <f t="shared" si="12"/>
        <v>0</v>
      </c>
      <c r="P123" s="198">
        <f t="shared" si="12"/>
        <v>0</v>
      </c>
      <c r="Q123" s="198">
        <f t="shared" si="12"/>
        <v>0</v>
      </c>
      <c r="R123" s="198">
        <f t="shared" si="12"/>
        <v>0</v>
      </c>
      <c r="S123" s="198">
        <f t="shared" si="12"/>
        <v>0</v>
      </c>
      <c r="T123" s="198">
        <f t="shared" si="12"/>
        <v>0</v>
      </c>
      <c r="U123" s="198">
        <f t="shared" si="12"/>
        <v>0</v>
      </c>
      <c r="V123" s="198">
        <f t="shared" si="12"/>
        <v>0</v>
      </c>
      <c r="W123" s="198">
        <f t="shared" si="12"/>
        <v>0</v>
      </c>
      <c r="X123" s="198">
        <f t="shared" si="12"/>
        <v>0</v>
      </c>
      <c r="Y123" s="198">
        <f t="shared" si="12"/>
        <v>0</v>
      </c>
      <c r="Z123" s="198">
        <f t="shared" si="12"/>
        <v>0</v>
      </c>
      <c r="AA123" s="198">
        <f t="shared" si="12"/>
        <v>0</v>
      </c>
      <c r="AB123" s="198">
        <f t="shared" si="12"/>
        <v>0</v>
      </c>
      <c r="AC123" s="198">
        <f t="shared" si="12"/>
        <v>0</v>
      </c>
      <c r="AD123" s="198">
        <f t="shared" si="12"/>
        <v>0</v>
      </c>
      <c r="AE123" s="198">
        <f t="shared" si="12"/>
        <v>0</v>
      </c>
      <c r="AF123" s="198">
        <f t="shared" si="12"/>
        <v>0</v>
      </c>
      <c r="AG123" s="198">
        <f t="shared" si="12"/>
        <v>0</v>
      </c>
      <c r="AH123" s="198">
        <f t="shared" si="12"/>
        <v>0</v>
      </c>
      <c r="AI123" s="198">
        <f t="shared" si="12"/>
        <v>0</v>
      </c>
      <c r="AJ123" s="198">
        <f t="shared" si="12"/>
        <v>0</v>
      </c>
      <c r="AK123" s="198">
        <f t="shared" si="12"/>
        <v>0</v>
      </c>
      <c r="AL123" s="198">
        <f t="shared" si="12"/>
        <v>0</v>
      </c>
      <c r="AM123" s="198">
        <f t="shared" si="12"/>
        <v>0</v>
      </c>
      <c r="AN123" s="198">
        <f t="shared" si="12"/>
        <v>0</v>
      </c>
      <c r="AO123" s="198">
        <f t="shared" si="12"/>
        <v>0</v>
      </c>
      <c r="AP123" s="198">
        <f t="shared" si="12"/>
        <v>0</v>
      </c>
      <c r="AQ123" s="198">
        <f t="shared" si="12"/>
        <v>0</v>
      </c>
      <c r="AR123" s="199">
        <f t="shared" si="12"/>
        <v>0</v>
      </c>
    </row>
    <row r="124" spans="2:44" x14ac:dyDescent="0.2">
      <c r="B124" s="50" t="s">
        <v>28</v>
      </c>
      <c r="C124" s="145" t="str">
        <f>CONCATENATE("Euro/",$C$7)</f>
        <v>Euro/kWh</v>
      </c>
      <c r="D124" s="145"/>
      <c r="E124" s="198">
        <f t="shared" ref="E124:AR124" si="13">E106</f>
        <v>0</v>
      </c>
      <c r="F124" s="198">
        <f t="shared" si="13"/>
        <v>0</v>
      </c>
      <c r="G124" s="198">
        <f t="shared" si="13"/>
        <v>0</v>
      </c>
      <c r="H124" s="198">
        <f t="shared" si="13"/>
        <v>0</v>
      </c>
      <c r="I124" s="198">
        <f t="shared" si="13"/>
        <v>0</v>
      </c>
      <c r="J124" s="198">
        <f t="shared" si="13"/>
        <v>0</v>
      </c>
      <c r="K124" s="198">
        <f t="shared" si="13"/>
        <v>0</v>
      </c>
      <c r="L124" s="198">
        <f t="shared" si="13"/>
        <v>0</v>
      </c>
      <c r="M124" s="198">
        <f t="shared" si="13"/>
        <v>0</v>
      </c>
      <c r="N124" s="198">
        <f t="shared" si="13"/>
        <v>0</v>
      </c>
      <c r="O124" s="198">
        <f t="shared" si="13"/>
        <v>0</v>
      </c>
      <c r="P124" s="198">
        <f t="shared" si="13"/>
        <v>0</v>
      </c>
      <c r="Q124" s="198">
        <f t="shared" si="13"/>
        <v>0</v>
      </c>
      <c r="R124" s="198">
        <f t="shared" si="13"/>
        <v>0</v>
      </c>
      <c r="S124" s="198">
        <f t="shared" si="13"/>
        <v>0</v>
      </c>
      <c r="T124" s="198">
        <f t="shared" si="13"/>
        <v>0</v>
      </c>
      <c r="U124" s="198">
        <f t="shared" si="13"/>
        <v>0</v>
      </c>
      <c r="V124" s="198">
        <f t="shared" si="13"/>
        <v>0</v>
      </c>
      <c r="W124" s="198">
        <f t="shared" si="13"/>
        <v>0</v>
      </c>
      <c r="X124" s="198">
        <f t="shared" si="13"/>
        <v>0</v>
      </c>
      <c r="Y124" s="198">
        <f t="shared" si="13"/>
        <v>0</v>
      </c>
      <c r="Z124" s="198">
        <f t="shared" si="13"/>
        <v>0</v>
      </c>
      <c r="AA124" s="198">
        <f t="shared" si="13"/>
        <v>0</v>
      </c>
      <c r="AB124" s="198">
        <f t="shared" si="13"/>
        <v>0</v>
      </c>
      <c r="AC124" s="198">
        <f t="shared" si="13"/>
        <v>0</v>
      </c>
      <c r="AD124" s="198">
        <f t="shared" si="13"/>
        <v>0</v>
      </c>
      <c r="AE124" s="198">
        <f t="shared" si="13"/>
        <v>0</v>
      </c>
      <c r="AF124" s="198">
        <f t="shared" si="13"/>
        <v>0</v>
      </c>
      <c r="AG124" s="198">
        <f t="shared" si="13"/>
        <v>0</v>
      </c>
      <c r="AH124" s="198">
        <f t="shared" si="13"/>
        <v>0</v>
      </c>
      <c r="AI124" s="198">
        <f t="shared" si="13"/>
        <v>0</v>
      </c>
      <c r="AJ124" s="198">
        <f t="shared" si="13"/>
        <v>0</v>
      </c>
      <c r="AK124" s="198">
        <f t="shared" si="13"/>
        <v>0</v>
      </c>
      <c r="AL124" s="198">
        <f t="shared" si="13"/>
        <v>0</v>
      </c>
      <c r="AM124" s="198">
        <f t="shared" si="13"/>
        <v>0</v>
      </c>
      <c r="AN124" s="198">
        <f t="shared" si="13"/>
        <v>0</v>
      </c>
      <c r="AO124" s="198">
        <f t="shared" si="13"/>
        <v>0</v>
      </c>
      <c r="AP124" s="198">
        <f t="shared" si="13"/>
        <v>0</v>
      </c>
      <c r="AQ124" s="198">
        <f t="shared" si="13"/>
        <v>0</v>
      </c>
      <c r="AR124" s="199">
        <f t="shared" si="13"/>
        <v>0</v>
      </c>
    </row>
    <row r="125" spans="2:44" x14ac:dyDescent="0.2">
      <c r="B125" s="50" t="s">
        <v>206</v>
      </c>
      <c r="C125" s="145" t="s">
        <v>183</v>
      </c>
      <c r="D125" s="145"/>
      <c r="E125" s="194">
        <f t="shared" ref="E125:AR125" si="14">MAX(0,E124-E123)*E117</f>
        <v>0</v>
      </c>
      <c r="F125" s="194">
        <f t="shared" si="14"/>
        <v>0</v>
      </c>
      <c r="G125" s="194">
        <f t="shared" si="14"/>
        <v>0</v>
      </c>
      <c r="H125" s="194">
        <f t="shared" si="14"/>
        <v>0</v>
      </c>
      <c r="I125" s="194">
        <f t="shared" si="14"/>
        <v>0</v>
      </c>
      <c r="J125" s="194">
        <f t="shared" si="14"/>
        <v>0</v>
      </c>
      <c r="K125" s="194">
        <f t="shared" si="14"/>
        <v>0</v>
      </c>
      <c r="L125" s="194">
        <f t="shared" si="14"/>
        <v>0</v>
      </c>
      <c r="M125" s="194">
        <f t="shared" si="14"/>
        <v>0</v>
      </c>
      <c r="N125" s="194">
        <f t="shared" si="14"/>
        <v>0</v>
      </c>
      <c r="O125" s="194">
        <f t="shared" si="14"/>
        <v>0</v>
      </c>
      <c r="P125" s="194">
        <f t="shared" si="14"/>
        <v>0</v>
      </c>
      <c r="Q125" s="194">
        <f t="shared" si="14"/>
        <v>0</v>
      </c>
      <c r="R125" s="194">
        <f t="shared" si="14"/>
        <v>0</v>
      </c>
      <c r="S125" s="194">
        <f t="shared" si="14"/>
        <v>0</v>
      </c>
      <c r="T125" s="194">
        <f t="shared" si="14"/>
        <v>0</v>
      </c>
      <c r="U125" s="194">
        <f t="shared" si="14"/>
        <v>0</v>
      </c>
      <c r="V125" s="194">
        <f t="shared" si="14"/>
        <v>0</v>
      </c>
      <c r="W125" s="194">
        <f t="shared" si="14"/>
        <v>0</v>
      </c>
      <c r="X125" s="194">
        <f t="shared" si="14"/>
        <v>0</v>
      </c>
      <c r="Y125" s="194">
        <f t="shared" si="14"/>
        <v>0</v>
      </c>
      <c r="Z125" s="194">
        <f t="shared" si="14"/>
        <v>0</v>
      </c>
      <c r="AA125" s="194">
        <f t="shared" si="14"/>
        <v>0</v>
      </c>
      <c r="AB125" s="194">
        <f t="shared" si="14"/>
        <v>0</v>
      </c>
      <c r="AC125" s="194">
        <f t="shared" si="14"/>
        <v>0</v>
      </c>
      <c r="AD125" s="194">
        <f t="shared" si="14"/>
        <v>0</v>
      </c>
      <c r="AE125" s="194">
        <f t="shared" si="14"/>
        <v>0</v>
      </c>
      <c r="AF125" s="194">
        <f t="shared" si="14"/>
        <v>0</v>
      </c>
      <c r="AG125" s="194">
        <f t="shared" si="14"/>
        <v>0</v>
      </c>
      <c r="AH125" s="194">
        <f t="shared" si="14"/>
        <v>0</v>
      </c>
      <c r="AI125" s="194">
        <f t="shared" si="14"/>
        <v>0</v>
      </c>
      <c r="AJ125" s="194">
        <f t="shared" si="14"/>
        <v>0</v>
      </c>
      <c r="AK125" s="194">
        <f t="shared" si="14"/>
        <v>0</v>
      </c>
      <c r="AL125" s="194">
        <f t="shared" si="14"/>
        <v>0</v>
      </c>
      <c r="AM125" s="194">
        <f t="shared" si="14"/>
        <v>0</v>
      </c>
      <c r="AN125" s="194">
        <f t="shared" si="14"/>
        <v>0</v>
      </c>
      <c r="AO125" s="194">
        <f t="shared" si="14"/>
        <v>0</v>
      </c>
      <c r="AP125" s="194">
        <f t="shared" si="14"/>
        <v>0</v>
      </c>
      <c r="AQ125" s="194">
        <f t="shared" si="14"/>
        <v>0</v>
      </c>
      <c r="AR125" s="195">
        <f t="shared" si="14"/>
        <v>0</v>
      </c>
    </row>
    <row r="126" spans="2:44" x14ac:dyDescent="0.2">
      <c r="B126" s="50" t="s">
        <v>207</v>
      </c>
      <c r="C126" s="145" t="s">
        <v>183</v>
      </c>
      <c r="D126" s="145"/>
      <c r="E126" s="194">
        <f t="shared" ref="E126:AR126" si="15">IF(E107&gt;0,,E121*E114+E122*SUM(E115:E116))</f>
        <v>0</v>
      </c>
      <c r="F126" s="194">
        <f t="shared" si="15"/>
        <v>0</v>
      </c>
      <c r="G126" s="194">
        <f t="shared" si="15"/>
        <v>0</v>
      </c>
      <c r="H126" s="194">
        <f t="shared" si="15"/>
        <v>0</v>
      </c>
      <c r="I126" s="194">
        <f t="shared" si="15"/>
        <v>0</v>
      </c>
      <c r="J126" s="194">
        <f t="shared" si="15"/>
        <v>0</v>
      </c>
      <c r="K126" s="194">
        <f t="shared" si="15"/>
        <v>0</v>
      </c>
      <c r="L126" s="194">
        <f t="shared" si="15"/>
        <v>0</v>
      </c>
      <c r="M126" s="194">
        <f t="shared" si="15"/>
        <v>0</v>
      </c>
      <c r="N126" s="194">
        <f t="shared" si="15"/>
        <v>0</v>
      </c>
      <c r="O126" s="194">
        <f t="shared" si="15"/>
        <v>0</v>
      </c>
      <c r="P126" s="194">
        <f t="shared" si="15"/>
        <v>0</v>
      </c>
      <c r="Q126" s="194">
        <f t="shared" si="15"/>
        <v>0</v>
      </c>
      <c r="R126" s="194">
        <f t="shared" si="15"/>
        <v>0</v>
      </c>
      <c r="S126" s="194">
        <f t="shared" si="15"/>
        <v>0</v>
      </c>
      <c r="T126" s="194">
        <f t="shared" si="15"/>
        <v>297972150.28009862</v>
      </c>
      <c r="U126" s="194">
        <f t="shared" si="15"/>
        <v>303931593.28570062</v>
      </c>
      <c r="V126" s="194">
        <f t="shared" si="15"/>
        <v>310010225.15141463</v>
      </c>
      <c r="W126" s="194">
        <f t="shared" si="15"/>
        <v>316210429.65444291</v>
      </c>
      <c r="X126" s="194">
        <f t="shared" si="15"/>
        <v>322534638.24753171</v>
      </c>
      <c r="Y126" s="194">
        <f t="shared" si="15"/>
        <v>328985331.01248235</v>
      </c>
      <c r="Z126" s="194">
        <f t="shared" si="15"/>
        <v>335565037.63273197</v>
      </c>
      <c r="AA126" s="194">
        <f t="shared" si="15"/>
        <v>342276338.38538665</v>
      </c>
      <c r="AB126" s="194">
        <f t="shared" si="15"/>
        <v>349121865.15309435</v>
      </c>
      <c r="AC126" s="194">
        <f t="shared" si="15"/>
        <v>356104302.45615625</v>
      </c>
      <c r="AD126" s="194">
        <f t="shared" si="15"/>
        <v>363226388.50527942</v>
      </c>
      <c r="AE126" s="194">
        <f t="shared" si="15"/>
        <v>370490916.27538502</v>
      </c>
      <c r="AF126" s="194">
        <f t="shared" si="15"/>
        <v>377900734.6008926</v>
      </c>
      <c r="AG126" s="194">
        <f t="shared" si="15"/>
        <v>385458749.29291058</v>
      </c>
      <c r="AH126" s="194">
        <f t="shared" si="15"/>
        <v>393167924.27876872</v>
      </c>
      <c r="AI126" s="194">
        <f t="shared" si="15"/>
        <v>401031282.7643441</v>
      </c>
      <c r="AJ126" s="194">
        <f t="shared" si="15"/>
        <v>409051908.41963094</v>
      </c>
      <c r="AK126" s="194">
        <f t="shared" si="15"/>
        <v>417232946.5880236</v>
      </c>
      <c r="AL126" s="194">
        <f t="shared" si="15"/>
        <v>425577605.51978409</v>
      </c>
      <c r="AM126" s="194">
        <f t="shared" si="15"/>
        <v>434089157.63017976</v>
      </c>
      <c r="AN126" s="194">
        <f t="shared" si="15"/>
        <v>0</v>
      </c>
      <c r="AO126" s="194">
        <f t="shared" si="15"/>
        <v>0</v>
      </c>
      <c r="AP126" s="194">
        <f t="shared" si="15"/>
        <v>0</v>
      </c>
      <c r="AQ126" s="194">
        <f t="shared" si="15"/>
        <v>0</v>
      </c>
      <c r="AR126" s="195">
        <f t="shared" si="15"/>
        <v>0</v>
      </c>
    </row>
    <row r="127" spans="2:44" x14ac:dyDescent="0.2">
      <c r="B127" s="50" t="s">
        <v>208</v>
      </c>
      <c r="C127" s="145" t="s">
        <v>183</v>
      </c>
      <c r="D127" s="153"/>
      <c r="E127" s="194">
        <f t="shared" ref="E127:AR127" si="16">E123*E117</f>
        <v>0</v>
      </c>
      <c r="F127" s="194">
        <f t="shared" si="16"/>
        <v>0</v>
      </c>
      <c r="G127" s="194">
        <f t="shared" si="16"/>
        <v>0</v>
      </c>
      <c r="H127" s="194">
        <f t="shared" si="16"/>
        <v>0</v>
      </c>
      <c r="I127" s="194">
        <f t="shared" si="16"/>
        <v>0</v>
      </c>
      <c r="J127" s="194">
        <f t="shared" si="16"/>
        <v>0</v>
      </c>
      <c r="K127" s="194">
        <f t="shared" si="16"/>
        <v>0</v>
      </c>
      <c r="L127" s="194">
        <f t="shared" si="16"/>
        <v>0</v>
      </c>
      <c r="M127" s="194">
        <f t="shared" si="16"/>
        <v>0</v>
      </c>
      <c r="N127" s="194">
        <f t="shared" si="16"/>
        <v>0</v>
      </c>
      <c r="O127" s="194">
        <f t="shared" si="16"/>
        <v>0</v>
      </c>
      <c r="P127" s="194">
        <f t="shared" si="16"/>
        <v>0</v>
      </c>
      <c r="Q127" s="194">
        <f t="shared" si="16"/>
        <v>0</v>
      </c>
      <c r="R127" s="194">
        <f t="shared" si="16"/>
        <v>0</v>
      </c>
      <c r="S127" s="194">
        <f t="shared" si="16"/>
        <v>0</v>
      </c>
      <c r="T127" s="194">
        <f t="shared" si="16"/>
        <v>0</v>
      </c>
      <c r="U127" s="194">
        <f t="shared" si="16"/>
        <v>0</v>
      </c>
      <c r="V127" s="194">
        <f t="shared" si="16"/>
        <v>0</v>
      </c>
      <c r="W127" s="194">
        <f t="shared" si="16"/>
        <v>0</v>
      </c>
      <c r="X127" s="194">
        <f t="shared" si="16"/>
        <v>0</v>
      </c>
      <c r="Y127" s="194">
        <f t="shared" si="16"/>
        <v>0</v>
      </c>
      <c r="Z127" s="194">
        <f t="shared" si="16"/>
        <v>0</v>
      </c>
      <c r="AA127" s="194">
        <f t="shared" si="16"/>
        <v>0</v>
      </c>
      <c r="AB127" s="194">
        <f t="shared" si="16"/>
        <v>0</v>
      </c>
      <c r="AC127" s="194">
        <f t="shared" si="16"/>
        <v>0</v>
      </c>
      <c r="AD127" s="194">
        <f t="shared" si="16"/>
        <v>0</v>
      </c>
      <c r="AE127" s="194">
        <f t="shared" si="16"/>
        <v>0</v>
      </c>
      <c r="AF127" s="194">
        <f t="shared" si="16"/>
        <v>0</v>
      </c>
      <c r="AG127" s="194">
        <f t="shared" si="16"/>
        <v>0</v>
      </c>
      <c r="AH127" s="194">
        <f t="shared" si="16"/>
        <v>0</v>
      </c>
      <c r="AI127" s="194">
        <f t="shared" si="16"/>
        <v>0</v>
      </c>
      <c r="AJ127" s="194">
        <f t="shared" si="16"/>
        <v>0</v>
      </c>
      <c r="AK127" s="194">
        <f t="shared" si="16"/>
        <v>0</v>
      </c>
      <c r="AL127" s="194">
        <f t="shared" si="16"/>
        <v>0</v>
      </c>
      <c r="AM127" s="194">
        <f t="shared" si="16"/>
        <v>0</v>
      </c>
      <c r="AN127" s="194">
        <f t="shared" si="16"/>
        <v>0</v>
      </c>
      <c r="AO127" s="194">
        <f t="shared" si="16"/>
        <v>0</v>
      </c>
      <c r="AP127" s="194">
        <f t="shared" si="16"/>
        <v>0</v>
      </c>
      <c r="AQ127" s="194">
        <f t="shared" si="16"/>
        <v>0</v>
      </c>
      <c r="AR127" s="195">
        <f t="shared" si="16"/>
        <v>0</v>
      </c>
    </row>
    <row r="128" spans="2:44" ht="12.95" customHeight="1" x14ac:dyDescent="0.2">
      <c r="B128" s="157" t="s">
        <v>209</v>
      </c>
      <c r="C128" s="148"/>
      <c r="D128" s="149"/>
      <c r="E128" s="149"/>
      <c r="F128" s="149"/>
      <c r="G128" s="149"/>
      <c r="H128" s="149"/>
      <c r="I128" s="149"/>
      <c r="J128" s="149"/>
      <c r="K128" s="149"/>
      <c r="L128" s="149"/>
      <c r="M128" s="149"/>
      <c r="N128" s="149"/>
      <c r="O128" s="149"/>
      <c r="P128" s="149"/>
      <c r="Q128" s="149"/>
      <c r="R128" s="149"/>
      <c r="S128" s="149"/>
      <c r="T128" s="149"/>
      <c r="U128" s="149"/>
      <c r="V128" s="149"/>
      <c r="W128" s="149"/>
      <c r="X128" s="149"/>
      <c r="Y128" s="149"/>
      <c r="Z128" s="149"/>
      <c r="AA128" s="149"/>
      <c r="AB128" s="149"/>
      <c r="AC128" s="149"/>
      <c r="AD128" s="149"/>
      <c r="AE128" s="149"/>
      <c r="AF128" s="149"/>
      <c r="AG128" s="149"/>
      <c r="AH128" s="149"/>
      <c r="AI128" s="149"/>
      <c r="AJ128" s="149"/>
      <c r="AK128" s="149"/>
      <c r="AL128" s="149"/>
      <c r="AM128" s="149"/>
      <c r="AN128" s="149"/>
      <c r="AO128" s="149"/>
      <c r="AP128" s="149"/>
      <c r="AQ128" s="149"/>
      <c r="AR128" s="160"/>
    </row>
    <row r="129" spans="1:44" x14ac:dyDescent="0.2">
      <c r="B129" s="50" t="s">
        <v>210</v>
      </c>
      <c r="C129" s="145" t="s">
        <v>183</v>
      </c>
      <c r="D129" s="145"/>
      <c r="E129" s="194">
        <f t="shared" ref="E129:AR129" si="17">SUM(E125:E127)</f>
        <v>0</v>
      </c>
      <c r="F129" s="194">
        <f t="shared" si="17"/>
        <v>0</v>
      </c>
      <c r="G129" s="194">
        <f t="shared" si="17"/>
        <v>0</v>
      </c>
      <c r="H129" s="194">
        <f t="shared" si="17"/>
        <v>0</v>
      </c>
      <c r="I129" s="194">
        <f t="shared" si="17"/>
        <v>0</v>
      </c>
      <c r="J129" s="194">
        <f t="shared" si="17"/>
        <v>0</v>
      </c>
      <c r="K129" s="194">
        <f t="shared" si="17"/>
        <v>0</v>
      </c>
      <c r="L129" s="194">
        <f t="shared" si="17"/>
        <v>0</v>
      </c>
      <c r="M129" s="194">
        <f t="shared" si="17"/>
        <v>0</v>
      </c>
      <c r="N129" s="194">
        <f t="shared" si="17"/>
        <v>0</v>
      </c>
      <c r="O129" s="194">
        <f t="shared" si="17"/>
        <v>0</v>
      </c>
      <c r="P129" s="194">
        <f t="shared" si="17"/>
        <v>0</v>
      </c>
      <c r="Q129" s="194">
        <f t="shared" si="17"/>
        <v>0</v>
      </c>
      <c r="R129" s="194">
        <f t="shared" si="17"/>
        <v>0</v>
      </c>
      <c r="S129" s="194">
        <f t="shared" si="17"/>
        <v>0</v>
      </c>
      <c r="T129" s="194">
        <f t="shared" si="17"/>
        <v>297972150.28009862</v>
      </c>
      <c r="U129" s="194">
        <f t="shared" si="17"/>
        <v>303931593.28570062</v>
      </c>
      <c r="V129" s="194">
        <f t="shared" si="17"/>
        <v>310010225.15141463</v>
      </c>
      <c r="W129" s="194">
        <f t="shared" si="17"/>
        <v>316210429.65444291</v>
      </c>
      <c r="X129" s="194">
        <f t="shared" si="17"/>
        <v>322534638.24753171</v>
      </c>
      <c r="Y129" s="194">
        <f t="shared" si="17"/>
        <v>328985331.01248235</v>
      </c>
      <c r="Z129" s="194">
        <f t="shared" si="17"/>
        <v>335565037.63273197</v>
      </c>
      <c r="AA129" s="194">
        <f t="shared" si="17"/>
        <v>342276338.38538665</v>
      </c>
      <c r="AB129" s="194">
        <f t="shared" si="17"/>
        <v>349121865.15309435</v>
      </c>
      <c r="AC129" s="194">
        <f t="shared" si="17"/>
        <v>356104302.45615625</v>
      </c>
      <c r="AD129" s="194">
        <f t="shared" si="17"/>
        <v>363226388.50527942</v>
      </c>
      <c r="AE129" s="194">
        <f t="shared" si="17"/>
        <v>370490916.27538502</v>
      </c>
      <c r="AF129" s="194">
        <f t="shared" si="17"/>
        <v>377900734.6008926</v>
      </c>
      <c r="AG129" s="194">
        <f t="shared" si="17"/>
        <v>385458749.29291058</v>
      </c>
      <c r="AH129" s="194">
        <f t="shared" si="17"/>
        <v>393167924.27876872</v>
      </c>
      <c r="AI129" s="194">
        <f t="shared" si="17"/>
        <v>401031282.7643441</v>
      </c>
      <c r="AJ129" s="194">
        <f t="shared" si="17"/>
        <v>409051908.41963094</v>
      </c>
      <c r="AK129" s="194">
        <f t="shared" si="17"/>
        <v>417232946.5880236</v>
      </c>
      <c r="AL129" s="194">
        <f t="shared" si="17"/>
        <v>425577605.51978409</v>
      </c>
      <c r="AM129" s="194">
        <f t="shared" si="17"/>
        <v>434089157.63017976</v>
      </c>
      <c r="AN129" s="194">
        <f t="shared" si="17"/>
        <v>0</v>
      </c>
      <c r="AO129" s="194">
        <f t="shared" si="17"/>
        <v>0</v>
      </c>
      <c r="AP129" s="194">
        <f t="shared" si="17"/>
        <v>0</v>
      </c>
      <c r="AQ129" s="194">
        <f t="shared" si="17"/>
        <v>0</v>
      </c>
      <c r="AR129" s="195">
        <f t="shared" si="17"/>
        <v>0</v>
      </c>
    </row>
    <row r="130" spans="1:44" x14ac:dyDescent="0.2">
      <c r="B130" s="50" t="s">
        <v>211</v>
      </c>
      <c r="C130" s="145" t="s">
        <v>183</v>
      </c>
      <c r="D130" s="145"/>
      <c r="E130" s="194">
        <f t="shared" ref="E130:AR130" si="18">SUM(E119:E120)</f>
        <v>-90170150.488608792</v>
      </c>
      <c r="F130" s="194">
        <f t="shared" si="18"/>
        <v>-91973553.498380974</v>
      </c>
      <c r="G130" s="194">
        <f t="shared" si="18"/>
        <v>-93813024.568348587</v>
      </c>
      <c r="H130" s="194">
        <f t="shared" si="18"/>
        <v>-95689285.059715554</v>
      </c>
      <c r="I130" s="194">
        <f t="shared" si="18"/>
        <v>-97603070.76090987</v>
      </c>
      <c r="J130" s="194">
        <f t="shared" si="18"/>
        <v>-99555132.176128075</v>
      </c>
      <c r="K130" s="194">
        <f t="shared" si="18"/>
        <v>-101546234.81965064</v>
      </c>
      <c r="L130" s="194">
        <f t="shared" si="18"/>
        <v>-103577159.51604362</v>
      </c>
      <c r="M130" s="194">
        <f t="shared" si="18"/>
        <v>-105648702.70636451</v>
      </c>
      <c r="N130" s="194">
        <f t="shared" si="18"/>
        <v>-107761676.7604918</v>
      </c>
      <c r="O130" s="194">
        <f t="shared" si="18"/>
        <v>-109916910.29570164</v>
      </c>
      <c r="P130" s="194">
        <f t="shared" si="18"/>
        <v>-112115248.50161564</v>
      </c>
      <c r="Q130" s="194">
        <f t="shared" si="18"/>
        <v>-114357553.47164798</v>
      </c>
      <c r="R130" s="194">
        <f t="shared" si="18"/>
        <v>-116644704.54108094</v>
      </c>
      <c r="S130" s="194">
        <f t="shared" si="18"/>
        <v>-118977598.63190256</v>
      </c>
      <c r="T130" s="194">
        <f t="shared" si="18"/>
        <v>-313950909.81872344</v>
      </c>
      <c r="U130" s="194">
        <f t="shared" si="18"/>
        <v>-125980750.7447764</v>
      </c>
      <c r="V130" s="194">
        <f t="shared" si="18"/>
        <v>-128500365.75967194</v>
      </c>
      <c r="W130" s="194">
        <f t="shared" si="18"/>
        <v>-131070373.07486536</v>
      </c>
      <c r="X130" s="194">
        <f t="shared" si="18"/>
        <v>-133691780.53636266</v>
      </c>
      <c r="Y130" s="194">
        <f t="shared" si="18"/>
        <v>-136365616.14708993</v>
      </c>
      <c r="Z130" s="194">
        <f t="shared" si="18"/>
        <v>-139092928.47003171</v>
      </c>
      <c r="AA130" s="194">
        <f t="shared" si="18"/>
        <v>-141874787.03943235</v>
      </c>
      <c r="AB130" s="194">
        <f t="shared" si="18"/>
        <v>-144712282.78022099</v>
      </c>
      <c r="AC130" s="194">
        <f t="shared" si="18"/>
        <v>-147606528.43582541</v>
      </c>
      <c r="AD130" s="194">
        <f t="shared" si="18"/>
        <v>-150558659.0045419</v>
      </c>
      <c r="AE130" s="194">
        <f t="shared" si="18"/>
        <v>-153569832.18463278</v>
      </c>
      <c r="AF130" s="194">
        <f t="shared" si="18"/>
        <v>-156641228.82832539</v>
      </c>
      <c r="AG130" s="194">
        <f t="shared" si="18"/>
        <v>-159774053.40489194</v>
      </c>
      <c r="AH130" s="194">
        <f t="shared" si="18"/>
        <v>-162969534.47298974</v>
      </c>
      <c r="AI130" s="194">
        <f t="shared" si="18"/>
        <v>-166228925.16244957</v>
      </c>
      <c r="AJ130" s="194">
        <f t="shared" si="18"/>
        <v>-169553503.6656985</v>
      </c>
      <c r="AK130" s="194">
        <f t="shared" si="18"/>
        <v>-172944573.73901251</v>
      </c>
      <c r="AL130" s="194">
        <f t="shared" si="18"/>
        <v>-176403465.21379277</v>
      </c>
      <c r="AM130" s="194">
        <f t="shared" si="18"/>
        <v>-179931534.51806861</v>
      </c>
      <c r="AN130" s="194">
        <f t="shared" si="18"/>
        <v>0</v>
      </c>
      <c r="AO130" s="194">
        <f t="shared" si="18"/>
        <v>0</v>
      </c>
      <c r="AP130" s="194">
        <f t="shared" si="18"/>
        <v>0</v>
      </c>
      <c r="AQ130" s="194">
        <f t="shared" si="18"/>
        <v>0</v>
      </c>
      <c r="AR130" s="195">
        <f t="shared" si="18"/>
        <v>0</v>
      </c>
    </row>
    <row r="131" spans="1:44" x14ac:dyDescent="0.2">
      <c r="B131" s="161" t="s">
        <v>212</v>
      </c>
      <c r="C131" s="152" t="s">
        <v>183</v>
      </c>
      <c r="D131" s="154"/>
      <c r="E131" s="200">
        <f t="shared" ref="E131:AR131" si="19">SUM(E129:E130)</f>
        <v>-90170150.488608792</v>
      </c>
      <c r="F131" s="200">
        <f t="shared" si="19"/>
        <v>-91973553.498380974</v>
      </c>
      <c r="G131" s="200">
        <f t="shared" si="19"/>
        <v>-93813024.568348587</v>
      </c>
      <c r="H131" s="200">
        <f t="shared" si="19"/>
        <v>-95689285.059715554</v>
      </c>
      <c r="I131" s="200">
        <f t="shared" si="19"/>
        <v>-97603070.76090987</v>
      </c>
      <c r="J131" s="200">
        <f t="shared" si="19"/>
        <v>-99555132.176128075</v>
      </c>
      <c r="K131" s="200">
        <f t="shared" si="19"/>
        <v>-101546234.81965064</v>
      </c>
      <c r="L131" s="200">
        <f t="shared" si="19"/>
        <v>-103577159.51604362</v>
      </c>
      <c r="M131" s="200">
        <f t="shared" si="19"/>
        <v>-105648702.70636451</v>
      </c>
      <c r="N131" s="200">
        <f t="shared" si="19"/>
        <v>-107761676.7604918</v>
      </c>
      <c r="O131" s="200">
        <f t="shared" si="19"/>
        <v>-109916910.29570164</v>
      </c>
      <c r="P131" s="200">
        <f t="shared" si="19"/>
        <v>-112115248.50161564</v>
      </c>
      <c r="Q131" s="200">
        <f t="shared" si="19"/>
        <v>-114357553.47164798</v>
      </c>
      <c r="R131" s="200">
        <f t="shared" si="19"/>
        <v>-116644704.54108094</v>
      </c>
      <c r="S131" s="200">
        <f t="shared" si="19"/>
        <v>-118977598.63190256</v>
      </c>
      <c r="T131" s="200">
        <f t="shared" si="19"/>
        <v>-15978759.538624823</v>
      </c>
      <c r="U131" s="200">
        <f t="shared" si="19"/>
        <v>177950842.54092422</v>
      </c>
      <c r="V131" s="200">
        <f t="shared" si="19"/>
        <v>181509859.39174271</v>
      </c>
      <c r="W131" s="200">
        <f t="shared" si="19"/>
        <v>185140056.57957757</v>
      </c>
      <c r="X131" s="200">
        <f t="shared" si="19"/>
        <v>188842857.71116906</v>
      </c>
      <c r="Y131" s="200">
        <f t="shared" si="19"/>
        <v>192619714.86539242</v>
      </c>
      <c r="Z131" s="200">
        <f t="shared" si="19"/>
        <v>196472109.16270027</v>
      </c>
      <c r="AA131" s="200">
        <f t="shared" si="19"/>
        <v>200401551.3459543</v>
      </c>
      <c r="AB131" s="200">
        <f t="shared" si="19"/>
        <v>204409582.37287337</v>
      </c>
      <c r="AC131" s="200">
        <f t="shared" si="19"/>
        <v>208497774.02033085</v>
      </c>
      <c r="AD131" s="200">
        <f t="shared" si="19"/>
        <v>212667729.50073752</v>
      </c>
      <c r="AE131" s="200">
        <f t="shared" si="19"/>
        <v>216921084.09075224</v>
      </c>
      <c r="AF131" s="200">
        <f t="shared" si="19"/>
        <v>221259505.77256721</v>
      </c>
      <c r="AG131" s="200">
        <f t="shared" si="19"/>
        <v>225684695.88801864</v>
      </c>
      <c r="AH131" s="200">
        <f t="shared" si="19"/>
        <v>230198389.80577898</v>
      </c>
      <c r="AI131" s="200">
        <f t="shared" si="19"/>
        <v>234802357.60189453</v>
      </c>
      <c r="AJ131" s="200">
        <f t="shared" si="19"/>
        <v>239498404.75393245</v>
      </c>
      <c r="AK131" s="200">
        <f t="shared" si="19"/>
        <v>244288372.84901109</v>
      </c>
      <c r="AL131" s="200">
        <f t="shared" si="19"/>
        <v>249174140.30599132</v>
      </c>
      <c r="AM131" s="200">
        <f t="shared" si="19"/>
        <v>254157623.11211115</v>
      </c>
      <c r="AN131" s="200">
        <f t="shared" si="19"/>
        <v>0</v>
      </c>
      <c r="AO131" s="200">
        <f t="shared" si="19"/>
        <v>0</v>
      </c>
      <c r="AP131" s="200">
        <f t="shared" si="19"/>
        <v>0</v>
      </c>
      <c r="AQ131" s="200">
        <f t="shared" si="19"/>
        <v>0</v>
      </c>
      <c r="AR131" s="201">
        <f t="shared" si="19"/>
        <v>0</v>
      </c>
    </row>
    <row r="132" spans="1:44" ht="12.95" customHeight="1" x14ac:dyDescent="0.2">
      <c r="B132" s="157" t="s">
        <v>213</v>
      </c>
      <c r="C132" s="148"/>
      <c r="D132" s="149"/>
      <c r="E132" s="149"/>
      <c r="F132" s="149"/>
      <c r="G132" s="149"/>
      <c r="H132" s="149"/>
      <c r="I132" s="149"/>
      <c r="J132" s="149"/>
      <c r="K132" s="149"/>
      <c r="L132" s="149"/>
      <c r="M132" s="149"/>
      <c r="N132" s="149"/>
      <c r="O132" s="149"/>
      <c r="P132" s="149"/>
      <c r="Q132" s="149"/>
      <c r="R132" s="149"/>
      <c r="S132" s="149"/>
      <c r="T132" s="149"/>
      <c r="U132" s="149"/>
      <c r="V132" s="149"/>
      <c r="W132" s="149"/>
      <c r="X132" s="149"/>
      <c r="Y132" s="149"/>
      <c r="Z132" s="149"/>
      <c r="AA132" s="149"/>
      <c r="AB132" s="149"/>
      <c r="AC132" s="149"/>
      <c r="AD132" s="149"/>
      <c r="AE132" s="149"/>
      <c r="AF132" s="149"/>
      <c r="AG132" s="149"/>
      <c r="AH132" s="149"/>
      <c r="AI132" s="149"/>
      <c r="AJ132" s="149"/>
      <c r="AK132" s="149"/>
      <c r="AL132" s="149"/>
      <c r="AM132" s="149"/>
      <c r="AN132" s="149"/>
      <c r="AO132" s="149"/>
      <c r="AP132" s="149"/>
      <c r="AQ132" s="149"/>
      <c r="AR132" s="160"/>
    </row>
    <row r="133" spans="1:44" x14ac:dyDescent="0.2">
      <c r="B133" s="50" t="s">
        <v>214</v>
      </c>
      <c r="C133" s="145" t="s">
        <v>183</v>
      </c>
      <c r="D133" s="145"/>
      <c r="E133" s="194">
        <f t="shared" ref="E133:AR133" si="20">IF(E111&gt;$C$75,0,-$C$151/$C$75)</f>
        <v>-153018287.07573295</v>
      </c>
      <c r="F133" s="194">
        <f t="shared" si="20"/>
        <v>-153018287.07573295</v>
      </c>
      <c r="G133" s="194">
        <f t="shared" si="20"/>
        <v>-153018287.07573295</v>
      </c>
      <c r="H133" s="194">
        <f t="shared" si="20"/>
        <v>-153018287.07573295</v>
      </c>
      <c r="I133" s="194">
        <f t="shared" si="20"/>
        <v>-153018287.07573295</v>
      </c>
      <c r="J133" s="194">
        <f t="shared" si="20"/>
        <v>-153018287.07573295</v>
      </c>
      <c r="K133" s="194">
        <f t="shared" si="20"/>
        <v>-153018287.07573295</v>
      </c>
      <c r="L133" s="194">
        <f t="shared" si="20"/>
        <v>-153018287.07573295</v>
      </c>
      <c r="M133" s="194">
        <f t="shared" si="20"/>
        <v>-153018287.07573295</v>
      </c>
      <c r="N133" s="194">
        <f t="shared" si="20"/>
        <v>-153018287.07573295</v>
      </c>
      <c r="O133" s="194">
        <f t="shared" si="20"/>
        <v>-153018287.07573295</v>
      </c>
      <c r="P133" s="194">
        <f t="shared" si="20"/>
        <v>-153018287.07573295</v>
      </c>
      <c r="Q133" s="194">
        <f t="shared" si="20"/>
        <v>-153018287.07573295</v>
      </c>
      <c r="R133" s="194">
        <f t="shared" si="20"/>
        <v>-153018287.07573295</v>
      </c>
      <c r="S133" s="194">
        <f t="shared" si="20"/>
        <v>-153018287.07573295</v>
      </c>
      <c r="T133" s="194">
        <f t="shared" si="20"/>
        <v>-153018287.07573295</v>
      </c>
      <c r="U133" s="194">
        <f t="shared" si="20"/>
        <v>-153018287.07573295</v>
      </c>
      <c r="V133" s="194">
        <f t="shared" si="20"/>
        <v>-153018287.07573295</v>
      </c>
      <c r="W133" s="194">
        <f t="shared" si="20"/>
        <v>-153018287.07573295</v>
      </c>
      <c r="X133" s="194">
        <f t="shared" si="20"/>
        <v>-153018287.07573295</v>
      </c>
      <c r="Y133" s="194">
        <f t="shared" si="20"/>
        <v>0</v>
      </c>
      <c r="Z133" s="194">
        <f t="shared" si="20"/>
        <v>0</v>
      </c>
      <c r="AA133" s="194">
        <f t="shared" si="20"/>
        <v>0</v>
      </c>
      <c r="AB133" s="194">
        <f t="shared" si="20"/>
        <v>0</v>
      </c>
      <c r="AC133" s="194">
        <f t="shared" si="20"/>
        <v>0</v>
      </c>
      <c r="AD133" s="194">
        <f t="shared" si="20"/>
        <v>0</v>
      </c>
      <c r="AE133" s="194">
        <f t="shared" si="20"/>
        <v>0</v>
      </c>
      <c r="AF133" s="194">
        <f t="shared" si="20"/>
        <v>0</v>
      </c>
      <c r="AG133" s="194">
        <f t="shared" si="20"/>
        <v>0</v>
      </c>
      <c r="AH133" s="194">
        <f t="shared" si="20"/>
        <v>0</v>
      </c>
      <c r="AI133" s="194">
        <f t="shared" si="20"/>
        <v>0</v>
      </c>
      <c r="AJ133" s="194">
        <f t="shared" si="20"/>
        <v>0</v>
      </c>
      <c r="AK133" s="194">
        <f t="shared" si="20"/>
        <v>0</v>
      </c>
      <c r="AL133" s="194">
        <f t="shared" si="20"/>
        <v>0</v>
      </c>
      <c r="AM133" s="194">
        <f t="shared" si="20"/>
        <v>0</v>
      </c>
      <c r="AN133" s="194">
        <f t="shared" si="20"/>
        <v>0</v>
      </c>
      <c r="AO133" s="194">
        <f t="shared" si="20"/>
        <v>0</v>
      </c>
      <c r="AP133" s="194">
        <f t="shared" si="20"/>
        <v>0</v>
      </c>
      <c r="AQ133" s="194">
        <f t="shared" si="20"/>
        <v>0</v>
      </c>
      <c r="AR133" s="195">
        <f t="shared" si="20"/>
        <v>0</v>
      </c>
    </row>
    <row r="134" spans="1:44" x14ac:dyDescent="0.2">
      <c r="B134" s="50" t="s">
        <v>215</v>
      </c>
      <c r="C134" s="145" t="s">
        <v>183</v>
      </c>
      <c r="D134" s="145"/>
      <c r="E134" s="194">
        <f t="shared" ref="E134:AR134" si="21">IF(E111&gt;$C$74,0,IPMT($C$90,E111,$C$74,$C$156))</f>
        <v>-103287343.77611972</v>
      </c>
      <c r="F134" s="194">
        <f t="shared" si="21"/>
        <v>-98317796.336991295</v>
      </c>
      <c r="G134" s="194">
        <f t="shared" si="21"/>
        <v>-93124619.263102174</v>
      </c>
      <c r="H134" s="194">
        <f t="shared" si="21"/>
        <v>-87697749.220887989</v>
      </c>
      <c r="I134" s="194">
        <f t="shared" si="21"/>
        <v>-82026670.026774183</v>
      </c>
      <c r="J134" s="194">
        <f t="shared" si="21"/>
        <v>-76100392.26892525</v>
      </c>
      <c r="K134" s="194">
        <f t="shared" si="21"/>
        <v>-69907432.011973113</v>
      </c>
      <c r="L134" s="194">
        <f t="shared" si="21"/>
        <v>-63435788.543458141</v>
      </c>
      <c r="M134" s="194">
        <f t="shared" si="21"/>
        <v>-56672921.118859977</v>
      </c>
      <c r="N134" s="194">
        <f t="shared" si="21"/>
        <v>-49605724.660154901</v>
      </c>
      <c r="O134" s="194">
        <f t="shared" si="21"/>
        <v>-42220504.360808112</v>
      </c>
      <c r="P134" s="194">
        <f t="shared" si="21"/>
        <v>-34502949.147990696</v>
      </c>
      <c r="Q134" s="194">
        <f t="shared" si="21"/>
        <v>-26438103.950596504</v>
      </c>
      <c r="R134" s="194">
        <f t="shared" si="21"/>
        <v>-18010340.719319578</v>
      </c>
      <c r="S134" s="194">
        <f t="shared" si="21"/>
        <v>-9203328.1426351871</v>
      </c>
      <c r="T134" s="194">
        <f t="shared" si="21"/>
        <v>0</v>
      </c>
      <c r="U134" s="194">
        <f t="shared" si="21"/>
        <v>0</v>
      </c>
      <c r="V134" s="194">
        <f t="shared" si="21"/>
        <v>0</v>
      </c>
      <c r="W134" s="194">
        <f t="shared" si="21"/>
        <v>0</v>
      </c>
      <c r="X134" s="194">
        <f t="shared" si="21"/>
        <v>0</v>
      </c>
      <c r="Y134" s="194">
        <f t="shared" si="21"/>
        <v>0</v>
      </c>
      <c r="Z134" s="194">
        <f t="shared" si="21"/>
        <v>0</v>
      </c>
      <c r="AA134" s="194">
        <f t="shared" si="21"/>
        <v>0</v>
      </c>
      <c r="AB134" s="194">
        <f t="shared" si="21"/>
        <v>0</v>
      </c>
      <c r="AC134" s="194">
        <f t="shared" si="21"/>
        <v>0</v>
      </c>
      <c r="AD134" s="194">
        <f t="shared" si="21"/>
        <v>0</v>
      </c>
      <c r="AE134" s="194">
        <f t="shared" si="21"/>
        <v>0</v>
      </c>
      <c r="AF134" s="194">
        <f t="shared" si="21"/>
        <v>0</v>
      </c>
      <c r="AG134" s="194">
        <f t="shared" si="21"/>
        <v>0</v>
      </c>
      <c r="AH134" s="194">
        <f t="shared" si="21"/>
        <v>0</v>
      </c>
      <c r="AI134" s="194">
        <f t="shared" si="21"/>
        <v>0</v>
      </c>
      <c r="AJ134" s="194">
        <f t="shared" si="21"/>
        <v>0</v>
      </c>
      <c r="AK134" s="194">
        <f t="shared" si="21"/>
        <v>0</v>
      </c>
      <c r="AL134" s="194">
        <f t="shared" si="21"/>
        <v>0</v>
      </c>
      <c r="AM134" s="194">
        <f t="shared" si="21"/>
        <v>0</v>
      </c>
      <c r="AN134" s="194">
        <f t="shared" si="21"/>
        <v>0</v>
      </c>
      <c r="AO134" s="194">
        <f t="shared" si="21"/>
        <v>0</v>
      </c>
      <c r="AP134" s="194">
        <f t="shared" si="21"/>
        <v>0</v>
      </c>
      <c r="AQ134" s="194">
        <f t="shared" si="21"/>
        <v>0</v>
      </c>
      <c r="AR134" s="195">
        <f t="shared" si="21"/>
        <v>0</v>
      </c>
    </row>
    <row r="135" spans="1:44" x14ac:dyDescent="0.2">
      <c r="B135" s="50" t="s">
        <v>216</v>
      </c>
      <c r="C135" s="145" t="s">
        <v>183</v>
      </c>
      <c r="D135" s="145"/>
      <c r="E135" s="194">
        <f t="shared" ref="E135:AR135" si="22">IF(E111&gt;$C$74,0,PPMT($C$90,E111,$C$74,$C$156))</f>
        <v>-110434387.53618629</v>
      </c>
      <c r="F135" s="194">
        <f t="shared" si="22"/>
        <v>-115403934.97531468</v>
      </c>
      <c r="G135" s="194">
        <f t="shared" si="22"/>
        <v>-120597112.04920386</v>
      </c>
      <c r="H135" s="194">
        <f t="shared" si="22"/>
        <v>-126023982.09141803</v>
      </c>
      <c r="I135" s="194">
        <f t="shared" si="22"/>
        <v>-131695061.28553183</v>
      </c>
      <c r="J135" s="194">
        <f t="shared" si="22"/>
        <v>-137621339.04338077</v>
      </c>
      <c r="K135" s="194">
        <f t="shared" si="22"/>
        <v>-143814299.30033293</v>
      </c>
      <c r="L135" s="194">
        <f t="shared" si="22"/>
        <v>-150285942.76884788</v>
      </c>
      <c r="M135" s="194">
        <f t="shared" si="22"/>
        <v>-157048810.19344604</v>
      </c>
      <c r="N135" s="194">
        <f t="shared" si="22"/>
        <v>-164116006.65215114</v>
      </c>
      <c r="O135" s="194">
        <f t="shared" si="22"/>
        <v>-171501226.95149791</v>
      </c>
      <c r="P135" s="194">
        <f t="shared" si="22"/>
        <v>-179218782.16431534</v>
      </c>
      <c r="Q135" s="194">
        <f t="shared" si="22"/>
        <v>-187283627.36170954</v>
      </c>
      <c r="R135" s="194">
        <f t="shared" si="22"/>
        <v>-195711390.59298646</v>
      </c>
      <c r="S135" s="194">
        <f t="shared" si="22"/>
        <v>-204518403.16967082</v>
      </c>
      <c r="T135" s="194">
        <f t="shared" si="22"/>
        <v>0</v>
      </c>
      <c r="U135" s="194">
        <f t="shared" si="22"/>
        <v>0</v>
      </c>
      <c r="V135" s="194">
        <f t="shared" si="22"/>
        <v>0</v>
      </c>
      <c r="W135" s="194">
        <f t="shared" si="22"/>
        <v>0</v>
      </c>
      <c r="X135" s="194">
        <f t="shared" si="22"/>
        <v>0</v>
      </c>
      <c r="Y135" s="194">
        <f t="shared" si="22"/>
        <v>0</v>
      </c>
      <c r="Z135" s="194">
        <f t="shared" si="22"/>
        <v>0</v>
      </c>
      <c r="AA135" s="194">
        <f t="shared" si="22"/>
        <v>0</v>
      </c>
      <c r="AB135" s="194">
        <f t="shared" si="22"/>
        <v>0</v>
      </c>
      <c r="AC135" s="194">
        <f t="shared" si="22"/>
        <v>0</v>
      </c>
      <c r="AD135" s="194">
        <f t="shared" si="22"/>
        <v>0</v>
      </c>
      <c r="AE135" s="194">
        <f t="shared" si="22"/>
        <v>0</v>
      </c>
      <c r="AF135" s="194">
        <f t="shared" si="22"/>
        <v>0</v>
      </c>
      <c r="AG135" s="194">
        <f t="shared" si="22"/>
        <v>0</v>
      </c>
      <c r="AH135" s="194">
        <f t="shared" si="22"/>
        <v>0</v>
      </c>
      <c r="AI135" s="194">
        <f t="shared" si="22"/>
        <v>0</v>
      </c>
      <c r="AJ135" s="194">
        <f t="shared" si="22"/>
        <v>0</v>
      </c>
      <c r="AK135" s="194">
        <f t="shared" si="22"/>
        <v>0</v>
      </c>
      <c r="AL135" s="194">
        <f t="shared" si="22"/>
        <v>0</v>
      </c>
      <c r="AM135" s="194">
        <f t="shared" si="22"/>
        <v>0</v>
      </c>
      <c r="AN135" s="194">
        <f t="shared" si="22"/>
        <v>0</v>
      </c>
      <c r="AO135" s="194">
        <f t="shared" si="22"/>
        <v>0</v>
      </c>
      <c r="AP135" s="194">
        <f t="shared" si="22"/>
        <v>0</v>
      </c>
      <c r="AQ135" s="194">
        <f t="shared" si="22"/>
        <v>0</v>
      </c>
      <c r="AR135" s="195">
        <f t="shared" si="22"/>
        <v>0</v>
      </c>
    </row>
    <row r="136" spans="1:44" s="33" customFormat="1" ht="12.95" customHeight="1" x14ac:dyDescent="0.2">
      <c r="A136" s="244"/>
      <c r="B136" s="161" t="s">
        <v>217</v>
      </c>
      <c r="C136" s="152" t="s">
        <v>183</v>
      </c>
      <c r="D136" s="152"/>
      <c r="E136" s="200">
        <f t="shared" ref="E136:AR136" si="23">SUM(E134,E135)</f>
        <v>-213721731.31230602</v>
      </c>
      <c r="F136" s="200">
        <f t="shared" si="23"/>
        <v>-213721731.31230599</v>
      </c>
      <c r="G136" s="200">
        <f t="shared" si="23"/>
        <v>-213721731.31230605</v>
      </c>
      <c r="H136" s="200">
        <f t="shared" si="23"/>
        <v>-213721731.31230602</v>
      </c>
      <c r="I136" s="200">
        <f t="shared" si="23"/>
        <v>-213721731.31230602</v>
      </c>
      <c r="J136" s="200">
        <f t="shared" si="23"/>
        <v>-213721731.31230602</v>
      </c>
      <c r="K136" s="200">
        <f t="shared" si="23"/>
        <v>-213721731.31230605</v>
      </c>
      <c r="L136" s="200">
        <f t="shared" si="23"/>
        <v>-213721731.31230602</v>
      </c>
      <c r="M136" s="200">
        <f t="shared" si="23"/>
        <v>-213721731.31230602</v>
      </c>
      <c r="N136" s="200">
        <f t="shared" si="23"/>
        <v>-213721731.31230605</v>
      </c>
      <c r="O136" s="200">
        <f t="shared" si="23"/>
        <v>-213721731.31230602</v>
      </c>
      <c r="P136" s="200">
        <f t="shared" si="23"/>
        <v>-213721731.31230605</v>
      </c>
      <c r="Q136" s="200">
        <f t="shared" si="23"/>
        <v>-213721731.31230605</v>
      </c>
      <c r="R136" s="200">
        <f t="shared" si="23"/>
        <v>-213721731.31230605</v>
      </c>
      <c r="S136" s="200">
        <f t="shared" si="23"/>
        <v>-213721731.31230602</v>
      </c>
      <c r="T136" s="200">
        <f t="shared" si="23"/>
        <v>0</v>
      </c>
      <c r="U136" s="200">
        <f t="shared" si="23"/>
        <v>0</v>
      </c>
      <c r="V136" s="200">
        <f t="shared" si="23"/>
        <v>0</v>
      </c>
      <c r="W136" s="200">
        <f t="shared" si="23"/>
        <v>0</v>
      </c>
      <c r="X136" s="200">
        <f t="shared" si="23"/>
        <v>0</v>
      </c>
      <c r="Y136" s="200">
        <f t="shared" si="23"/>
        <v>0</v>
      </c>
      <c r="Z136" s="200">
        <f t="shared" si="23"/>
        <v>0</v>
      </c>
      <c r="AA136" s="200">
        <f t="shared" si="23"/>
        <v>0</v>
      </c>
      <c r="AB136" s="200">
        <f t="shared" si="23"/>
        <v>0</v>
      </c>
      <c r="AC136" s="200">
        <f t="shared" si="23"/>
        <v>0</v>
      </c>
      <c r="AD136" s="200">
        <f t="shared" si="23"/>
        <v>0</v>
      </c>
      <c r="AE136" s="200">
        <f t="shared" si="23"/>
        <v>0</v>
      </c>
      <c r="AF136" s="200">
        <f t="shared" si="23"/>
        <v>0</v>
      </c>
      <c r="AG136" s="200">
        <f t="shared" si="23"/>
        <v>0</v>
      </c>
      <c r="AH136" s="200">
        <f t="shared" si="23"/>
        <v>0</v>
      </c>
      <c r="AI136" s="200">
        <f t="shared" si="23"/>
        <v>0</v>
      </c>
      <c r="AJ136" s="200">
        <f t="shared" si="23"/>
        <v>0</v>
      </c>
      <c r="AK136" s="200">
        <f t="shared" si="23"/>
        <v>0</v>
      </c>
      <c r="AL136" s="200">
        <f t="shared" si="23"/>
        <v>0</v>
      </c>
      <c r="AM136" s="200">
        <f t="shared" si="23"/>
        <v>0</v>
      </c>
      <c r="AN136" s="200">
        <f t="shared" si="23"/>
        <v>0</v>
      </c>
      <c r="AO136" s="200">
        <f t="shared" si="23"/>
        <v>0</v>
      </c>
      <c r="AP136" s="200">
        <f t="shared" si="23"/>
        <v>0</v>
      </c>
      <c r="AQ136" s="200">
        <f t="shared" si="23"/>
        <v>0</v>
      </c>
      <c r="AR136" s="201">
        <f t="shared" si="23"/>
        <v>0</v>
      </c>
    </row>
    <row r="137" spans="1:44" ht="12.95" customHeight="1" x14ac:dyDescent="0.2">
      <c r="B137" s="157" t="s">
        <v>218</v>
      </c>
      <c r="C137" s="148"/>
      <c r="D137" s="149"/>
      <c r="E137" s="149"/>
      <c r="F137" s="149"/>
      <c r="G137" s="149"/>
      <c r="H137" s="149"/>
      <c r="I137" s="149"/>
      <c r="J137" s="149"/>
      <c r="K137" s="149"/>
      <c r="L137" s="149"/>
      <c r="M137" s="149"/>
      <c r="N137" s="149"/>
      <c r="O137" s="149"/>
      <c r="P137" s="149"/>
      <c r="Q137" s="149"/>
      <c r="R137" s="149"/>
      <c r="S137" s="149"/>
      <c r="T137" s="149"/>
      <c r="U137" s="149"/>
      <c r="V137" s="149"/>
      <c r="W137" s="149"/>
      <c r="X137" s="149"/>
      <c r="Y137" s="149"/>
      <c r="Z137" s="149"/>
      <c r="AA137" s="149"/>
      <c r="AB137" s="149"/>
      <c r="AC137" s="149"/>
      <c r="AD137" s="149"/>
      <c r="AE137" s="149"/>
      <c r="AF137" s="149"/>
      <c r="AG137" s="149"/>
      <c r="AH137" s="149"/>
      <c r="AI137" s="149"/>
      <c r="AJ137" s="149"/>
      <c r="AK137" s="149"/>
      <c r="AL137" s="149"/>
      <c r="AM137" s="149"/>
      <c r="AN137" s="149"/>
      <c r="AO137" s="149"/>
      <c r="AP137" s="149"/>
      <c r="AQ137" s="149"/>
      <c r="AR137" s="160"/>
    </row>
    <row r="138" spans="1:44" x14ac:dyDescent="0.2">
      <c r="B138" s="50" t="s">
        <v>219</v>
      </c>
      <c r="C138" s="145" t="s">
        <v>183</v>
      </c>
      <c r="D138" s="145"/>
      <c r="E138" s="194">
        <f t="shared" ref="E138:AR138" si="24">E131+E133+E134</f>
        <v>-346475781.34046143</v>
      </c>
      <c r="F138" s="194">
        <f t="shared" si="24"/>
        <v>-343309636.91110522</v>
      </c>
      <c r="G138" s="194">
        <f t="shared" si="24"/>
        <v>-339955930.90718371</v>
      </c>
      <c r="H138" s="194">
        <f t="shared" si="24"/>
        <v>-336405321.35633647</v>
      </c>
      <c r="I138" s="194">
        <f t="shared" si="24"/>
        <v>-332648027.86341697</v>
      </c>
      <c r="J138" s="194">
        <f t="shared" si="24"/>
        <v>-328673811.52078629</v>
      </c>
      <c r="K138" s="194">
        <f t="shared" si="24"/>
        <v>-324471953.90735674</v>
      </c>
      <c r="L138" s="194">
        <f t="shared" si="24"/>
        <v>-320031235.13523471</v>
      </c>
      <c r="M138" s="194">
        <f t="shared" si="24"/>
        <v>-315339910.90095747</v>
      </c>
      <c r="N138" s="194">
        <f t="shared" si="24"/>
        <v>-310385688.49637961</v>
      </c>
      <c r="O138" s="194">
        <f t="shared" si="24"/>
        <v>-305155701.7322427</v>
      </c>
      <c r="P138" s="194">
        <f t="shared" si="24"/>
        <v>-299636484.72533929</v>
      </c>
      <c r="Q138" s="194">
        <f t="shared" si="24"/>
        <v>-293813944.49797744</v>
      </c>
      <c r="R138" s="194">
        <f t="shared" si="24"/>
        <v>-287673332.33613348</v>
      </c>
      <c r="S138" s="194">
        <f t="shared" si="24"/>
        <v>-281199213.85027069</v>
      </c>
      <c r="T138" s="194">
        <f t="shared" si="24"/>
        <v>-168997046.61435777</v>
      </c>
      <c r="U138" s="194">
        <f t="shared" si="24"/>
        <v>24932555.465191275</v>
      </c>
      <c r="V138" s="194">
        <f t="shared" si="24"/>
        <v>28491572.31600976</v>
      </c>
      <c r="W138" s="194">
        <f t="shared" si="24"/>
        <v>32121769.503844619</v>
      </c>
      <c r="X138" s="194">
        <f t="shared" si="24"/>
        <v>35824570.635436118</v>
      </c>
      <c r="Y138" s="194">
        <f t="shared" si="24"/>
        <v>192619714.86539242</v>
      </c>
      <c r="Z138" s="194">
        <f t="shared" si="24"/>
        <v>196472109.16270027</v>
      </c>
      <c r="AA138" s="194">
        <f t="shared" si="24"/>
        <v>200401551.3459543</v>
      </c>
      <c r="AB138" s="194">
        <f t="shared" si="24"/>
        <v>204409582.37287337</v>
      </c>
      <c r="AC138" s="194">
        <f t="shared" si="24"/>
        <v>208497774.02033085</v>
      </c>
      <c r="AD138" s="194">
        <f t="shared" si="24"/>
        <v>212667729.50073752</v>
      </c>
      <c r="AE138" s="194">
        <f t="shared" si="24"/>
        <v>216921084.09075224</v>
      </c>
      <c r="AF138" s="194">
        <f t="shared" si="24"/>
        <v>221259505.77256721</v>
      </c>
      <c r="AG138" s="194">
        <f t="shared" si="24"/>
        <v>225684695.88801864</v>
      </c>
      <c r="AH138" s="194">
        <f t="shared" si="24"/>
        <v>230198389.80577898</v>
      </c>
      <c r="AI138" s="194">
        <f t="shared" si="24"/>
        <v>234802357.60189453</v>
      </c>
      <c r="AJ138" s="194">
        <f t="shared" si="24"/>
        <v>239498404.75393245</v>
      </c>
      <c r="AK138" s="194">
        <f t="shared" si="24"/>
        <v>244288372.84901109</v>
      </c>
      <c r="AL138" s="194">
        <f t="shared" si="24"/>
        <v>249174140.30599132</v>
      </c>
      <c r="AM138" s="194">
        <f t="shared" si="24"/>
        <v>254157623.11211115</v>
      </c>
      <c r="AN138" s="194">
        <f t="shared" si="24"/>
        <v>0</v>
      </c>
      <c r="AO138" s="194">
        <f t="shared" si="24"/>
        <v>0</v>
      </c>
      <c r="AP138" s="194">
        <f t="shared" si="24"/>
        <v>0</v>
      </c>
      <c r="AQ138" s="194">
        <f t="shared" si="24"/>
        <v>0</v>
      </c>
      <c r="AR138" s="195">
        <f t="shared" si="24"/>
        <v>0</v>
      </c>
    </row>
    <row r="139" spans="1:44" x14ac:dyDescent="0.2">
      <c r="B139" s="50" t="s">
        <v>220</v>
      </c>
      <c r="C139" s="145" t="s">
        <v>183</v>
      </c>
      <c r="D139" s="145"/>
      <c r="E139" s="194">
        <f t="shared" ref="E139:AR139" si="25">-$C$94*E138</f>
        <v>89390751.585839048</v>
      </c>
      <c r="F139" s="194">
        <f t="shared" si="25"/>
        <v>88573886.323065147</v>
      </c>
      <c r="G139" s="194">
        <f t="shared" si="25"/>
        <v>87708630.174053401</v>
      </c>
      <c r="H139" s="194">
        <f t="shared" si="25"/>
        <v>86792572.909934819</v>
      </c>
      <c r="I139" s="194">
        <f t="shared" si="25"/>
        <v>85823191.188761577</v>
      </c>
      <c r="J139" s="194">
        <f t="shared" si="25"/>
        <v>84797843.372362867</v>
      </c>
      <c r="K139" s="194">
        <f t="shared" si="25"/>
        <v>83713764.108098045</v>
      </c>
      <c r="L139" s="194">
        <f t="shared" si="25"/>
        <v>82568058.664890558</v>
      </c>
      <c r="M139" s="194">
        <f t="shared" si="25"/>
        <v>81357697.012447029</v>
      </c>
      <c r="N139" s="194">
        <f t="shared" si="25"/>
        <v>80079507.632065937</v>
      </c>
      <c r="O139" s="194">
        <f t="shared" si="25"/>
        <v>78730171.046918616</v>
      </c>
      <c r="P139" s="194">
        <f t="shared" si="25"/>
        <v>77306213.059137538</v>
      </c>
      <c r="Q139" s="194">
        <f t="shared" si="25"/>
        <v>75803997.680478185</v>
      </c>
      <c r="R139" s="194">
        <f t="shared" si="25"/>
        <v>74219719.742722437</v>
      </c>
      <c r="S139" s="194">
        <f t="shared" si="25"/>
        <v>72549397.17336984</v>
      </c>
      <c r="T139" s="194">
        <f t="shared" si="25"/>
        <v>43601238.026504308</v>
      </c>
      <c r="U139" s="194">
        <f t="shared" si="25"/>
        <v>-6432599.3100193487</v>
      </c>
      <c r="V139" s="194">
        <f t="shared" si="25"/>
        <v>-7350825.6575305182</v>
      </c>
      <c r="W139" s="194">
        <f t="shared" si="25"/>
        <v>-8287416.5319919121</v>
      </c>
      <c r="X139" s="194">
        <f t="shared" si="25"/>
        <v>-9242739.2239425182</v>
      </c>
      <c r="Y139" s="194">
        <f t="shared" si="25"/>
        <v>-49695886.435271248</v>
      </c>
      <c r="Z139" s="194">
        <f t="shared" si="25"/>
        <v>-50689804.163976669</v>
      </c>
      <c r="AA139" s="194">
        <f t="shared" si="25"/>
        <v>-51703600.247256212</v>
      </c>
      <c r="AB139" s="194">
        <f t="shared" si="25"/>
        <v>-52737672.252201326</v>
      </c>
      <c r="AC139" s="194">
        <f t="shared" si="25"/>
        <v>-53792425.697245359</v>
      </c>
      <c r="AD139" s="194">
        <f t="shared" si="25"/>
        <v>-54868274.211190283</v>
      </c>
      <c r="AE139" s="194">
        <f t="shared" si="25"/>
        <v>-55965639.695414081</v>
      </c>
      <c r="AF139" s="194">
        <f t="shared" si="25"/>
        <v>-57084952.489322342</v>
      </c>
      <c r="AG139" s="194">
        <f t="shared" si="25"/>
        <v>-58226651.539108813</v>
      </c>
      <c r="AH139" s="194">
        <f t="shared" si="25"/>
        <v>-59391184.569890976</v>
      </c>
      <c r="AI139" s="194">
        <f t="shared" si="25"/>
        <v>-60579008.261288792</v>
      </c>
      <c r="AJ139" s="194">
        <f t="shared" si="25"/>
        <v>-61790588.426514573</v>
      </c>
      <c r="AK139" s="194">
        <f t="shared" si="25"/>
        <v>-63026400.19504486</v>
      </c>
      <c r="AL139" s="194">
        <f t="shared" si="25"/>
        <v>-64286928.198945761</v>
      </c>
      <c r="AM139" s="194">
        <f t="shared" si="25"/>
        <v>-65572666.762924679</v>
      </c>
      <c r="AN139" s="194">
        <f t="shared" si="25"/>
        <v>0</v>
      </c>
      <c r="AO139" s="194">
        <f t="shared" si="25"/>
        <v>0</v>
      </c>
      <c r="AP139" s="194">
        <f t="shared" si="25"/>
        <v>0</v>
      </c>
      <c r="AQ139" s="194">
        <f t="shared" si="25"/>
        <v>0</v>
      </c>
      <c r="AR139" s="195">
        <f t="shared" si="25"/>
        <v>0</v>
      </c>
    </row>
    <row r="140" spans="1:44" ht="12.95" customHeight="1" x14ac:dyDescent="0.2">
      <c r="B140" s="157" t="s">
        <v>221</v>
      </c>
      <c r="C140" s="148"/>
      <c r="D140" s="149"/>
      <c r="E140" s="149"/>
      <c r="F140" s="149"/>
      <c r="G140" s="149"/>
      <c r="H140" s="149"/>
      <c r="I140" s="149"/>
      <c r="J140" s="149"/>
      <c r="K140" s="149"/>
      <c r="L140" s="149"/>
      <c r="M140" s="149"/>
      <c r="N140" s="149"/>
      <c r="O140" s="149"/>
      <c r="P140" s="149"/>
      <c r="Q140" s="149"/>
      <c r="R140" s="149"/>
      <c r="S140" s="149"/>
      <c r="T140" s="149"/>
      <c r="U140" s="149"/>
      <c r="V140" s="149"/>
      <c r="W140" s="149"/>
      <c r="X140" s="149"/>
      <c r="Y140" s="149"/>
      <c r="Z140" s="149"/>
      <c r="AA140" s="149"/>
      <c r="AB140" s="149"/>
      <c r="AC140" s="149"/>
      <c r="AD140" s="149"/>
      <c r="AE140" s="149"/>
      <c r="AF140" s="149"/>
      <c r="AG140" s="149"/>
      <c r="AH140" s="149"/>
      <c r="AI140" s="149"/>
      <c r="AJ140" s="149"/>
      <c r="AK140" s="149"/>
      <c r="AL140" s="149"/>
      <c r="AM140" s="149"/>
      <c r="AN140" s="149"/>
      <c r="AO140" s="149"/>
      <c r="AP140" s="149"/>
      <c r="AQ140" s="149"/>
      <c r="AR140" s="160"/>
    </row>
    <row r="141" spans="1:44" x14ac:dyDescent="0.2">
      <c r="B141" s="161" t="s">
        <v>222</v>
      </c>
      <c r="C141" s="152" t="s">
        <v>183</v>
      </c>
      <c r="D141" s="152"/>
      <c r="E141" s="200">
        <f t="shared" ref="E141:AR141" si="26">E131+E136+E139</f>
        <v>-214501130.21507579</v>
      </c>
      <c r="F141" s="200">
        <f t="shared" si="26"/>
        <v>-217121398.48762178</v>
      </c>
      <c r="G141" s="200">
        <f t="shared" si="26"/>
        <v>-219826125.70660123</v>
      </c>
      <c r="H141" s="200">
        <f t="shared" si="26"/>
        <v>-222618443.46208674</v>
      </c>
      <c r="I141" s="200">
        <f t="shared" si="26"/>
        <v>-225501610.88445431</v>
      </c>
      <c r="J141" s="200">
        <f t="shared" si="26"/>
        <v>-228479020.11607122</v>
      </c>
      <c r="K141" s="200">
        <f t="shared" si="26"/>
        <v>-231554202.02385867</v>
      </c>
      <c r="L141" s="200">
        <f t="shared" si="26"/>
        <v>-234730832.16345909</v>
      </c>
      <c r="M141" s="200">
        <f t="shared" si="26"/>
        <v>-238012737.00622353</v>
      </c>
      <c r="N141" s="200">
        <f t="shared" si="26"/>
        <v>-241403900.44073188</v>
      </c>
      <c r="O141" s="200">
        <f t="shared" si="26"/>
        <v>-244908470.56108904</v>
      </c>
      <c r="P141" s="200">
        <f t="shared" si="26"/>
        <v>-248530766.75478417</v>
      </c>
      <c r="Q141" s="200">
        <f t="shared" si="26"/>
        <v>-252275287.10347584</v>
      </c>
      <c r="R141" s="200">
        <f t="shared" si="26"/>
        <v>-256146716.11066455</v>
      </c>
      <c r="S141" s="200">
        <f t="shared" si="26"/>
        <v>-260149932.77083874</v>
      </c>
      <c r="T141" s="200">
        <f t="shared" si="26"/>
        <v>27622478.487879485</v>
      </c>
      <c r="U141" s="200">
        <f t="shared" si="26"/>
        <v>171518243.23090488</v>
      </c>
      <c r="V141" s="200">
        <f t="shared" si="26"/>
        <v>174159033.73421219</v>
      </c>
      <c r="W141" s="200">
        <f t="shared" si="26"/>
        <v>176852640.04758567</v>
      </c>
      <c r="X141" s="200">
        <f t="shared" si="26"/>
        <v>179600118.48722655</v>
      </c>
      <c r="Y141" s="200">
        <f t="shared" si="26"/>
        <v>142923828.43012118</v>
      </c>
      <c r="Z141" s="200">
        <f t="shared" si="26"/>
        <v>145782304.9987236</v>
      </c>
      <c r="AA141" s="200">
        <f t="shared" si="26"/>
        <v>148697951.09869808</v>
      </c>
      <c r="AB141" s="200">
        <f t="shared" si="26"/>
        <v>151671910.12067205</v>
      </c>
      <c r="AC141" s="200">
        <f t="shared" si="26"/>
        <v>154705348.32308549</v>
      </c>
      <c r="AD141" s="200">
        <f t="shared" si="26"/>
        <v>157799455.28954723</v>
      </c>
      <c r="AE141" s="200">
        <f t="shared" si="26"/>
        <v>160955444.39533818</v>
      </c>
      <c r="AF141" s="200">
        <f t="shared" si="26"/>
        <v>164174553.28324488</v>
      </c>
      <c r="AG141" s="200">
        <f t="shared" si="26"/>
        <v>167458044.34890983</v>
      </c>
      <c r="AH141" s="200">
        <f t="shared" si="26"/>
        <v>170807205.235888</v>
      </c>
      <c r="AI141" s="200">
        <f t="shared" si="26"/>
        <v>174223349.34060574</v>
      </c>
      <c r="AJ141" s="200">
        <f t="shared" si="26"/>
        <v>177707816.32741788</v>
      </c>
      <c r="AK141" s="200">
        <f t="shared" si="26"/>
        <v>181261972.65396625</v>
      </c>
      <c r="AL141" s="200">
        <f t="shared" si="26"/>
        <v>184887212.10704556</v>
      </c>
      <c r="AM141" s="200">
        <f t="shared" si="26"/>
        <v>188584956.34918648</v>
      </c>
      <c r="AN141" s="200">
        <f t="shared" si="26"/>
        <v>0</v>
      </c>
      <c r="AO141" s="200">
        <f t="shared" si="26"/>
        <v>0</v>
      </c>
      <c r="AP141" s="200">
        <f t="shared" si="26"/>
        <v>0</v>
      </c>
      <c r="AQ141" s="200">
        <f t="shared" si="26"/>
        <v>0</v>
      </c>
      <c r="AR141" s="201">
        <f t="shared" si="26"/>
        <v>0</v>
      </c>
    </row>
    <row r="142" spans="1:44" x14ac:dyDescent="0.2">
      <c r="B142" s="50" t="s">
        <v>223</v>
      </c>
      <c r="C142" s="145" t="s">
        <v>183</v>
      </c>
      <c r="D142" s="153">
        <f>-SUM(C156:C157)</f>
        <v>-3060365741.5146589</v>
      </c>
      <c r="E142" s="194">
        <f t="shared" ref="E142:AR142" si="27">E131+E139</f>
        <v>-779398.9027697444</v>
      </c>
      <c r="F142" s="194">
        <f t="shared" si="27"/>
        <v>-3399667.1753158271</v>
      </c>
      <c r="G142" s="194">
        <f t="shared" si="27"/>
        <v>-6104394.3942951858</v>
      </c>
      <c r="H142" s="194">
        <f t="shared" si="27"/>
        <v>-8896712.1497807354</v>
      </c>
      <c r="I142" s="194">
        <f t="shared" si="27"/>
        <v>-11779879.572148293</v>
      </c>
      <c r="J142" s="194">
        <f t="shared" si="27"/>
        <v>-14757288.803765208</v>
      </c>
      <c r="K142" s="194">
        <f t="shared" si="27"/>
        <v>-17832470.71155259</v>
      </c>
      <c r="L142" s="194">
        <f t="shared" si="27"/>
        <v>-21009100.851153061</v>
      </c>
      <c r="M142" s="194">
        <f t="shared" si="27"/>
        <v>-24291005.693917483</v>
      </c>
      <c r="N142" s="194">
        <f t="shared" si="27"/>
        <v>-27682169.128425866</v>
      </c>
      <c r="O142" s="194">
        <f t="shared" si="27"/>
        <v>-31186739.248783022</v>
      </c>
      <c r="P142" s="194">
        <f t="shared" si="27"/>
        <v>-34809035.442478105</v>
      </c>
      <c r="Q142" s="194">
        <f t="shared" si="27"/>
        <v>-38553555.791169792</v>
      </c>
      <c r="R142" s="194">
        <f t="shared" si="27"/>
        <v>-42424984.7983585</v>
      </c>
      <c r="S142" s="194">
        <f t="shared" si="27"/>
        <v>-46428201.458532721</v>
      </c>
      <c r="T142" s="194">
        <f t="shared" si="27"/>
        <v>27622478.487879485</v>
      </c>
      <c r="U142" s="194">
        <f t="shared" si="27"/>
        <v>171518243.23090488</v>
      </c>
      <c r="V142" s="194">
        <f t="shared" si="27"/>
        <v>174159033.73421219</v>
      </c>
      <c r="W142" s="194">
        <f t="shared" si="27"/>
        <v>176852640.04758567</v>
      </c>
      <c r="X142" s="194">
        <f t="shared" si="27"/>
        <v>179600118.48722655</v>
      </c>
      <c r="Y142" s="194">
        <f t="shared" si="27"/>
        <v>142923828.43012118</v>
      </c>
      <c r="Z142" s="194">
        <f t="shared" si="27"/>
        <v>145782304.9987236</v>
      </c>
      <c r="AA142" s="194">
        <f t="shared" si="27"/>
        <v>148697951.09869808</v>
      </c>
      <c r="AB142" s="194">
        <f t="shared" si="27"/>
        <v>151671910.12067205</v>
      </c>
      <c r="AC142" s="194">
        <f t="shared" si="27"/>
        <v>154705348.32308549</v>
      </c>
      <c r="AD142" s="194">
        <f t="shared" si="27"/>
        <v>157799455.28954723</v>
      </c>
      <c r="AE142" s="194">
        <f t="shared" si="27"/>
        <v>160955444.39533818</v>
      </c>
      <c r="AF142" s="194">
        <f t="shared" si="27"/>
        <v>164174553.28324488</v>
      </c>
      <c r="AG142" s="194">
        <f t="shared" si="27"/>
        <v>167458044.34890983</v>
      </c>
      <c r="AH142" s="194">
        <f t="shared" si="27"/>
        <v>170807205.235888</v>
      </c>
      <c r="AI142" s="194">
        <f t="shared" si="27"/>
        <v>174223349.34060574</v>
      </c>
      <c r="AJ142" s="194">
        <f t="shared" si="27"/>
        <v>177707816.32741788</v>
      </c>
      <c r="AK142" s="194">
        <f t="shared" si="27"/>
        <v>181261972.65396625</v>
      </c>
      <c r="AL142" s="194">
        <f t="shared" si="27"/>
        <v>184887212.10704556</v>
      </c>
      <c r="AM142" s="194">
        <f t="shared" si="27"/>
        <v>188584956.34918648</v>
      </c>
      <c r="AN142" s="194">
        <f t="shared" si="27"/>
        <v>0</v>
      </c>
      <c r="AO142" s="194">
        <f t="shared" si="27"/>
        <v>0</v>
      </c>
      <c r="AP142" s="194">
        <f t="shared" si="27"/>
        <v>0</v>
      </c>
      <c r="AQ142" s="194">
        <f t="shared" si="27"/>
        <v>0</v>
      </c>
      <c r="AR142" s="195">
        <f t="shared" si="27"/>
        <v>0</v>
      </c>
    </row>
    <row r="143" spans="1:44" x14ac:dyDescent="0.2">
      <c r="B143" s="50" t="s">
        <v>224</v>
      </c>
      <c r="C143" s="145" t="s">
        <v>183</v>
      </c>
      <c r="D143" s="153">
        <f>-C157</f>
        <v>-765091435.37866473</v>
      </c>
      <c r="E143" s="194">
        <f t="shared" ref="E143:AR143" si="28">E141</f>
        <v>-214501130.21507579</v>
      </c>
      <c r="F143" s="194">
        <f t="shared" si="28"/>
        <v>-217121398.48762178</v>
      </c>
      <c r="G143" s="194">
        <f t="shared" si="28"/>
        <v>-219826125.70660123</v>
      </c>
      <c r="H143" s="194">
        <f t="shared" si="28"/>
        <v>-222618443.46208674</v>
      </c>
      <c r="I143" s="194">
        <f t="shared" si="28"/>
        <v>-225501610.88445431</v>
      </c>
      <c r="J143" s="194">
        <f t="shared" si="28"/>
        <v>-228479020.11607122</v>
      </c>
      <c r="K143" s="194">
        <f t="shared" si="28"/>
        <v>-231554202.02385867</v>
      </c>
      <c r="L143" s="194">
        <f t="shared" si="28"/>
        <v>-234730832.16345909</v>
      </c>
      <c r="M143" s="194">
        <f t="shared" si="28"/>
        <v>-238012737.00622353</v>
      </c>
      <c r="N143" s="194">
        <f t="shared" si="28"/>
        <v>-241403900.44073188</v>
      </c>
      <c r="O143" s="194">
        <f t="shared" si="28"/>
        <v>-244908470.56108904</v>
      </c>
      <c r="P143" s="194">
        <f t="shared" si="28"/>
        <v>-248530766.75478417</v>
      </c>
      <c r="Q143" s="194">
        <f t="shared" si="28"/>
        <v>-252275287.10347584</v>
      </c>
      <c r="R143" s="194">
        <f t="shared" si="28"/>
        <v>-256146716.11066455</v>
      </c>
      <c r="S143" s="194">
        <f t="shared" si="28"/>
        <v>-260149932.77083874</v>
      </c>
      <c r="T143" s="194">
        <f t="shared" si="28"/>
        <v>27622478.487879485</v>
      </c>
      <c r="U143" s="194">
        <f t="shared" si="28"/>
        <v>171518243.23090488</v>
      </c>
      <c r="V143" s="194">
        <f t="shared" si="28"/>
        <v>174159033.73421219</v>
      </c>
      <c r="W143" s="194">
        <f t="shared" si="28"/>
        <v>176852640.04758567</v>
      </c>
      <c r="X143" s="194">
        <f t="shared" si="28"/>
        <v>179600118.48722655</v>
      </c>
      <c r="Y143" s="194">
        <f t="shared" si="28"/>
        <v>142923828.43012118</v>
      </c>
      <c r="Z143" s="194">
        <f t="shared" si="28"/>
        <v>145782304.9987236</v>
      </c>
      <c r="AA143" s="194">
        <f t="shared" si="28"/>
        <v>148697951.09869808</v>
      </c>
      <c r="AB143" s="194">
        <f t="shared" si="28"/>
        <v>151671910.12067205</v>
      </c>
      <c r="AC143" s="194">
        <f t="shared" si="28"/>
        <v>154705348.32308549</v>
      </c>
      <c r="AD143" s="194">
        <f t="shared" si="28"/>
        <v>157799455.28954723</v>
      </c>
      <c r="AE143" s="194">
        <f t="shared" si="28"/>
        <v>160955444.39533818</v>
      </c>
      <c r="AF143" s="194">
        <f t="shared" si="28"/>
        <v>164174553.28324488</v>
      </c>
      <c r="AG143" s="194">
        <f t="shared" si="28"/>
        <v>167458044.34890983</v>
      </c>
      <c r="AH143" s="194">
        <f t="shared" si="28"/>
        <v>170807205.235888</v>
      </c>
      <c r="AI143" s="194">
        <f t="shared" si="28"/>
        <v>174223349.34060574</v>
      </c>
      <c r="AJ143" s="194">
        <f t="shared" si="28"/>
        <v>177707816.32741788</v>
      </c>
      <c r="AK143" s="194">
        <f t="shared" si="28"/>
        <v>181261972.65396625</v>
      </c>
      <c r="AL143" s="194">
        <f t="shared" si="28"/>
        <v>184887212.10704556</v>
      </c>
      <c r="AM143" s="194">
        <f t="shared" si="28"/>
        <v>188584956.34918648</v>
      </c>
      <c r="AN143" s="194">
        <f t="shared" si="28"/>
        <v>0</v>
      </c>
      <c r="AO143" s="194">
        <f t="shared" si="28"/>
        <v>0</v>
      </c>
      <c r="AP143" s="194">
        <f t="shared" si="28"/>
        <v>0</v>
      </c>
      <c r="AQ143" s="194">
        <f t="shared" si="28"/>
        <v>0</v>
      </c>
      <c r="AR143" s="195">
        <f t="shared" si="28"/>
        <v>0</v>
      </c>
    </row>
    <row r="144" spans="1:44" x14ac:dyDescent="0.2">
      <c r="B144" s="50" t="s">
        <v>225</v>
      </c>
      <c r="C144" s="150" t="str">
        <f>$C$7</f>
        <v>kWh</v>
      </c>
      <c r="D144" s="145"/>
      <c r="E144" s="194">
        <f t="shared" ref="E144:AR144" si="29">IF(E111&gt;$C$76,0,E117)</f>
        <v>3755720000</v>
      </c>
      <c r="F144" s="194">
        <f t="shared" si="29"/>
        <v>3755720000</v>
      </c>
      <c r="G144" s="194">
        <f t="shared" si="29"/>
        <v>3755720000</v>
      </c>
      <c r="H144" s="194">
        <f t="shared" si="29"/>
        <v>3755720000</v>
      </c>
      <c r="I144" s="194">
        <f t="shared" si="29"/>
        <v>3755720000</v>
      </c>
      <c r="J144" s="194">
        <f t="shared" si="29"/>
        <v>3755720000</v>
      </c>
      <c r="K144" s="194">
        <f t="shared" si="29"/>
        <v>3755720000</v>
      </c>
      <c r="L144" s="194">
        <f t="shared" si="29"/>
        <v>3755720000</v>
      </c>
      <c r="M144" s="194">
        <f t="shared" si="29"/>
        <v>3755720000</v>
      </c>
      <c r="N144" s="194">
        <f t="shared" si="29"/>
        <v>3755720000</v>
      </c>
      <c r="O144" s="194">
        <f t="shared" si="29"/>
        <v>3755720000</v>
      </c>
      <c r="P144" s="194">
        <f t="shared" si="29"/>
        <v>3755720000</v>
      </c>
      <c r="Q144" s="194">
        <f t="shared" si="29"/>
        <v>3755720000</v>
      </c>
      <c r="R144" s="194">
        <f t="shared" si="29"/>
        <v>3755720000</v>
      </c>
      <c r="S144" s="194">
        <f t="shared" si="29"/>
        <v>3755720000</v>
      </c>
      <c r="T144" s="194">
        <f t="shared" si="29"/>
        <v>0</v>
      </c>
      <c r="U144" s="194">
        <f t="shared" si="29"/>
        <v>0</v>
      </c>
      <c r="V144" s="194">
        <f t="shared" si="29"/>
        <v>0</v>
      </c>
      <c r="W144" s="194">
        <f t="shared" si="29"/>
        <v>0</v>
      </c>
      <c r="X144" s="194">
        <f t="shared" si="29"/>
        <v>0</v>
      </c>
      <c r="Y144" s="194">
        <f t="shared" si="29"/>
        <v>0</v>
      </c>
      <c r="Z144" s="194">
        <f t="shared" si="29"/>
        <v>0</v>
      </c>
      <c r="AA144" s="194">
        <f t="shared" si="29"/>
        <v>0</v>
      </c>
      <c r="AB144" s="194">
        <f t="shared" si="29"/>
        <v>0</v>
      </c>
      <c r="AC144" s="194">
        <f t="shared" si="29"/>
        <v>0</v>
      </c>
      <c r="AD144" s="194">
        <f t="shared" si="29"/>
        <v>0</v>
      </c>
      <c r="AE144" s="194">
        <f t="shared" si="29"/>
        <v>0</v>
      </c>
      <c r="AF144" s="194">
        <f t="shared" si="29"/>
        <v>0</v>
      </c>
      <c r="AG144" s="194">
        <f t="shared" si="29"/>
        <v>0</v>
      </c>
      <c r="AH144" s="194">
        <f t="shared" si="29"/>
        <v>0</v>
      </c>
      <c r="AI144" s="194">
        <f t="shared" si="29"/>
        <v>0</v>
      </c>
      <c r="AJ144" s="194">
        <f t="shared" si="29"/>
        <v>0</v>
      </c>
      <c r="AK144" s="194">
        <f t="shared" si="29"/>
        <v>0</v>
      </c>
      <c r="AL144" s="194">
        <f t="shared" si="29"/>
        <v>0</v>
      </c>
      <c r="AM144" s="194">
        <f t="shared" si="29"/>
        <v>0</v>
      </c>
      <c r="AN144" s="194">
        <f t="shared" si="29"/>
        <v>0</v>
      </c>
      <c r="AO144" s="194">
        <f t="shared" si="29"/>
        <v>0</v>
      </c>
      <c r="AP144" s="194">
        <f t="shared" si="29"/>
        <v>0</v>
      </c>
      <c r="AQ144" s="194">
        <f t="shared" si="29"/>
        <v>0</v>
      </c>
      <c r="AR144" s="195">
        <f t="shared" si="29"/>
        <v>0</v>
      </c>
    </row>
    <row r="145" spans="1:44" x14ac:dyDescent="0.2">
      <c r="B145" s="162" t="s">
        <v>226</v>
      </c>
      <c r="C145" s="145" t="s">
        <v>183</v>
      </c>
      <c r="D145" s="202">
        <f>-D112</f>
        <v>3060365741.5146589</v>
      </c>
      <c r="E145" s="202">
        <f t="shared" ref="E145:AR145" si="30">IF(E111&lt;=$C76,D145-($C$5*E117+E131+E134),D145-(E131+E134))</f>
        <v>2862477211.7793875</v>
      </c>
      <c r="F145" s="202">
        <f t="shared" si="30"/>
        <v>2661422537.6147599</v>
      </c>
      <c r="G145" s="202">
        <f t="shared" si="30"/>
        <v>2457014157.4462109</v>
      </c>
      <c r="H145" s="202">
        <f t="shared" si="30"/>
        <v>2249055167.7268143</v>
      </c>
      <c r="I145" s="202">
        <f t="shared" si="30"/>
        <v>2037338884.5144982</v>
      </c>
      <c r="J145" s="202">
        <f t="shared" si="30"/>
        <v>1821648384.9595516</v>
      </c>
      <c r="K145" s="202">
        <f t="shared" si="30"/>
        <v>1601756027.7911754</v>
      </c>
      <c r="L145" s="202">
        <f t="shared" si="30"/>
        <v>1377422951.850677</v>
      </c>
      <c r="M145" s="202">
        <f t="shared" si="30"/>
        <v>1148398551.6759014</v>
      </c>
      <c r="N145" s="202">
        <f t="shared" si="30"/>
        <v>914419929.09654808</v>
      </c>
      <c r="O145" s="202">
        <f t="shared" si="30"/>
        <v>675211319.75305784</v>
      </c>
      <c r="P145" s="202">
        <f t="shared" si="30"/>
        <v>430483493.40266418</v>
      </c>
      <c r="Q145" s="202">
        <f t="shared" si="30"/>
        <v>179933126.82490867</v>
      </c>
      <c r="R145" s="202">
        <f t="shared" si="30"/>
        <v>-76757851.914690793</v>
      </c>
      <c r="S145" s="202">
        <f t="shared" si="30"/>
        <v>-339922949.14015305</v>
      </c>
      <c r="T145" s="202">
        <f t="shared" si="30"/>
        <v>-323944189.60152823</v>
      </c>
      <c r="U145" s="202">
        <f t="shared" si="30"/>
        <v>-501895032.14245248</v>
      </c>
      <c r="V145" s="202">
        <f t="shared" si="30"/>
        <v>-683404891.53419518</v>
      </c>
      <c r="W145" s="202">
        <f t="shared" si="30"/>
        <v>-868544948.11377275</v>
      </c>
      <c r="X145" s="202">
        <f t="shared" si="30"/>
        <v>-1057387805.8249419</v>
      </c>
      <c r="Y145" s="202">
        <f t="shared" si="30"/>
        <v>-1250007520.6903343</v>
      </c>
      <c r="Z145" s="202">
        <f t="shared" si="30"/>
        <v>-1446479629.8530345</v>
      </c>
      <c r="AA145" s="202">
        <f t="shared" si="30"/>
        <v>-1646881181.1989889</v>
      </c>
      <c r="AB145" s="202">
        <f t="shared" si="30"/>
        <v>-1851290763.5718622</v>
      </c>
      <c r="AC145" s="202">
        <f t="shared" si="30"/>
        <v>-2059788537.5921931</v>
      </c>
      <c r="AD145" s="202">
        <f t="shared" si="30"/>
        <v>-2272456267.0929308</v>
      </c>
      <c r="AE145" s="202">
        <f t="shared" si="30"/>
        <v>-2489377351.1836829</v>
      </c>
      <c r="AF145" s="202">
        <f t="shared" si="30"/>
        <v>-2710636856.9562502</v>
      </c>
      <c r="AG145" s="202">
        <f t="shared" si="30"/>
        <v>-2936321552.8442688</v>
      </c>
      <c r="AH145" s="202">
        <f t="shared" si="30"/>
        <v>-3166519942.6500478</v>
      </c>
      <c r="AI145" s="202">
        <f t="shared" si="30"/>
        <v>-3401322300.2519422</v>
      </c>
      <c r="AJ145" s="202">
        <f t="shared" si="30"/>
        <v>-3640820705.0058746</v>
      </c>
      <c r="AK145" s="202">
        <f t="shared" si="30"/>
        <v>-3885109077.8548856</v>
      </c>
      <c r="AL145" s="202">
        <f t="shared" si="30"/>
        <v>-4134283218.1608768</v>
      </c>
      <c r="AM145" s="202">
        <f t="shared" si="30"/>
        <v>-4388440841.2729883</v>
      </c>
      <c r="AN145" s="202">
        <f t="shared" si="30"/>
        <v>-4388440841.2729883</v>
      </c>
      <c r="AO145" s="202">
        <f t="shared" si="30"/>
        <v>-4388440841.2729883</v>
      </c>
      <c r="AP145" s="202">
        <f t="shared" si="30"/>
        <v>-4388440841.2729883</v>
      </c>
      <c r="AQ145" s="202">
        <f t="shared" si="30"/>
        <v>-4388440841.2729883</v>
      </c>
      <c r="AR145" s="203">
        <f t="shared" si="30"/>
        <v>-4388440841.2729883</v>
      </c>
    </row>
    <row r="146" spans="1:44" ht="12.95" customHeight="1" x14ac:dyDescent="0.2">
      <c r="B146" s="163" t="s">
        <v>227</v>
      </c>
      <c r="C146" s="204"/>
      <c r="D146" s="204"/>
      <c r="E146" s="205">
        <f t="shared" ref="E146:AR146" si="31">IF(E111&gt;$C$74,"",(-$C$94*(E138+$C$5*E117)+E131+$C$5*E117)/-E136)</f>
        <v>1.3550299687683434</v>
      </c>
      <c r="F146" s="205">
        <f t="shared" si="31"/>
        <v>1.3427697823265765</v>
      </c>
      <c r="G146" s="205">
        <f t="shared" si="31"/>
        <v>1.3301144140475918</v>
      </c>
      <c r="H146" s="205">
        <f t="shared" si="31"/>
        <v>1.3170492112797685</v>
      </c>
      <c r="I146" s="205">
        <f t="shared" si="31"/>
        <v>1.3035589246127826</v>
      </c>
      <c r="J146" s="205">
        <f t="shared" si="31"/>
        <v>1.2896276822756798</v>
      </c>
      <c r="K146" s="205">
        <f t="shared" si="31"/>
        <v>1.2752389634079024</v>
      </c>
      <c r="L146" s="205">
        <f t="shared" si="31"/>
        <v>1.2603755701530608</v>
      </c>
      <c r="M146" s="205">
        <f t="shared" si="31"/>
        <v>1.2450195985229757</v>
      </c>
      <c r="N146" s="205">
        <f t="shared" si="31"/>
        <v>1.2291524079771861</v>
      </c>
      <c r="O146" s="205">
        <f t="shared" si="31"/>
        <v>1.2127545896606389</v>
      </c>
      <c r="P146" s="205">
        <f t="shared" si="31"/>
        <v>1.1958059332397251</v>
      </c>
      <c r="Q146" s="205">
        <f t="shared" si="31"/>
        <v>1.1782853922741463</v>
      </c>
      <c r="R146" s="205">
        <f t="shared" si="31"/>
        <v>1.160171048059278</v>
      </c>
      <c r="S146" s="205">
        <f t="shared" si="31"/>
        <v>1.1414400718707856</v>
      </c>
      <c r="T146" s="205" t="str">
        <f t="shared" si="31"/>
        <v/>
      </c>
      <c r="U146" s="205" t="str">
        <f t="shared" si="31"/>
        <v/>
      </c>
      <c r="V146" s="205" t="str">
        <f t="shared" si="31"/>
        <v/>
      </c>
      <c r="W146" s="205" t="str">
        <f t="shared" si="31"/>
        <v/>
      </c>
      <c r="X146" s="205" t="str">
        <f t="shared" si="31"/>
        <v/>
      </c>
      <c r="Y146" s="205" t="str">
        <f t="shared" si="31"/>
        <v/>
      </c>
      <c r="Z146" s="205" t="str">
        <f t="shared" si="31"/>
        <v/>
      </c>
      <c r="AA146" s="205" t="str">
        <f t="shared" si="31"/>
        <v/>
      </c>
      <c r="AB146" s="205" t="str">
        <f t="shared" si="31"/>
        <v/>
      </c>
      <c r="AC146" s="205" t="str">
        <f t="shared" si="31"/>
        <v/>
      </c>
      <c r="AD146" s="205" t="str">
        <f t="shared" si="31"/>
        <v/>
      </c>
      <c r="AE146" s="205" t="str">
        <f t="shared" si="31"/>
        <v/>
      </c>
      <c r="AF146" s="205" t="str">
        <f t="shared" si="31"/>
        <v/>
      </c>
      <c r="AG146" s="205" t="str">
        <f t="shared" si="31"/>
        <v/>
      </c>
      <c r="AH146" s="205" t="str">
        <f t="shared" si="31"/>
        <v/>
      </c>
      <c r="AI146" s="205" t="str">
        <f t="shared" si="31"/>
        <v/>
      </c>
      <c r="AJ146" s="205" t="str">
        <f t="shared" si="31"/>
        <v/>
      </c>
      <c r="AK146" s="205" t="str">
        <f t="shared" si="31"/>
        <v/>
      </c>
      <c r="AL146" s="205" t="str">
        <f t="shared" si="31"/>
        <v/>
      </c>
      <c r="AM146" s="205" t="str">
        <f t="shared" si="31"/>
        <v/>
      </c>
      <c r="AN146" s="205" t="str">
        <f t="shared" si="31"/>
        <v/>
      </c>
      <c r="AO146" s="205" t="str">
        <f t="shared" si="31"/>
        <v/>
      </c>
      <c r="AP146" s="205" t="str">
        <f t="shared" si="31"/>
        <v/>
      </c>
      <c r="AQ146" s="205" t="str">
        <f t="shared" si="31"/>
        <v/>
      </c>
      <c r="AR146" s="206" t="str">
        <f t="shared" si="31"/>
        <v/>
      </c>
    </row>
    <row r="147" spans="1:44" ht="12.95" customHeight="1" x14ac:dyDescent="0.2">
      <c r="A147" s="33"/>
      <c r="B147" s="33"/>
      <c r="C147" s="33"/>
      <c r="D147" s="244"/>
      <c r="E147" s="207"/>
      <c r="F147" s="207"/>
      <c r="G147" s="207"/>
      <c r="H147" s="207"/>
      <c r="I147" s="207"/>
      <c r="J147" s="207"/>
      <c r="K147" s="207"/>
      <c r="L147" s="207"/>
      <c r="M147" s="207"/>
      <c r="N147" s="207"/>
      <c r="O147" s="207"/>
      <c r="P147" s="207"/>
      <c r="Q147" s="207"/>
      <c r="R147" s="207"/>
      <c r="S147" s="207"/>
      <c r="T147" s="207"/>
      <c r="U147" s="207"/>
      <c r="V147" s="207"/>
      <c r="W147" s="207"/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</row>
    <row r="148" spans="1:44" ht="12.95" customHeight="1" x14ac:dyDescent="0.2">
      <c r="B148" s="64" t="s">
        <v>228</v>
      </c>
      <c r="C148" s="57" t="s">
        <v>37</v>
      </c>
      <c r="D148" s="136" t="s">
        <v>114</v>
      </c>
      <c r="E148" s="34"/>
      <c r="F148" s="34"/>
      <c r="G148" s="34"/>
      <c r="H148" s="34"/>
      <c r="I148" s="34"/>
      <c r="J148" s="34"/>
      <c r="K148" s="34"/>
      <c r="L148" s="34"/>
      <c r="M148" s="34"/>
    </row>
    <row r="149" spans="1:44" x14ac:dyDescent="0.2">
      <c r="B149" s="50" t="s">
        <v>229</v>
      </c>
      <c r="C149" s="226">
        <f>NPV($C$91,E141:AR141)</f>
        <v>-1443931048.5488365</v>
      </c>
      <c r="D149" s="219" t="s">
        <v>230</v>
      </c>
    </row>
    <row r="150" spans="1:44" x14ac:dyDescent="0.2">
      <c r="B150" s="50" t="s">
        <v>231</v>
      </c>
      <c r="C150" s="227">
        <f>(1-$C$94)*NPV($C$91,E144:AR144)</f>
        <v>21196198253.186859</v>
      </c>
      <c r="D150" s="219" t="str">
        <f>$C$7</f>
        <v>kWh</v>
      </c>
      <c r="F150" s="208"/>
    </row>
    <row r="151" spans="1:44" x14ac:dyDescent="0.2">
      <c r="B151" s="50" t="s">
        <v>232</v>
      </c>
      <c r="C151" s="227">
        <f>$C$41*1000000</f>
        <v>3060365741.5146589</v>
      </c>
      <c r="D151" s="219" t="s">
        <v>183</v>
      </c>
      <c r="F151" s="209"/>
    </row>
    <row r="152" spans="1:44" x14ac:dyDescent="0.2">
      <c r="B152" s="50" t="s">
        <v>233</v>
      </c>
      <c r="C152" s="228">
        <f>AVERAGE(E146:AR146)</f>
        <v>1.2557595705650964</v>
      </c>
      <c r="D152" s="219"/>
      <c r="F152" s="209"/>
    </row>
    <row r="153" spans="1:44" x14ac:dyDescent="0.2">
      <c r="B153" s="50" t="s">
        <v>234</v>
      </c>
      <c r="C153" s="179" t="str">
        <f>CONCATENATE(ROUND(((1-$C$94)*$C$90*$C$92+$C$93*$C$91)*100,1),"% / ",ROUND((((1+(1-$C$94)*$C$90*$C$92+$C$93*$C$91)/(1+$C$89))-1)*100,1),"%")</f>
        <v>5% / 2,9%</v>
      </c>
      <c r="D153" s="219"/>
      <c r="F153" s="208"/>
      <c r="G153" s="35"/>
    </row>
    <row r="154" spans="1:44" x14ac:dyDescent="0.2">
      <c r="B154" s="50" t="s">
        <v>235</v>
      </c>
      <c r="C154" s="179">
        <f>IFERROR(IRR(D142:AR142),"n.v.t.")</f>
        <v>-2.2834772721846974E-3</v>
      </c>
      <c r="D154" s="219"/>
      <c r="F154" s="209"/>
      <c r="G154" s="35"/>
    </row>
    <row r="155" spans="1:44" x14ac:dyDescent="0.2">
      <c r="B155" s="50" t="s">
        <v>236</v>
      </c>
      <c r="C155" s="179">
        <f>IFERROR(IRR(D143:AR143),"n.v.t.")</f>
        <v>-1.5130256446261203E-2</v>
      </c>
      <c r="D155" s="219"/>
      <c r="G155" s="35"/>
    </row>
    <row r="156" spans="1:44" x14ac:dyDescent="0.2">
      <c r="B156" s="50" t="s">
        <v>237</v>
      </c>
      <c r="C156" s="227">
        <f>$C$92*C151-C97</f>
        <v>2295274306.135994</v>
      </c>
      <c r="D156" s="219" t="s">
        <v>183</v>
      </c>
      <c r="F156" s="22"/>
    </row>
    <row r="157" spans="1:44" x14ac:dyDescent="0.2">
      <c r="B157" s="50" t="s">
        <v>238</v>
      </c>
      <c r="C157" s="227">
        <f>$C$93*C151-C98</f>
        <v>765091435.37866473</v>
      </c>
      <c r="D157" s="219" t="s">
        <v>183</v>
      </c>
      <c r="F157" s="22"/>
    </row>
    <row r="158" spans="1:44" x14ac:dyDescent="0.2">
      <c r="B158" s="50" t="s">
        <v>123</v>
      </c>
      <c r="C158" s="179">
        <f>IF(AND(E114&gt;0,E115&gt;0),ROUND(E115/E114,2),0)</f>
        <v>0</v>
      </c>
      <c r="D158" s="219" t="s">
        <v>239</v>
      </c>
      <c r="F158" s="22"/>
    </row>
    <row r="159" spans="1:44" x14ac:dyDescent="0.2">
      <c r="B159" s="50" t="s">
        <v>240</v>
      </c>
      <c r="C159" s="179">
        <f>IF(C158=0,MAX(C29:C30),E117/SUM(C26,C28))</f>
        <v>3755.72</v>
      </c>
      <c r="D159" s="219" t="s">
        <v>147</v>
      </c>
      <c r="F159" s="22"/>
    </row>
    <row r="160" spans="1:44" ht="15" customHeight="1" x14ac:dyDescent="0.25">
      <c r="B160" s="51" t="s">
        <v>241</v>
      </c>
      <c r="C160" s="277" t="str">
        <f>CONCATENATE( "tussen ", INDEX(D111:X111, MATCH(0,D145:AR145, -1)), " en ",  1 + INDEX(D111:X111, MATCH(0,D145:AR145, -1)), " jaar")</f>
        <v>tussen 13 en 14 jaar</v>
      </c>
      <c r="D160" s="270"/>
      <c r="F160" s="210"/>
      <c r="G160" s="190"/>
      <c r="I160" s="190"/>
      <c r="J160" s="190"/>
      <c r="K160" s="190"/>
      <c r="L160" s="190"/>
      <c r="M160" s="190"/>
      <c r="N160" s="190"/>
      <c r="O160" s="190"/>
      <c r="P160" s="190"/>
      <c r="Q160" s="190"/>
      <c r="R160" s="190"/>
      <c r="S160" s="190"/>
      <c r="T160" s="190"/>
      <c r="U160" s="190"/>
      <c r="V160" s="190"/>
      <c r="W160" s="190"/>
      <c r="X160" s="190"/>
      <c r="Y160" s="190"/>
      <c r="Z160" s="190"/>
      <c r="AA160" s="190"/>
      <c r="AB160" s="190"/>
      <c r="AC160" s="190"/>
      <c r="AD160" s="190"/>
      <c r="AE160" s="190"/>
      <c r="AF160" s="190"/>
      <c r="AG160" s="190"/>
      <c r="AH160" s="190"/>
      <c r="AI160" s="190"/>
      <c r="AJ160" s="190"/>
      <c r="AK160" s="190"/>
      <c r="AL160" s="190"/>
      <c r="AM160" s="190"/>
      <c r="AN160" s="190"/>
      <c r="AO160" s="190"/>
      <c r="AP160" s="190"/>
      <c r="AQ160" s="190"/>
      <c r="AR160" s="190"/>
    </row>
    <row r="161" spans="2:44" x14ac:dyDescent="0.2">
      <c r="B161" s="6"/>
      <c r="C161" s="6"/>
      <c r="D161" s="36"/>
      <c r="E161" s="190"/>
      <c r="F161" s="210"/>
      <c r="G161" s="190"/>
      <c r="H161" s="190"/>
      <c r="I161" s="190"/>
      <c r="J161" s="190"/>
      <c r="K161" s="190"/>
      <c r="L161" s="190"/>
      <c r="M161" s="190"/>
      <c r="N161" s="190"/>
      <c r="O161" s="190"/>
      <c r="P161" s="190"/>
      <c r="Q161" s="190"/>
      <c r="R161" s="190"/>
      <c r="S161" s="190"/>
      <c r="T161" s="190"/>
      <c r="U161" s="190"/>
      <c r="V161" s="190"/>
      <c r="W161" s="190"/>
      <c r="X161" s="190"/>
      <c r="Y161" s="190"/>
      <c r="Z161" s="190"/>
      <c r="AA161" s="190"/>
      <c r="AB161" s="190"/>
      <c r="AC161" s="190"/>
      <c r="AD161" s="190"/>
      <c r="AE161" s="190"/>
      <c r="AF161" s="190"/>
      <c r="AG161" s="190"/>
      <c r="AH161" s="190"/>
      <c r="AI161" s="190"/>
      <c r="AJ161" s="190"/>
      <c r="AK161" s="190"/>
      <c r="AL161" s="190"/>
      <c r="AM161" s="190"/>
      <c r="AN161" s="190"/>
      <c r="AO161" s="190"/>
      <c r="AP161" s="190"/>
      <c r="AQ161" s="190"/>
      <c r="AR161" s="190"/>
    </row>
    <row r="162" spans="2:44" x14ac:dyDescent="0.2">
      <c r="B162" s="70" t="s">
        <v>242</v>
      </c>
      <c r="C162" s="57" t="s">
        <v>37</v>
      </c>
      <c r="D162" s="136" t="s">
        <v>114</v>
      </c>
      <c r="E162" s="190"/>
      <c r="F162" s="210"/>
      <c r="G162" s="190"/>
      <c r="H162" s="190"/>
      <c r="I162" s="190"/>
      <c r="J162" s="190"/>
      <c r="K162" s="190"/>
      <c r="L162" s="190"/>
      <c r="M162" s="190"/>
      <c r="N162" s="190"/>
      <c r="O162" s="190"/>
      <c r="P162" s="190"/>
      <c r="Q162" s="190"/>
      <c r="R162" s="190"/>
      <c r="S162" s="190"/>
      <c r="T162" s="190"/>
      <c r="U162" s="190"/>
      <c r="V162" s="190"/>
      <c r="W162" s="190"/>
      <c r="X162" s="190"/>
      <c r="Y162" s="190"/>
      <c r="Z162" s="190"/>
      <c r="AA162" s="190"/>
      <c r="AB162" s="190"/>
      <c r="AC162" s="190"/>
      <c r="AD162" s="190"/>
      <c r="AE162" s="190"/>
      <c r="AF162" s="190"/>
      <c r="AG162" s="190"/>
      <c r="AH162" s="190"/>
      <c r="AI162" s="190"/>
      <c r="AJ162" s="190"/>
      <c r="AK162" s="190"/>
      <c r="AL162" s="190"/>
      <c r="AM162" s="190"/>
      <c r="AN162" s="190"/>
      <c r="AO162" s="190"/>
      <c r="AP162" s="190"/>
      <c r="AQ162" s="190"/>
      <c r="AR162" s="190"/>
    </row>
    <row r="163" spans="2:44" ht="14.85" customHeight="1" x14ac:dyDescent="0.2">
      <c r="B163" s="50" t="s">
        <v>29</v>
      </c>
      <c r="C163" s="222">
        <f>IF(C15&gt;0,ROUND(INDEX(Correcties!$A$1:$I$3,MATCH(C15,Correcties!$A$1:$A$3,0),8),4),_xlfn.XLOOKUP($C12,Correcties!$A$3:$A$3,Correcties!$H$3:$H$3,"n.v.t"))</f>
        <v>3.7693825023999997E-2</v>
      </c>
      <c r="D163" s="219" t="str">
        <f t="shared" ref="D163:D169" si="32">CONCATENATE("Euro/",$C$7)</f>
        <v>Euro/kWh</v>
      </c>
    </row>
    <row r="164" spans="2:44" s="6" customFormat="1" x14ac:dyDescent="0.2">
      <c r="B164" s="224" t="s">
        <v>33</v>
      </c>
      <c r="C164" s="211">
        <f>IF(C15&gt;0,IFERROR(_xlfn.XLOOKUP(C15,Correcties!A3:A3,Correcties!F3:F3),"n.v.t."),_xlfn.XLOOKUP($C12,Correcties!$A$3:$A$3,Correcties!$F$3:$F$3,"n.v.t."))</f>
        <v>5.6540737536000002E-2</v>
      </c>
      <c r="D164" s="229" t="str">
        <f t="shared" si="32"/>
        <v>Euro/kWh</v>
      </c>
    </row>
    <row r="165" spans="2:44" s="6" customFormat="1" x14ac:dyDescent="0.2">
      <c r="B165" s="50" t="str">
        <f>"Voorlopig correctiebedrag "&amp;Colofon!$C$29</f>
        <v>Voorlopig correctiebedrag 2026</v>
      </c>
      <c r="C165" s="225">
        <f>IF(C15&gt;0,IFERROR(ROUND(INDEX(Correcties!$A$1:$I$3,MATCH(C15,Correcties!$A$1:$A$3,0),4),4),"n.v.t."),_xlfn.XLOOKUP($C12,Correcties!$A$3:$A$3,Correcties!$D$3:$D$3,"n.v.t."))</f>
        <v>7.425000000000001E-2</v>
      </c>
      <c r="D165" s="219" t="str">
        <f t="shared" si="32"/>
        <v>Euro/kWh</v>
      </c>
      <c r="F165" s="190"/>
      <c r="G165" s="190"/>
      <c r="H165" s="190"/>
      <c r="I165" s="190"/>
      <c r="J165" s="190"/>
      <c r="K165" s="190"/>
      <c r="L165" s="190"/>
      <c r="M165" s="190"/>
      <c r="N165" s="190"/>
      <c r="O165" s="190"/>
      <c r="P165" s="190"/>
      <c r="Q165" s="190"/>
      <c r="R165" s="190"/>
      <c r="S165" s="190"/>
      <c r="T165" s="190"/>
      <c r="U165" s="190"/>
      <c r="V165" s="190"/>
      <c r="W165" s="190"/>
      <c r="X165" s="190"/>
      <c r="Y165" s="190"/>
      <c r="Z165" s="190"/>
      <c r="AA165" s="190"/>
      <c r="AB165" s="190"/>
      <c r="AC165" s="190"/>
      <c r="AD165" s="190"/>
      <c r="AE165" s="190"/>
      <c r="AF165" s="190"/>
      <c r="AG165" s="190"/>
      <c r="AH165" s="190"/>
      <c r="AI165" s="190"/>
      <c r="AJ165" s="190"/>
      <c r="AK165" s="190"/>
      <c r="AL165" s="190"/>
      <c r="AM165" s="190"/>
      <c r="AN165" s="190"/>
      <c r="AO165" s="190"/>
      <c r="AP165" s="190"/>
      <c r="AQ165" s="190"/>
      <c r="AR165" s="190"/>
    </row>
    <row r="166" spans="2:44" s="6" customFormat="1" x14ac:dyDescent="0.2">
      <c r="B166" s="224" t="str">
        <f>"Voorlopige GvO-waarde "&amp;Colofon!$C$29</f>
        <v>Voorlopige GvO-waarde 2026</v>
      </c>
      <c r="C166" s="211">
        <f>IF(C15&gt;0,_xlfn.XLOOKUP(C15,Correcties!A7:A7,Correcties!D7:D7,0), _xlfn.XLOOKUP(C12,Correcties!A7:A7,Correcties!D7:D7,0))</f>
        <v>2E-3</v>
      </c>
      <c r="D166" s="229" t="str">
        <f t="shared" si="32"/>
        <v>Euro/kWh</v>
      </c>
    </row>
    <row r="167" spans="2:44" s="6" customFormat="1" x14ac:dyDescent="0.2">
      <c r="B167" s="50"/>
      <c r="C167" s="222"/>
      <c r="D167" s="219"/>
      <c r="F167" s="37"/>
      <c r="G167" s="37"/>
      <c r="H167" s="37"/>
      <c r="I167" s="37"/>
      <c r="J167" s="37"/>
      <c r="K167" s="37"/>
      <c r="L167" s="37"/>
      <c r="M167" s="37"/>
      <c r="N167" s="37"/>
      <c r="O167" s="37"/>
      <c r="P167" s="37"/>
    </row>
    <row r="168" spans="2:44" s="6" customFormat="1" x14ac:dyDescent="0.2">
      <c r="B168" s="58" t="s">
        <v>30</v>
      </c>
      <c r="C168" s="223">
        <f>_xlfn.XLOOKUP($C$13,Correcties!A14:A14,Correcties!D14:D14,"foutmelding")</f>
        <v>0</v>
      </c>
      <c r="D168" s="230" t="str">
        <f t="shared" si="32"/>
        <v>Euro/kWh</v>
      </c>
      <c r="F168" s="37"/>
      <c r="G168" s="37"/>
      <c r="H168" s="37"/>
      <c r="I168" s="37"/>
      <c r="J168" s="37"/>
      <c r="K168" s="37"/>
      <c r="L168" s="37"/>
      <c r="M168" s="37"/>
      <c r="N168" s="37"/>
      <c r="O168" s="37"/>
      <c r="P168" s="37"/>
    </row>
    <row r="169" spans="2:44" s="6" customFormat="1" ht="13.5" customHeight="1" x14ac:dyDescent="0.2">
      <c r="B169" s="51" t="s">
        <v>243</v>
      </c>
      <c r="C169" s="212">
        <f>IF(C14="Nee",0,_xlfn.XLOOKUP($C$13,Correcties!A14:A14,Correcties!F14:F14,"foutmelding"))</f>
        <v>0</v>
      </c>
      <c r="D169" s="221" t="str">
        <f t="shared" si="32"/>
        <v>Euro/kWh</v>
      </c>
      <c r="F169" s="37"/>
      <c r="G169" s="37"/>
      <c r="H169" s="37"/>
      <c r="I169" s="37"/>
      <c r="J169" s="37"/>
      <c r="K169" s="37"/>
      <c r="L169" s="37"/>
      <c r="M169" s="37"/>
      <c r="N169" s="37"/>
      <c r="O169" s="37"/>
      <c r="P169" s="37"/>
    </row>
    <row r="170" spans="2:44" s="6" customFormat="1" x14ac:dyDescent="0.2">
      <c r="E170" s="37"/>
      <c r="F170" s="37"/>
      <c r="G170" s="37"/>
      <c r="H170" s="37"/>
      <c r="I170" s="37"/>
      <c r="J170" s="37"/>
      <c r="K170" s="37"/>
      <c r="L170" s="37"/>
      <c r="M170" s="37"/>
      <c r="N170" s="37"/>
      <c r="O170" s="37"/>
      <c r="P170" s="37"/>
    </row>
    <row r="171" spans="2:44" s="6" customFormat="1" x14ac:dyDescent="0.2">
      <c r="B171" s="56" t="s">
        <v>244</v>
      </c>
      <c r="C171" s="57" t="s">
        <v>37</v>
      </c>
      <c r="D171" s="136" t="s">
        <v>114</v>
      </c>
    </row>
    <row r="172" spans="2:44" s="6" customFormat="1" x14ac:dyDescent="0.2">
      <c r="B172" s="50" t="s">
        <v>245</v>
      </c>
      <c r="C172" s="220">
        <v>35.799999999999997</v>
      </c>
      <c r="D172" s="219" t="s">
        <v>246</v>
      </c>
    </row>
    <row r="173" spans="2:44" s="6" customFormat="1" x14ac:dyDescent="0.2">
      <c r="B173" s="50" t="s">
        <v>247</v>
      </c>
      <c r="C173" s="220">
        <v>31.65</v>
      </c>
      <c r="D173" s="219" t="s">
        <v>246</v>
      </c>
    </row>
    <row r="174" spans="2:44" s="6" customFormat="1" x14ac:dyDescent="0.2">
      <c r="B174" s="50" t="s">
        <v>248</v>
      </c>
      <c r="C174" s="220">
        <v>35.17</v>
      </c>
      <c r="D174" s="219" t="s">
        <v>246</v>
      </c>
    </row>
    <row r="175" spans="2:44" s="6" customFormat="1" x14ac:dyDescent="0.2">
      <c r="B175" s="51" t="s">
        <v>249</v>
      </c>
      <c r="C175" s="213">
        <v>3.6</v>
      </c>
      <c r="D175" s="221" t="s">
        <v>250</v>
      </c>
    </row>
    <row r="176" spans="2:44" s="6" customFormat="1" x14ac:dyDescent="0.2">
      <c r="E176" s="38"/>
    </row>
    <row r="177" spans="5:8" s="6" customFormat="1" x14ac:dyDescent="0.2"/>
    <row r="178" spans="5:8" x14ac:dyDescent="0.2">
      <c r="E178" s="6"/>
      <c r="F178" s="6"/>
      <c r="H178" s="6"/>
    </row>
    <row r="179" spans="5:8" x14ac:dyDescent="0.2">
      <c r="E179" s="6"/>
      <c r="F179" s="6"/>
      <c r="H179" s="6"/>
    </row>
    <row r="180" spans="5:8" x14ac:dyDescent="0.2">
      <c r="E180" s="6"/>
      <c r="F180" s="6"/>
      <c r="H180" s="6"/>
    </row>
    <row r="181" spans="5:8" x14ac:dyDescent="0.2">
      <c r="H181" s="6"/>
    </row>
    <row r="182" spans="5:8" x14ac:dyDescent="0.2">
      <c r="H182" s="6"/>
    </row>
    <row r="183" spans="5:8" x14ac:dyDescent="0.2">
      <c r="H183" s="6"/>
    </row>
    <row r="184" spans="5:8" x14ac:dyDescent="0.2">
      <c r="H184" s="6"/>
    </row>
    <row r="185" spans="5:8" x14ac:dyDescent="0.2">
      <c r="H185" s="6"/>
    </row>
    <row r="186" spans="5:8" x14ac:dyDescent="0.2">
      <c r="H186" s="6"/>
    </row>
    <row r="187" spans="5:8" x14ac:dyDescent="0.2">
      <c r="H187" s="6"/>
    </row>
    <row r="188" spans="5:8" x14ac:dyDescent="0.2">
      <c r="H188" s="6"/>
    </row>
    <row r="189" spans="5:8" x14ac:dyDescent="0.2">
      <c r="H189" s="6"/>
    </row>
    <row r="190" spans="5:8" x14ac:dyDescent="0.2">
      <c r="H190" s="6"/>
    </row>
  </sheetData>
  <mergeCells count="88">
    <mergeCell ref="E20:M20"/>
    <mergeCell ref="E4:M4"/>
    <mergeCell ref="E5:M5"/>
    <mergeCell ref="E6:M6"/>
    <mergeCell ref="E8:M8"/>
    <mergeCell ref="E11:M11"/>
    <mergeCell ref="E12:M12"/>
    <mergeCell ref="E13:M13"/>
    <mergeCell ref="E15:M15"/>
    <mergeCell ref="E16:M16"/>
    <mergeCell ref="E17:M17"/>
    <mergeCell ref="E18:M18"/>
    <mergeCell ref="E34:M34"/>
    <mergeCell ref="E21:M21"/>
    <mergeCell ref="E22:M22"/>
    <mergeCell ref="E24:M24"/>
    <mergeCell ref="E25:M25"/>
    <mergeCell ref="E26:M26"/>
    <mergeCell ref="E27:M27"/>
    <mergeCell ref="E28:M28"/>
    <mergeCell ref="E29:M29"/>
    <mergeCell ref="E30:M30"/>
    <mergeCell ref="E32:M32"/>
    <mergeCell ref="E33:M33"/>
    <mergeCell ref="E47:M47"/>
    <mergeCell ref="E35:M35"/>
    <mergeCell ref="E36:M36"/>
    <mergeCell ref="E38:M38"/>
    <mergeCell ref="E39:M39"/>
    <mergeCell ref="E40:M40"/>
    <mergeCell ref="E41:M41"/>
    <mergeCell ref="E42:M42"/>
    <mergeCell ref="E43:M43"/>
    <mergeCell ref="E44:M44"/>
    <mergeCell ref="E45:M45"/>
    <mergeCell ref="E46:M46"/>
    <mergeCell ref="E60:M60"/>
    <mergeCell ref="E49:M49"/>
    <mergeCell ref="E51:M51"/>
    <mergeCell ref="E52:M52"/>
    <mergeCell ref="E53:M53"/>
    <mergeCell ref="E54:M54"/>
    <mergeCell ref="E55:M55"/>
    <mergeCell ref="E56:M56"/>
    <mergeCell ref="E57:M57"/>
    <mergeCell ref="E58:M58"/>
    <mergeCell ref="E59:M59"/>
    <mergeCell ref="E74:M74"/>
    <mergeCell ref="E62:M62"/>
    <mergeCell ref="E63:M63"/>
    <mergeCell ref="E64:M64"/>
    <mergeCell ref="E65:M65"/>
    <mergeCell ref="E66:M66"/>
    <mergeCell ref="E67:M67"/>
    <mergeCell ref="E68:M68"/>
    <mergeCell ref="E69:M69"/>
    <mergeCell ref="E70:M70"/>
    <mergeCell ref="E72:M72"/>
    <mergeCell ref="E73:M73"/>
    <mergeCell ref="E88:M88"/>
    <mergeCell ref="E75:M75"/>
    <mergeCell ref="E76:M76"/>
    <mergeCell ref="E77:M77"/>
    <mergeCell ref="E79:M79"/>
    <mergeCell ref="E80:M80"/>
    <mergeCell ref="E81:M81"/>
    <mergeCell ref="E82:M82"/>
    <mergeCell ref="E83:M83"/>
    <mergeCell ref="E84:M84"/>
    <mergeCell ref="E85:M85"/>
    <mergeCell ref="E86:M86"/>
    <mergeCell ref="E102:M102"/>
    <mergeCell ref="E89:M89"/>
    <mergeCell ref="E90:M90"/>
    <mergeCell ref="E91:M91"/>
    <mergeCell ref="E92:M92"/>
    <mergeCell ref="E93:M93"/>
    <mergeCell ref="E94:M94"/>
    <mergeCell ref="E96:M96"/>
    <mergeCell ref="E97:M97"/>
    <mergeCell ref="E98:M98"/>
    <mergeCell ref="E100:M100"/>
    <mergeCell ref="E101:M101"/>
    <mergeCell ref="E103:M103"/>
    <mergeCell ref="B106:C106"/>
    <mergeCell ref="B107:C107"/>
    <mergeCell ref="B110:M110"/>
    <mergeCell ref="C160:D160"/>
  </mergeCells>
  <conditionalFormatting sqref="G1:G3 G19 G109:G113 G148:G159 G163:G164 G166">
    <cfRule type="containsText" dxfId="5" priority="3" operator="containsText" text="Pas op">
      <formula>NOT(ISERROR(SEARCH("Pas op",G1)))</formula>
    </cfRule>
  </conditionalFormatting>
  <conditionalFormatting sqref="G104">
    <cfRule type="containsText" dxfId="4" priority="1" operator="containsText" text="Pas op">
      <formula>NOT(ISERROR(SEARCH("Pas op",G104)))</formula>
    </cfRule>
  </conditionalFormatting>
  <conditionalFormatting sqref="G176:G1048576">
    <cfRule type="containsText" dxfId="3" priority="2" operator="containsText" text="Pas op">
      <formula>NOT(ISERROR(SEARCH("Pas op",G176)))</formula>
    </cfRule>
  </conditionalFormatting>
  <dataValidations count="3">
    <dataValidation type="list" allowBlank="1" showInputMessage="1" showErrorMessage="1" sqref="C14" xr:uid="{AC3C0DFA-7190-42AF-886D-8BA448977572}">
      <formula1>"Nee,Ja,Geen warmte"</formula1>
    </dataValidation>
    <dataValidation type="list" allowBlank="1" showInputMessage="1" showErrorMessage="1" sqref="C7" xr:uid="{7E4F6291-ACF1-4371-B70B-E1CE1C9C1C64}">
      <formula1>"t CO2,kWh"</formula1>
    </dataValidation>
    <dataValidation type="list" allowBlank="1" showInputMessage="1" showErrorMessage="1" sqref="C37353 C102889 C168425 C233961 C299497 C365033 C430569 C496105 C561641 C627177 C692713 C758249 C823785 C889321 C954857" xr:uid="{3E8093F9-C65F-4CE4-BA0E-67078C116DE3}">
      <formula1>"ja,nee"</formula1>
    </dataValidation>
  </dataValidations>
  <pageMargins left="0.7" right="0.7" top="0.75" bottom="0.75" header="0.3" footer="0.3"/>
  <pageSetup paperSize="9" scale="14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757610-8009-46D5-A45D-63167FE94C65}">
  <sheetPr>
    <pageSetUpPr fitToPage="1"/>
  </sheetPr>
  <dimension ref="A1:AR190"/>
  <sheetViews>
    <sheetView showGridLines="0" zoomScaleNormal="100" workbookViewId="0"/>
  </sheetViews>
  <sheetFormatPr defaultColWidth="12.5703125" defaultRowHeight="12.75" x14ac:dyDescent="0.2"/>
  <cols>
    <col min="1" max="1" width="1.42578125" style="244" customWidth="1"/>
    <col min="2" max="2" width="53.42578125" style="244" customWidth="1"/>
    <col min="3" max="3" width="17.5703125" style="17" customWidth="1"/>
    <col min="4" max="4" width="29.42578125" style="17" bestFit="1" customWidth="1"/>
    <col min="5" max="5" width="20.42578125" style="244" customWidth="1"/>
    <col min="6" max="12" width="12.5703125" style="244" customWidth="1"/>
    <col min="13" max="13" width="15.42578125" style="244" customWidth="1"/>
    <col min="14" max="43" width="12.5703125" style="244" customWidth="1"/>
    <col min="44" max="16384" width="12.5703125" style="244"/>
  </cols>
  <sheetData>
    <row r="1" spans="1:44" ht="20.100000000000001" customHeight="1" x14ac:dyDescent="0.3">
      <c r="A1" s="16" t="str">
        <f>CONCATENATE("Berekening basisbedragen: ", Colofon!C16)</f>
        <v>Berekening basisbedragen: Advies TOWOZ 2026</v>
      </c>
    </row>
    <row r="2" spans="1:44" s="18" customFormat="1" ht="20.100000000000001" customHeight="1" x14ac:dyDescent="0.3">
      <c r="A2" s="142" t="s">
        <v>274</v>
      </c>
      <c r="C2" s="19"/>
      <c r="D2" s="19"/>
      <c r="G2" s="20"/>
    </row>
    <row r="4" spans="1:44" ht="15" customHeight="1" x14ac:dyDescent="0.25">
      <c r="B4" s="56" t="s">
        <v>124</v>
      </c>
      <c r="C4" s="57" t="s">
        <v>37</v>
      </c>
      <c r="D4" s="57" t="s">
        <v>114</v>
      </c>
      <c r="E4" s="262" t="s">
        <v>31</v>
      </c>
      <c r="F4" s="263"/>
      <c r="G4" s="263"/>
      <c r="H4" s="263"/>
      <c r="I4" s="263"/>
      <c r="J4" s="263"/>
      <c r="K4" s="263"/>
      <c r="L4" s="263"/>
      <c r="M4" s="255"/>
    </row>
    <row r="5" spans="1:44" ht="12.95" customHeight="1" x14ac:dyDescent="0.25">
      <c r="B5" s="50" t="s">
        <v>28</v>
      </c>
      <c r="C5" s="281">
        <f>ROUND((C157-C149)/C150,4)</f>
        <v>9.9000000000000005E-2</v>
      </c>
      <c r="D5" s="52" t="str">
        <f>CONCATENATE("Euro/",$C$7)</f>
        <v>Euro/kWh</v>
      </c>
      <c r="E5" s="264" t="s">
        <v>125</v>
      </c>
      <c r="F5" s="265"/>
      <c r="G5" s="265"/>
      <c r="H5" s="265"/>
      <c r="I5" s="265"/>
      <c r="J5" s="265"/>
      <c r="K5" s="265"/>
      <c r="L5" s="265"/>
      <c r="M5" s="266"/>
    </row>
    <row r="6" spans="1:44" ht="12.95" customHeight="1" x14ac:dyDescent="0.25">
      <c r="B6" s="50" t="s">
        <v>27</v>
      </c>
      <c r="C6" s="71">
        <f>(ROUND(C5,4)-(ROUND(C164,4)+ROUND(C166,4)+ROUND(C167,4)+ROUND(C169,4)))/ROUND(C70,4)*1000</f>
        <v>192.67364414843007</v>
      </c>
      <c r="D6" s="53" t="s">
        <v>126</v>
      </c>
      <c r="E6" s="264" t="s">
        <v>127</v>
      </c>
      <c r="F6" s="265"/>
      <c r="G6" s="265"/>
      <c r="H6" s="265"/>
      <c r="I6" s="265"/>
      <c r="J6" s="265"/>
      <c r="K6" s="265"/>
      <c r="L6" s="265"/>
      <c r="M6" s="266"/>
    </row>
    <row r="7" spans="1:44" ht="12.95" customHeight="1" x14ac:dyDescent="0.2">
      <c r="B7" s="50" t="s">
        <v>34</v>
      </c>
      <c r="C7" s="79" t="s">
        <v>35</v>
      </c>
      <c r="D7" s="54"/>
      <c r="E7" s="137" t="s">
        <v>128</v>
      </c>
      <c r="F7" s="137"/>
      <c r="G7" s="137"/>
      <c r="H7" s="137"/>
      <c r="I7" s="137"/>
      <c r="J7" s="137"/>
      <c r="K7" s="137"/>
      <c r="L7" s="137"/>
      <c r="M7" s="243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</row>
    <row r="8" spans="1:44" ht="12.95" customHeight="1" x14ac:dyDescent="0.25">
      <c r="B8" s="50" t="s">
        <v>36</v>
      </c>
      <c r="C8" s="72" t="str">
        <f>IF(C7="kWh","kW",IF(C7="t CO2","t CO2/uur","foutmelding"))</f>
        <v>kW</v>
      </c>
      <c r="D8" s="54"/>
      <c r="E8" s="264"/>
      <c r="F8" s="265"/>
      <c r="G8" s="265"/>
      <c r="H8" s="265"/>
      <c r="I8" s="265"/>
      <c r="J8" s="265"/>
      <c r="K8" s="265"/>
      <c r="L8" s="265"/>
      <c r="M8" s="266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/>
      <c r="AO8" s="21"/>
      <c r="AP8" s="21"/>
      <c r="AQ8" s="21"/>
      <c r="AR8" s="21"/>
    </row>
    <row r="9" spans="1:44" ht="12.95" customHeight="1" x14ac:dyDescent="0.2">
      <c r="B9" s="51" t="s">
        <v>18</v>
      </c>
      <c r="C9" s="80" t="s">
        <v>21</v>
      </c>
      <c r="D9" s="55"/>
      <c r="E9" s="138" t="s">
        <v>129</v>
      </c>
      <c r="F9" s="138"/>
      <c r="G9" s="138"/>
      <c r="H9" s="138"/>
      <c r="I9" s="138"/>
      <c r="J9" s="138"/>
      <c r="K9" s="138"/>
      <c r="L9" s="138"/>
      <c r="M9" s="246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</row>
    <row r="10" spans="1:44" s="22" customFormat="1" ht="12.95" customHeight="1" x14ac:dyDescent="0.2">
      <c r="B10" s="21"/>
      <c r="C10" s="21"/>
      <c r="D10" s="21"/>
      <c r="E10" s="23"/>
      <c r="F10" s="23"/>
      <c r="G10" s="23"/>
      <c r="H10" s="23"/>
      <c r="I10" s="23"/>
      <c r="J10" s="23"/>
      <c r="K10" s="23"/>
      <c r="L10" s="23"/>
      <c r="M10" s="23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/>
      <c r="AP10" s="21"/>
      <c r="AQ10" s="21"/>
      <c r="AR10" s="21"/>
    </row>
    <row r="11" spans="1:44" ht="12.95" customHeight="1" x14ac:dyDescent="0.25">
      <c r="B11" s="56" t="s">
        <v>130</v>
      </c>
      <c r="C11" s="57" t="s">
        <v>37</v>
      </c>
      <c r="D11" s="57" t="s">
        <v>131</v>
      </c>
      <c r="E11" s="262" t="s">
        <v>31</v>
      </c>
      <c r="F11" s="263"/>
      <c r="G11" s="263"/>
      <c r="H11" s="263"/>
      <c r="I11" s="263"/>
      <c r="J11" s="263"/>
      <c r="K11" s="263"/>
      <c r="L11" s="263"/>
      <c r="M11" s="255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</row>
    <row r="12" spans="1:44" ht="12.95" customHeight="1" x14ac:dyDescent="0.25">
      <c r="B12" s="58" t="s">
        <v>38</v>
      </c>
      <c r="C12" s="140" t="s">
        <v>253</v>
      </c>
      <c r="D12" s="59" t="str">
        <f>_xlfn.XLOOKUP(C12,Correcties!A3:A3,Correcties!B3:B3,"")</f>
        <v>Elektriciteiit-WOZ (vanaf 2025)</v>
      </c>
      <c r="E12" s="267" t="str">
        <f>IFERROR(INDEX(Correcties!$A$1:$I$244,MATCH('N2'!C12,Correcties!$A$1:$A$244,0),5),"")</f>
        <v>EPEX2 x PF_WOZ</v>
      </c>
      <c r="F12" s="263"/>
      <c r="G12" s="263"/>
      <c r="H12" s="263"/>
      <c r="I12" s="263"/>
      <c r="J12" s="263"/>
      <c r="K12" s="263"/>
      <c r="L12" s="263"/>
      <c r="M12" s="255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</row>
    <row r="13" spans="1:44" ht="12.95" customHeight="1" x14ac:dyDescent="0.25">
      <c r="B13" s="50" t="s">
        <v>39</v>
      </c>
      <c r="C13" s="140">
        <v>0</v>
      </c>
      <c r="D13" s="60" t="str">
        <f>_xlfn.XLOOKUP(C13,Correcties!A14:A14,Correcties!B14:B14)</f>
        <v>Geen ETS-correctie</v>
      </c>
      <c r="E13" s="264">
        <f>_xlfn.XLOOKUP(C13,Correcties!A14:A14,Correcties!E14:E14)</f>
        <v>0</v>
      </c>
      <c r="F13" s="265"/>
      <c r="G13" s="265"/>
      <c r="H13" s="265"/>
      <c r="I13" s="265"/>
      <c r="J13" s="265"/>
      <c r="K13" s="265"/>
      <c r="L13" s="265"/>
      <c r="M13" s="266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</row>
    <row r="14" spans="1:44" ht="12.95" customHeight="1" x14ac:dyDescent="0.2">
      <c r="B14" s="50" t="s">
        <v>132</v>
      </c>
      <c r="C14" s="79" t="s">
        <v>40</v>
      </c>
      <c r="D14" s="60" t="s">
        <v>133</v>
      </c>
      <c r="E14" s="137" t="s">
        <v>134</v>
      </c>
      <c r="F14" s="137"/>
      <c r="G14" s="137"/>
      <c r="H14" s="137"/>
      <c r="I14" s="137"/>
      <c r="J14" s="137"/>
      <c r="K14" s="137"/>
      <c r="L14" s="137"/>
      <c r="M14" s="243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</row>
    <row r="15" spans="1:44" ht="15" customHeight="1" x14ac:dyDescent="0.25">
      <c r="B15" s="50" t="s">
        <v>41</v>
      </c>
      <c r="C15" s="140"/>
      <c r="D15" s="53" t="str">
        <f>_xlfn.XLOOKUP(C15,Correcties!A3:A3,Correcties!B3:B3,"")</f>
        <v/>
      </c>
      <c r="E15" s="264" t="str">
        <f>"Enkel relevant voor zon-pv. "&amp;_xlfn.XLOOKUP(C15,Correcties!A3:A3,Correcties!E3:E3,"")</f>
        <v xml:space="preserve">Enkel relevant voor zon-pv. </v>
      </c>
      <c r="F15" s="265"/>
      <c r="G15" s="265"/>
      <c r="H15" s="265"/>
      <c r="I15" s="265"/>
      <c r="J15" s="265"/>
      <c r="K15" s="265"/>
      <c r="L15" s="265"/>
      <c r="M15" s="266"/>
    </row>
    <row r="16" spans="1:44" ht="15" customHeight="1" x14ac:dyDescent="0.25">
      <c r="B16" s="50" t="s">
        <v>42</v>
      </c>
      <c r="C16" s="140"/>
      <c r="D16" s="53" t="str">
        <f>_xlfn.XLOOKUP(C16,Correcties!A3:A3,Correcties!B3:B3,"")</f>
        <v/>
      </c>
      <c r="E16" s="264" t="str">
        <f>"Enkel relevant voor zon-pv. "&amp;_xlfn.XLOOKUP(C16,Correcties!A3:A3,Correcties!E3:E3,"")</f>
        <v xml:space="preserve">Enkel relevant voor zon-pv. </v>
      </c>
      <c r="F16" s="265"/>
      <c r="G16" s="265"/>
      <c r="H16" s="265"/>
      <c r="I16" s="265"/>
      <c r="J16" s="265"/>
      <c r="K16" s="265"/>
      <c r="L16" s="265"/>
      <c r="M16" s="266"/>
    </row>
    <row r="17" spans="2:13" ht="15" customHeight="1" x14ac:dyDescent="0.25">
      <c r="B17" s="50" t="s">
        <v>43</v>
      </c>
      <c r="C17" s="81"/>
      <c r="D17" s="53"/>
      <c r="E17" s="264" t="s">
        <v>135</v>
      </c>
      <c r="F17" s="265"/>
      <c r="G17" s="265"/>
      <c r="H17" s="265"/>
      <c r="I17" s="265"/>
      <c r="J17" s="265"/>
      <c r="K17" s="265"/>
      <c r="L17" s="265"/>
      <c r="M17" s="266"/>
    </row>
    <row r="18" spans="2:13" ht="15" customHeight="1" x14ac:dyDescent="0.25">
      <c r="B18" s="51" t="s">
        <v>44</v>
      </c>
      <c r="C18" s="82"/>
      <c r="D18" s="61"/>
      <c r="E18" s="268" t="s">
        <v>136</v>
      </c>
      <c r="F18" s="269"/>
      <c r="G18" s="269"/>
      <c r="H18" s="269"/>
      <c r="I18" s="269"/>
      <c r="J18" s="269"/>
      <c r="K18" s="269"/>
      <c r="L18" s="269"/>
      <c r="M18" s="270"/>
    </row>
    <row r="19" spans="2:13" x14ac:dyDescent="0.2">
      <c r="C19" s="24"/>
    </row>
    <row r="20" spans="2:13" ht="15" customHeight="1" x14ac:dyDescent="0.25">
      <c r="B20" s="56" t="s">
        <v>137</v>
      </c>
      <c r="C20" s="57" t="s">
        <v>37</v>
      </c>
      <c r="D20" s="57" t="s">
        <v>114</v>
      </c>
      <c r="E20" s="262" t="s">
        <v>31</v>
      </c>
      <c r="F20" s="263"/>
      <c r="G20" s="263"/>
      <c r="H20" s="263"/>
      <c r="I20" s="263"/>
      <c r="J20" s="263"/>
      <c r="K20" s="263"/>
      <c r="L20" s="263"/>
      <c r="M20" s="255"/>
    </row>
    <row r="21" spans="2:13" ht="15" customHeight="1" x14ac:dyDescent="0.25">
      <c r="B21" s="50" t="s">
        <v>45</v>
      </c>
      <c r="C21" s="79"/>
      <c r="D21" s="52" t="str">
        <f>C8</f>
        <v>kW</v>
      </c>
      <c r="E21" s="264"/>
      <c r="F21" s="265"/>
      <c r="G21" s="265"/>
      <c r="H21" s="265"/>
      <c r="I21" s="265"/>
      <c r="J21" s="265"/>
      <c r="K21" s="265"/>
      <c r="L21" s="265"/>
      <c r="M21" s="266"/>
    </row>
    <row r="22" spans="2:13" ht="12.95" customHeight="1" x14ac:dyDescent="0.25">
      <c r="B22" s="50" t="s">
        <v>46</v>
      </c>
      <c r="C22" s="178"/>
      <c r="D22" s="52"/>
      <c r="E22" s="264" t="s">
        <v>138</v>
      </c>
      <c r="F22" s="265"/>
      <c r="G22" s="265"/>
      <c r="H22" s="265"/>
      <c r="I22" s="265"/>
      <c r="J22" s="265"/>
      <c r="K22" s="265"/>
      <c r="L22" s="265"/>
      <c r="M22" s="266"/>
    </row>
    <row r="23" spans="2:13" x14ac:dyDescent="0.2">
      <c r="B23" s="50" t="s">
        <v>47</v>
      </c>
      <c r="C23" s="79"/>
      <c r="D23" s="53"/>
      <c r="E23" s="137" t="s">
        <v>139</v>
      </c>
      <c r="F23" s="137"/>
      <c r="G23" s="137"/>
      <c r="H23" s="137"/>
      <c r="I23" s="137"/>
      <c r="J23" s="137"/>
      <c r="K23" s="137"/>
      <c r="L23" s="137"/>
      <c r="M23" s="243"/>
    </row>
    <row r="24" spans="2:13" ht="15" customHeight="1" x14ac:dyDescent="0.25">
      <c r="B24" s="62" t="s">
        <v>140</v>
      </c>
      <c r="C24" s="83"/>
      <c r="D24" s="53"/>
      <c r="E24" s="264" t="s">
        <v>141</v>
      </c>
      <c r="F24" s="265"/>
      <c r="G24" s="265"/>
      <c r="H24" s="265"/>
      <c r="I24" s="265"/>
      <c r="J24" s="265"/>
      <c r="K24" s="265"/>
      <c r="L24" s="265"/>
      <c r="M24" s="266"/>
    </row>
    <row r="25" spans="2:13" ht="15" customHeight="1" x14ac:dyDescent="0.25">
      <c r="B25" s="62" t="s">
        <v>142</v>
      </c>
      <c r="C25" s="179">
        <f>IF(C23="JA",IF(C24&lt;&gt;"",C21*C175/C172/C24,0),0)</f>
        <v>0</v>
      </c>
      <c r="D25" s="53" t="s">
        <v>143</v>
      </c>
      <c r="E25" s="264"/>
      <c r="F25" s="265"/>
      <c r="G25" s="265"/>
      <c r="H25" s="265"/>
      <c r="I25" s="265"/>
      <c r="J25" s="265"/>
      <c r="K25" s="265"/>
      <c r="L25" s="265"/>
      <c r="M25" s="266"/>
    </row>
    <row r="26" spans="2:13" ht="15" customHeight="1" x14ac:dyDescent="0.25">
      <c r="B26" s="50" t="s">
        <v>48</v>
      </c>
      <c r="C26" s="79"/>
      <c r="D26" s="52" t="str">
        <f>C8</f>
        <v>kW</v>
      </c>
      <c r="E26" s="264" t="s">
        <v>144</v>
      </c>
      <c r="F26" s="265"/>
      <c r="G26" s="265"/>
      <c r="H26" s="265"/>
      <c r="I26" s="265"/>
      <c r="J26" s="265"/>
      <c r="K26" s="265"/>
      <c r="L26" s="265"/>
      <c r="M26" s="266"/>
    </row>
    <row r="27" spans="2:13" ht="15" customHeight="1" x14ac:dyDescent="0.25">
      <c r="B27" s="62" t="s">
        <v>145</v>
      </c>
      <c r="C27" s="179">
        <f>IF(C23="JA",IF(C26=0,,C26*C175/C173),0)</f>
        <v>0</v>
      </c>
      <c r="D27" s="53" t="s">
        <v>143</v>
      </c>
      <c r="E27" s="264"/>
      <c r="F27" s="265"/>
      <c r="G27" s="265"/>
      <c r="H27" s="265"/>
      <c r="I27" s="265"/>
      <c r="J27" s="265"/>
      <c r="K27" s="265"/>
      <c r="L27" s="265"/>
      <c r="M27" s="266"/>
    </row>
    <row r="28" spans="2:13" ht="15" customHeight="1" x14ac:dyDescent="0.25">
      <c r="B28" s="50" t="s">
        <v>49</v>
      </c>
      <c r="C28" s="84">
        <v>1000000</v>
      </c>
      <c r="D28" s="52" t="str">
        <f>C8</f>
        <v>kW</v>
      </c>
      <c r="E28" s="264" t="s">
        <v>146</v>
      </c>
      <c r="F28" s="265"/>
      <c r="G28" s="265"/>
      <c r="H28" s="265"/>
      <c r="I28" s="265"/>
      <c r="J28" s="265"/>
      <c r="K28" s="265"/>
      <c r="L28" s="265"/>
      <c r="M28" s="266"/>
    </row>
    <row r="29" spans="2:13" ht="15" customHeight="1" x14ac:dyDescent="0.25">
      <c r="B29" s="50" t="s">
        <v>50</v>
      </c>
      <c r="C29" s="84"/>
      <c r="D29" s="53" t="s">
        <v>147</v>
      </c>
      <c r="E29" s="264" t="s">
        <v>148</v>
      </c>
      <c r="F29" s="265"/>
      <c r="G29" s="265"/>
      <c r="H29" s="265"/>
      <c r="I29" s="265"/>
      <c r="J29" s="265"/>
      <c r="K29" s="265"/>
      <c r="L29" s="265"/>
      <c r="M29" s="266"/>
    </row>
    <row r="30" spans="2:13" ht="15" customHeight="1" x14ac:dyDescent="0.25">
      <c r="B30" s="51" t="s">
        <v>51</v>
      </c>
      <c r="C30" s="80">
        <v>3852.08</v>
      </c>
      <c r="D30" s="61" t="s">
        <v>147</v>
      </c>
      <c r="E30" s="268" t="s">
        <v>148</v>
      </c>
      <c r="F30" s="269"/>
      <c r="G30" s="269"/>
      <c r="H30" s="269"/>
      <c r="I30" s="269"/>
      <c r="J30" s="269"/>
      <c r="K30" s="269"/>
      <c r="L30" s="269"/>
      <c r="M30" s="270"/>
    </row>
    <row r="31" spans="2:13" x14ac:dyDescent="0.2">
      <c r="C31" s="25"/>
      <c r="E31" s="141"/>
      <c r="F31" s="141"/>
      <c r="G31" s="141"/>
      <c r="H31" s="141"/>
      <c r="I31" s="141"/>
      <c r="J31" s="141"/>
      <c r="K31" s="141"/>
      <c r="L31" s="141"/>
      <c r="M31" s="141"/>
    </row>
    <row r="32" spans="2:13" ht="15" customHeight="1" x14ac:dyDescent="0.25">
      <c r="B32" s="56" t="s">
        <v>149</v>
      </c>
      <c r="C32" s="57" t="s">
        <v>37</v>
      </c>
      <c r="D32" s="57" t="s">
        <v>114</v>
      </c>
      <c r="E32" s="262" t="s">
        <v>31</v>
      </c>
      <c r="F32" s="263"/>
      <c r="G32" s="263"/>
      <c r="H32" s="263"/>
      <c r="I32" s="263"/>
      <c r="J32" s="263"/>
      <c r="K32" s="263"/>
      <c r="L32" s="263"/>
      <c r="M32" s="255"/>
    </row>
    <row r="33" spans="2:13" ht="15" customHeight="1" x14ac:dyDescent="0.25">
      <c r="B33" s="50" t="s">
        <v>52</v>
      </c>
      <c r="C33" s="180">
        <f>IF(C21&gt;0,C28/C21,IF(C28&gt;0,1,0))</f>
        <v>1</v>
      </c>
      <c r="D33" s="53"/>
      <c r="E33" s="264"/>
      <c r="F33" s="265"/>
      <c r="G33" s="265"/>
      <c r="H33" s="265"/>
      <c r="I33" s="265"/>
      <c r="J33" s="265"/>
      <c r="K33" s="265"/>
      <c r="L33" s="265"/>
      <c r="M33" s="266"/>
    </row>
    <row r="34" spans="2:13" ht="15" customHeight="1" x14ac:dyDescent="0.25">
      <c r="B34" s="50" t="s">
        <v>53</v>
      </c>
      <c r="C34" s="180">
        <f>IF(C28&gt;0,C33-C36*C33*(C26*C29)/(C28*C30),)</f>
        <v>1</v>
      </c>
      <c r="D34" s="53"/>
      <c r="E34" s="264"/>
      <c r="F34" s="265"/>
      <c r="G34" s="265"/>
      <c r="H34" s="265"/>
      <c r="I34" s="265"/>
      <c r="J34" s="265"/>
      <c r="K34" s="265"/>
      <c r="L34" s="265"/>
      <c r="M34" s="266"/>
    </row>
    <row r="35" spans="2:13" ht="15" customHeight="1" x14ac:dyDescent="0.25">
      <c r="B35" s="50" t="s">
        <v>54</v>
      </c>
      <c r="C35" s="73">
        <f>IF(C21&gt;0,C26/C21,0)</f>
        <v>0</v>
      </c>
      <c r="D35" s="53"/>
      <c r="E35" s="264"/>
      <c r="F35" s="265"/>
      <c r="G35" s="265"/>
      <c r="H35" s="265"/>
      <c r="I35" s="265"/>
      <c r="J35" s="265"/>
      <c r="K35" s="265"/>
      <c r="L35" s="265"/>
      <c r="M35" s="266"/>
    </row>
    <row r="36" spans="2:13" ht="15" customHeight="1" x14ac:dyDescent="0.25">
      <c r="B36" s="51" t="s">
        <v>55</v>
      </c>
      <c r="C36" s="86"/>
      <c r="D36" s="61" t="s">
        <v>150</v>
      </c>
      <c r="E36" s="268" t="s">
        <v>151</v>
      </c>
      <c r="F36" s="269"/>
      <c r="G36" s="269"/>
      <c r="H36" s="269"/>
      <c r="I36" s="269"/>
      <c r="J36" s="269"/>
      <c r="K36" s="269"/>
      <c r="L36" s="269"/>
      <c r="M36" s="270"/>
    </row>
    <row r="37" spans="2:13" x14ac:dyDescent="0.2">
      <c r="C37" s="26"/>
      <c r="E37" s="141"/>
      <c r="F37" s="141"/>
      <c r="G37" s="141"/>
      <c r="H37" s="141"/>
      <c r="I37" s="141"/>
      <c r="J37" s="141"/>
      <c r="K37" s="141"/>
      <c r="L37" s="141"/>
      <c r="M37" s="141"/>
    </row>
    <row r="38" spans="2:13" ht="15" customHeight="1" x14ac:dyDescent="0.25">
      <c r="B38" s="56" t="s">
        <v>56</v>
      </c>
      <c r="C38" s="57" t="s">
        <v>37</v>
      </c>
      <c r="D38" s="57" t="s">
        <v>114</v>
      </c>
      <c r="E38" s="262" t="s">
        <v>31</v>
      </c>
      <c r="F38" s="263"/>
      <c r="G38" s="263"/>
      <c r="H38" s="263"/>
      <c r="I38" s="263"/>
      <c r="J38" s="263"/>
      <c r="K38" s="263"/>
      <c r="L38" s="263"/>
      <c r="M38" s="255"/>
    </row>
    <row r="39" spans="2:13" ht="15" customHeight="1" x14ac:dyDescent="0.25">
      <c r="B39" s="63" t="s">
        <v>152</v>
      </c>
      <c r="C39" s="84"/>
      <c r="D39" s="53" t="str">
        <f>CONCATENATE("Euro/",$C$8)</f>
        <v>Euro/kW</v>
      </c>
      <c r="E39" s="264" t="s">
        <v>153</v>
      </c>
      <c r="F39" s="265"/>
      <c r="G39" s="265"/>
      <c r="H39" s="265"/>
      <c r="I39" s="265"/>
      <c r="J39" s="265"/>
      <c r="K39" s="265"/>
      <c r="L39" s="265"/>
      <c r="M39" s="266"/>
    </row>
    <row r="40" spans="2:13" ht="15" customHeight="1" x14ac:dyDescent="0.25">
      <c r="B40" s="63" t="s">
        <v>154</v>
      </c>
      <c r="C40" s="79">
        <v>3012.6641493485731</v>
      </c>
      <c r="D40" s="53" t="str">
        <f>CONCATENATE("Euro/",$C$8)</f>
        <v>Euro/kW</v>
      </c>
      <c r="E40" s="264" t="s">
        <v>277</v>
      </c>
      <c r="F40" s="265"/>
      <c r="G40" s="265"/>
      <c r="H40" s="265"/>
      <c r="I40" s="265"/>
      <c r="J40" s="265"/>
      <c r="K40" s="265"/>
      <c r="L40" s="265"/>
      <c r="M40" s="266"/>
    </row>
    <row r="41" spans="2:13" ht="15" customHeight="1" x14ac:dyDescent="0.25">
      <c r="B41" s="50" t="s">
        <v>57</v>
      </c>
      <c r="C41" s="181">
        <f>((C21*C39+SUM(C26,C28)*C40)*(1+D103*C92))/1000000</f>
        <v>3035.2591304686875</v>
      </c>
      <c r="D41" s="53" t="s">
        <v>155</v>
      </c>
      <c r="E41" s="271"/>
      <c r="F41" s="265"/>
      <c r="G41" s="265"/>
      <c r="H41" s="265"/>
      <c r="I41" s="265"/>
      <c r="J41" s="265"/>
      <c r="K41" s="265"/>
      <c r="L41" s="265"/>
      <c r="M41" s="266"/>
    </row>
    <row r="42" spans="2:13" ht="15" customHeight="1" x14ac:dyDescent="0.25">
      <c r="B42" s="63" t="s">
        <v>156</v>
      </c>
      <c r="C42" s="178"/>
      <c r="D42" s="53" t="str">
        <f>CONCATENATE("Euro/",$C$8,"/jaar")</f>
        <v>Euro/kW/jaar</v>
      </c>
      <c r="E42" s="264" t="s">
        <v>157</v>
      </c>
      <c r="F42" s="265"/>
      <c r="G42" s="265"/>
      <c r="H42" s="265"/>
      <c r="I42" s="265"/>
      <c r="J42" s="265"/>
      <c r="K42" s="265"/>
      <c r="L42" s="265"/>
      <c r="M42" s="266"/>
    </row>
    <row r="43" spans="2:13" ht="15" customHeight="1" x14ac:dyDescent="0.25">
      <c r="B43" s="63" t="s">
        <v>158</v>
      </c>
      <c r="C43" s="178">
        <v>48.426409297710002</v>
      </c>
      <c r="D43" s="53" t="str">
        <f>CONCATENATE("Euro/",$C$8,"/jaar")</f>
        <v>Euro/kW/jaar</v>
      </c>
      <c r="E43" s="264" t="s">
        <v>157</v>
      </c>
      <c r="F43" s="265"/>
      <c r="G43" s="265"/>
      <c r="H43" s="265"/>
      <c r="I43" s="265"/>
      <c r="J43" s="265"/>
      <c r="K43" s="265"/>
      <c r="L43" s="265"/>
      <c r="M43" s="266"/>
    </row>
    <row r="44" spans="2:13" ht="15" customHeight="1" x14ac:dyDescent="0.25">
      <c r="B44" s="50" t="s">
        <v>58</v>
      </c>
      <c r="C44" s="74">
        <f>(C42*C21+C43*SUM(C26,C28))/1000</f>
        <v>48426.409297710001</v>
      </c>
      <c r="D44" s="53" t="s">
        <v>159</v>
      </c>
      <c r="E44" s="271" t="s">
        <v>160</v>
      </c>
      <c r="F44" s="265"/>
      <c r="G44" s="265"/>
      <c r="H44" s="265"/>
      <c r="I44" s="265"/>
      <c r="J44" s="265"/>
      <c r="K44" s="265"/>
      <c r="L44" s="265"/>
      <c r="M44" s="266"/>
    </row>
    <row r="45" spans="2:13" ht="15" customHeight="1" x14ac:dyDescent="0.25">
      <c r="B45" s="50" t="s">
        <v>161</v>
      </c>
      <c r="C45" s="182"/>
      <c r="D45" s="53" t="str">
        <f>CONCATENATE("Euro/",$C$7)</f>
        <v>Euro/kWh</v>
      </c>
      <c r="E45" s="264" t="str">
        <f>CONCATENATE("Het betreft de inkoopkosten voor elektriciteit, per ", $C$7," output")</f>
        <v>Het betreft de inkoopkosten voor elektriciteit, per kWh output</v>
      </c>
      <c r="F45" s="265"/>
      <c r="G45" s="265"/>
      <c r="H45" s="265"/>
      <c r="I45" s="265"/>
      <c r="J45" s="265"/>
      <c r="K45" s="265"/>
      <c r="L45" s="265"/>
      <c r="M45" s="266"/>
    </row>
    <row r="46" spans="2:13" ht="15" customHeight="1" x14ac:dyDescent="0.25">
      <c r="B46" s="50" t="s">
        <v>162</v>
      </c>
      <c r="C46" s="182"/>
      <c r="D46" s="53" t="str">
        <f>CONCATENATE("Euro/",$C$7)</f>
        <v>Euro/kWh</v>
      </c>
      <c r="E46" s="264" t="str">
        <f>CONCATENATE("Het betreft de inkoopkosten voor gas, per ", $C$7," output")</f>
        <v>Het betreft de inkoopkosten voor gas, per kWh output</v>
      </c>
      <c r="F46" s="265"/>
      <c r="G46" s="265"/>
      <c r="H46" s="265"/>
      <c r="I46" s="265"/>
      <c r="J46" s="265"/>
      <c r="K46" s="265"/>
      <c r="L46" s="265"/>
      <c r="M46" s="266"/>
    </row>
    <row r="47" spans="2:13" ht="15" customHeight="1" x14ac:dyDescent="0.25">
      <c r="B47" s="50" t="s">
        <v>163</v>
      </c>
      <c r="C47" s="182"/>
      <c r="D47" s="53" t="str">
        <f>CONCATENATE("Euro/",$C$7)</f>
        <v>Euro/kWh</v>
      </c>
      <c r="E47" s="264" t="str">
        <f>CONCATENATE("Het betreft de inkoopkosten voor warmte, per ", $C$7," output")</f>
        <v>Het betreft de inkoopkosten voor warmte, per kWh output</v>
      </c>
      <c r="F47" s="265"/>
      <c r="G47" s="265"/>
      <c r="H47" s="265"/>
      <c r="I47" s="265"/>
      <c r="J47" s="265"/>
      <c r="K47" s="265"/>
      <c r="L47" s="265"/>
      <c r="M47" s="266"/>
    </row>
    <row r="48" spans="2:13" ht="15" customHeight="1" x14ac:dyDescent="0.25">
      <c r="B48" s="50" t="s">
        <v>59</v>
      </c>
      <c r="C48" s="182">
        <v>0.01</v>
      </c>
      <c r="D48" s="53" t="str">
        <f>CONCATENATE("Euro/",$C$7)</f>
        <v>Euro/kWh</v>
      </c>
      <c r="E48" s="278" t="s">
        <v>275</v>
      </c>
      <c r="F48" s="279"/>
      <c r="G48" s="279"/>
      <c r="H48" s="279"/>
      <c r="I48" s="279"/>
      <c r="J48" s="279"/>
      <c r="K48" s="279"/>
      <c r="L48" s="279"/>
      <c r="M48" s="280"/>
    </row>
    <row r="49" spans="2:13" ht="15" customHeight="1" x14ac:dyDescent="0.25">
      <c r="B49" s="51" t="s">
        <v>164</v>
      </c>
      <c r="C49" s="183">
        <f>SUM(C45:C48)</f>
        <v>0.01</v>
      </c>
      <c r="D49" s="61" t="str">
        <f>CONCATENATE("Euro/",$C$7)</f>
        <v>Euro/kWh</v>
      </c>
      <c r="E49" s="272"/>
      <c r="F49" s="269"/>
      <c r="G49" s="269"/>
      <c r="H49" s="269"/>
      <c r="I49" s="269"/>
      <c r="J49" s="269"/>
      <c r="K49" s="269"/>
      <c r="L49" s="269"/>
      <c r="M49" s="270"/>
    </row>
    <row r="50" spans="2:13" x14ac:dyDescent="0.2">
      <c r="C50" s="26"/>
      <c r="E50" s="141"/>
      <c r="F50" s="141"/>
      <c r="G50" s="141"/>
      <c r="H50" s="141"/>
      <c r="I50" s="141"/>
      <c r="J50" s="141"/>
      <c r="K50" s="141"/>
      <c r="L50" s="141"/>
      <c r="M50" s="141"/>
    </row>
    <row r="51" spans="2:13" ht="15" customHeight="1" x14ac:dyDescent="0.25">
      <c r="B51" s="64" t="s">
        <v>60</v>
      </c>
      <c r="C51" s="57" t="s">
        <v>37</v>
      </c>
      <c r="D51" s="57" t="s">
        <v>114</v>
      </c>
      <c r="E51" s="262" t="s">
        <v>31</v>
      </c>
      <c r="F51" s="263"/>
      <c r="G51" s="263"/>
      <c r="H51" s="263"/>
      <c r="I51" s="263"/>
      <c r="J51" s="263"/>
      <c r="K51" s="263"/>
      <c r="L51" s="263"/>
      <c r="M51" s="255"/>
    </row>
    <row r="52" spans="2:13" ht="15" customHeight="1" x14ac:dyDescent="0.25">
      <c r="B52" s="50" t="s">
        <v>61</v>
      </c>
      <c r="C52" s="81"/>
      <c r="D52" s="53" t="s">
        <v>165</v>
      </c>
      <c r="E52" s="264"/>
      <c r="F52" s="265"/>
      <c r="G52" s="265"/>
      <c r="H52" s="265"/>
      <c r="I52" s="265"/>
      <c r="J52" s="265"/>
      <c r="K52" s="265"/>
      <c r="L52" s="265"/>
      <c r="M52" s="266"/>
    </row>
    <row r="53" spans="2:13" ht="15" customHeight="1" x14ac:dyDescent="0.25">
      <c r="B53" s="50" t="s">
        <v>62</v>
      </c>
      <c r="C53" s="179">
        <f>IF(C52=0,,C21*MAX(C29,C30)*C175/C52/1000)</f>
        <v>0</v>
      </c>
      <c r="D53" s="53" t="s">
        <v>166</v>
      </c>
      <c r="E53" s="273"/>
      <c r="F53" s="265"/>
      <c r="G53" s="265"/>
      <c r="H53" s="265"/>
      <c r="I53" s="265"/>
      <c r="J53" s="265"/>
      <c r="K53" s="265"/>
      <c r="L53" s="265"/>
      <c r="M53" s="266"/>
    </row>
    <row r="54" spans="2:13" ht="15" customHeight="1" x14ac:dyDescent="0.25">
      <c r="B54" s="50" t="s">
        <v>63</v>
      </c>
      <c r="C54" s="87"/>
      <c r="D54" s="53" t="s">
        <v>167</v>
      </c>
      <c r="E54" s="264" t="s">
        <v>168</v>
      </c>
      <c r="F54" s="265"/>
      <c r="G54" s="265"/>
      <c r="H54" s="265"/>
      <c r="I54" s="265"/>
      <c r="J54" s="265"/>
      <c r="K54" s="265"/>
      <c r="L54" s="265"/>
      <c r="M54" s="266"/>
    </row>
    <row r="55" spans="2:13" ht="15" customHeight="1" x14ac:dyDescent="0.25">
      <c r="B55" s="50" t="s">
        <v>64</v>
      </c>
      <c r="C55" s="87"/>
      <c r="D55" s="53" t="str">
        <f>CONCATENATE("kWh/",$C$7)</f>
        <v>kWh/kWh</v>
      </c>
      <c r="E55" s="264"/>
      <c r="F55" s="265"/>
      <c r="G55" s="265"/>
      <c r="H55" s="265"/>
      <c r="I55" s="265"/>
      <c r="J55" s="265"/>
      <c r="K55" s="265"/>
      <c r="L55" s="265"/>
      <c r="M55" s="266"/>
    </row>
    <row r="56" spans="2:13" ht="15" customHeight="1" x14ac:dyDescent="0.25">
      <c r="B56" s="50" t="s">
        <v>65</v>
      </c>
      <c r="C56" s="179">
        <f>IF(C55=0,,MAX(C26,C28)*MAX(C29,C30)*C55*10^(-3))</f>
        <v>0</v>
      </c>
      <c r="D56" s="53" t="s">
        <v>169</v>
      </c>
      <c r="E56" s="264"/>
      <c r="F56" s="265"/>
      <c r="G56" s="265"/>
      <c r="H56" s="265"/>
      <c r="I56" s="265"/>
      <c r="J56" s="265"/>
      <c r="K56" s="265"/>
      <c r="L56" s="265"/>
      <c r="M56" s="266"/>
    </row>
    <row r="57" spans="2:13" ht="15" customHeight="1" x14ac:dyDescent="0.25">
      <c r="B57" s="50" t="s">
        <v>66</v>
      </c>
      <c r="C57" s="87"/>
      <c r="D57" s="53" t="str">
        <f>CONCATENATE("kWh/",$C$7)</f>
        <v>kWh/kWh</v>
      </c>
      <c r="E57" s="264"/>
      <c r="F57" s="265"/>
      <c r="G57" s="265"/>
      <c r="H57" s="265"/>
      <c r="I57" s="265"/>
      <c r="J57" s="265"/>
      <c r="K57" s="265"/>
      <c r="L57" s="265"/>
      <c r="M57" s="266"/>
    </row>
    <row r="58" spans="2:13" ht="15" customHeight="1" x14ac:dyDescent="0.25">
      <c r="B58" s="50" t="s">
        <v>67</v>
      </c>
      <c r="C58" s="179">
        <f>IF(C57=0,,MAX($C$26,$C$28)*MAX($C$29,$C$30)*C57/1000)</f>
        <v>0</v>
      </c>
      <c r="D58" s="53" t="s">
        <v>169</v>
      </c>
      <c r="E58" s="264"/>
      <c r="F58" s="265"/>
      <c r="G58" s="265"/>
      <c r="H58" s="265"/>
      <c r="I58" s="265"/>
      <c r="J58" s="265"/>
      <c r="K58" s="265"/>
      <c r="L58" s="265"/>
      <c r="M58" s="266"/>
    </row>
    <row r="59" spans="2:13" ht="15" customHeight="1" x14ac:dyDescent="0.25">
      <c r="B59" s="50" t="s">
        <v>68</v>
      </c>
      <c r="C59" s="87"/>
      <c r="D59" s="53" t="str">
        <f>CONCATENATE("kWh/",$C$7)</f>
        <v>kWh/kWh</v>
      </c>
      <c r="E59" s="264"/>
      <c r="F59" s="265"/>
      <c r="G59" s="265"/>
      <c r="H59" s="265"/>
      <c r="I59" s="265"/>
      <c r="J59" s="265"/>
      <c r="K59" s="265"/>
      <c r="L59" s="265"/>
      <c r="M59" s="266"/>
    </row>
    <row r="60" spans="2:13" ht="15" customHeight="1" x14ac:dyDescent="0.25">
      <c r="B60" s="51" t="s">
        <v>69</v>
      </c>
      <c r="C60" s="184">
        <f>IF(C59=0,,MAX($C$26,$C$28)*MAX($C$29,$C$30)*C59/1000)</f>
        <v>0</v>
      </c>
      <c r="D60" s="61" t="s">
        <v>169</v>
      </c>
      <c r="E60" s="268"/>
      <c r="F60" s="269"/>
      <c r="G60" s="269"/>
      <c r="H60" s="269"/>
      <c r="I60" s="269"/>
      <c r="J60" s="269"/>
      <c r="K60" s="269"/>
      <c r="L60" s="269"/>
      <c r="M60" s="270"/>
    </row>
    <row r="61" spans="2:13" x14ac:dyDescent="0.2">
      <c r="C61" s="26"/>
      <c r="E61" s="141"/>
      <c r="F61" s="141"/>
      <c r="G61" s="141"/>
      <c r="H61" s="141"/>
      <c r="I61" s="141"/>
      <c r="J61" s="141"/>
      <c r="K61" s="141"/>
      <c r="L61" s="141"/>
      <c r="M61" s="141"/>
    </row>
    <row r="62" spans="2:13" ht="15" customHeight="1" x14ac:dyDescent="0.25">
      <c r="B62" s="64" t="s">
        <v>70</v>
      </c>
      <c r="C62" s="57" t="s">
        <v>37</v>
      </c>
      <c r="D62" s="57" t="s">
        <v>114</v>
      </c>
      <c r="E62" s="262" t="s">
        <v>31</v>
      </c>
      <c r="F62" s="263"/>
      <c r="G62" s="263"/>
      <c r="H62" s="263"/>
      <c r="I62" s="263"/>
      <c r="J62" s="263"/>
      <c r="K62" s="263"/>
      <c r="L62" s="263"/>
      <c r="M62" s="255"/>
    </row>
    <row r="63" spans="2:13" ht="15" customHeight="1" x14ac:dyDescent="0.25">
      <c r="B63" s="50" t="s">
        <v>71</v>
      </c>
      <c r="C63" s="94"/>
      <c r="D63" s="53" t="str">
        <f>IF(AND(C26&gt;0,C23=""),CONCATENATE("kg CO2/",$C$7),"kg CO2/kWh")</f>
        <v>kg CO2/kWh</v>
      </c>
      <c r="E63" s="264"/>
      <c r="F63" s="265"/>
      <c r="G63" s="265"/>
      <c r="H63" s="265"/>
      <c r="I63" s="265"/>
      <c r="J63" s="265"/>
      <c r="K63" s="265"/>
      <c r="L63" s="265"/>
      <c r="M63" s="266"/>
    </row>
    <row r="64" spans="2:13" ht="15" customHeight="1" x14ac:dyDescent="0.25">
      <c r="B64" s="50" t="s">
        <v>72</v>
      </c>
      <c r="C64" s="94">
        <v>8.7999999999999995E-2</v>
      </c>
      <c r="D64" s="53" t="str">
        <f>IF(C28&gt;0,CONCATENATE("kg CO2/",$C$7),"kg CO2/kWh")</f>
        <v>kg CO2/kWh</v>
      </c>
      <c r="E64" s="264"/>
      <c r="F64" s="265"/>
      <c r="G64" s="265"/>
      <c r="H64" s="265"/>
      <c r="I64" s="265"/>
      <c r="J64" s="265"/>
      <c r="K64" s="265"/>
      <c r="L64" s="265"/>
      <c r="M64" s="266"/>
    </row>
    <row r="65" spans="2:13" ht="15" customHeight="1" x14ac:dyDescent="0.25">
      <c r="B65" s="50" t="s">
        <v>73</v>
      </c>
      <c r="C65" s="94"/>
      <c r="D65" s="53" t="str">
        <f>IF(C23="Ja",CONCATENATE("kg CO2/",$C$7),"kg CO2/kWh")</f>
        <v>kg CO2/kWh</v>
      </c>
      <c r="E65" s="264"/>
      <c r="F65" s="265"/>
      <c r="G65" s="265"/>
      <c r="H65" s="265"/>
      <c r="I65" s="265"/>
      <c r="J65" s="265"/>
      <c r="K65" s="265"/>
      <c r="L65" s="265"/>
      <c r="M65" s="266"/>
    </row>
    <row r="66" spans="2:13" ht="15" customHeight="1" x14ac:dyDescent="0.25">
      <c r="B66" s="50" t="s">
        <v>74</v>
      </c>
      <c r="C66" s="87"/>
      <c r="D66" s="53" t="s">
        <v>170</v>
      </c>
      <c r="E66" s="264" t="s">
        <v>171</v>
      </c>
      <c r="F66" s="265"/>
      <c r="G66" s="265"/>
      <c r="H66" s="265"/>
      <c r="I66" s="265"/>
      <c r="J66" s="265"/>
      <c r="K66" s="265"/>
      <c r="L66" s="265"/>
      <c r="M66" s="266"/>
    </row>
    <row r="67" spans="2:13" ht="15" customHeight="1" x14ac:dyDescent="0.25">
      <c r="B67" s="50" t="s">
        <v>75</v>
      </c>
      <c r="C67" s="185"/>
      <c r="D67" s="53" t="s">
        <v>172</v>
      </c>
      <c r="E67" s="264"/>
      <c r="F67" s="265"/>
      <c r="G67" s="265"/>
      <c r="H67" s="265"/>
      <c r="I67" s="265"/>
      <c r="J67" s="265"/>
      <c r="K67" s="265"/>
      <c r="L67" s="265"/>
      <c r="M67" s="266"/>
    </row>
    <row r="68" spans="2:13" ht="15" customHeight="1" x14ac:dyDescent="0.25">
      <c r="B68" s="50" t="s">
        <v>76</v>
      </c>
      <c r="C68" s="185"/>
      <c r="D68" s="53" t="s">
        <v>172</v>
      </c>
      <c r="E68" s="264"/>
      <c r="F68" s="265"/>
      <c r="G68" s="265"/>
      <c r="H68" s="265"/>
      <c r="I68" s="265"/>
      <c r="J68" s="265"/>
      <c r="K68" s="265"/>
      <c r="L68" s="265"/>
      <c r="M68" s="266"/>
    </row>
    <row r="69" spans="2:13" ht="15" customHeight="1" x14ac:dyDescent="0.25">
      <c r="B69" s="50" t="s">
        <v>77</v>
      </c>
      <c r="C69" s="185"/>
      <c r="D69" s="53" t="s">
        <v>172</v>
      </c>
      <c r="E69" s="264"/>
      <c r="F69" s="265"/>
      <c r="G69" s="265"/>
      <c r="H69" s="265"/>
      <c r="I69" s="265"/>
      <c r="J69" s="265"/>
      <c r="K69" s="265"/>
      <c r="L69" s="265"/>
      <c r="M69" s="266"/>
    </row>
    <row r="70" spans="2:13" ht="15" customHeight="1" x14ac:dyDescent="0.25">
      <c r="B70" s="65" t="s">
        <v>173</v>
      </c>
      <c r="C70" s="75">
        <f>ROUND((IF($C$23="Ja",$C$65,($C$64*IF($C$17&gt;0,1/$C$17,1)*$C$28*$C$30+$C$63*$C$26*$C$29)/($C$28*$C$30+$C$26*$C$29))-$C$55*$C$68-$C$57*$C$67-$C$69*$C$59+(-$C$53*$C$66)/(($C$28*$C$30)+($C$26*$C$29)))*C86,4)</f>
        <v>0.2102</v>
      </c>
      <c r="D70" s="61" t="str">
        <f>CONCATENATE("kg CO2/",$C$7)</f>
        <v>kg CO2/kWh</v>
      </c>
      <c r="E70" s="268"/>
      <c r="F70" s="269"/>
      <c r="G70" s="269"/>
      <c r="H70" s="269"/>
      <c r="I70" s="269"/>
      <c r="J70" s="269"/>
      <c r="K70" s="269"/>
      <c r="L70" s="269"/>
      <c r="M70" s="270"/>
    </row>
    <row r="71" spans="2:13" x14ac:dyDescent="0.2">
      <c r="C71" s="26"/>
      <c r="E71" s="141"/>
      <c r="F71" s="141"/>
      <c r="G71" s="141"/>
      <c r="H71" s="141"/>
      <c r="I71" s="141"/>
      <c r="J71" s="141"/>
      <c r="K71" s="141"/>
      <c r="L71" s="141"/>
      <c r="M71" s="141"/>
    </row>
    <row r="72" spans="2:13" ht="15" customHeight="1" x14ac:dyDescent="0.25">
      <c r="B72" s="64" t="s">
        <v>78</v>
      </c>
      <c r="C72" s="57" t="s">
        <v>37</v>
      </c>
      <c r="D72" s="57" t="s">
        <v>114</v>
      </c>
      <c r="E72" s="262" t="s">
        <v>31</v>
      </c>
      <c r="F72" s="263"/>
      <c r="G72" s="263"/>
      <c r="H72" s="263"/>
      <c r="I72" s="263"/>
      <c r="J72" s="263"/>
      <c r="K72" s="263"/>
      <c r="L72" s="263"/>
      <c r="M72" s="255"/>
    </row>
    <row r="73" spans="2:13" ht="15" customHeight="1" x14ac:dyDescent="0.25">
      <c r="B73" s="50" t="s">
        <v>79</v>
      </c>
      <c r="C73" s="88">
        <v>35</v>
      </c>
      <c r="D73" s="53" t="s">
        <v>174</v>
      </c>
      <c r="E73" s="264" t="s">
        <v>175</v>
      </c>
      <c r="F73" s="265"/>
      <c r="G73" s="265"/>
      <c r="H73" s="265"/>
      <c r="I73" s="265"/>
      <c r="J73" s="265"/>
      <c r="K73" s="265"/>
      <c r="L73" s="265"/>
      <c r="M73" s="266"/>
    </row>
    <row r="74" spans="2:13" ht="15" customHeight="1" x14ac:dyDescent="0.25">
      <c r="B74" s="66" t="s">
        <v>80</v>
      </c>
      <c r="C74" s="95">
        <v>15</v>
      </c>
      <c r="D74" s="53" t="s">
        <v>174</v>
      </c>
      <c r="E74" s="264"/>
      <c r="F74" s="265"/>
      <c r="G74" s="265"/>
      <c r="H74" s="265"/>
      <c r="I74" s="265"/>
      <c r="J74" s="265"/>
      <c r="K74" s="265"/>
      <c r="L74" s="265"/>
      <c r="M74" s="266"/>
    </row>
    <row r="75" spans="2:13" ht="15" customHeight="1" x14ac:dyDescent="0.25">
      <c r="B75" s="66" t="s">
        <v>81</v>
      </c>
      <c r="C75" s="95">
        <v>20</v>
      </c>
      <c r="D75" s="53" t="s">
        <v>174</v>
      </c>
      <c r="E75" s="264"/>
      <c r="F75" s="265"/>
      <c r="G75" s="265"/>
      <c r="H75" s="265"/>
      <c r="I75" s="265"/>
      <c r="J75" s="265"/>
      <c r="K75" s="265"/>
      <c r="L75" s="265"/>
      <c r="M75" s="266"/>
    </row>
    <row r="76" spans="2:13" ht="15" customHeight="1" x14ac:dyDescent="0.25">
      <c r="B76" s="66" t="s">
        <v>82</v>
      </c>
      <c r="C76" s="95">
        <v>15</v>
      </c>
      <c r="D76" s="53" t="s">
        <v>174</v>
      </c>
      <c r="E76" s="264"/>
      <c r="F76" s="265"/>
      <c r="G76" s="265"/>
      <c r="H76" s="265"/>
      <c r="I76" s="265"/>
      <c r="J76" s="265"/>
      <c r="K76" s="265"/>
      <c r="L76" s="265"/>
      <c r="M76" s="266"/>
    </row>
    <row r="77" spans="2:13" ht="15" customHeight="1" x14ac:dyDescent="0.25">
      <c r="B77" s="51" t="s">
        <v>176</v>
      </c>
      <c r="C77" s="85"/>
      <c r="D77" s="61" t="s">
        <v>174</v>
      </c>
      <c r="E77" s="268" t="s">
        <v>177</v>
      </c>
      <c r="F77" s="269"/>
      <c r="G77" s="269"/>
      <c r="H77" s="269"/>
      <c r="I77" s="269"/>
      <c r="J77" s="269"/>
      <c r="K77" s="269"/>
      <c r="L77" s="269"/>
      <c r="M77" s="270"/>
    </row>
    <row r="78" spans="2:13" x14ac:dyDescent="0.2">
      <c r="C78" s="26"/>
      <c r="E78" s="141"/>
      <c r="F78" s="141"/>
      <c r="G78" s="141"/>
      <c r="H78" s="141"/>
      <c r="I78" s="141"/>
      <c r="J78" s="141"/>
      <c r="K78" s="141"/>
      <c r="L78" s="141"/>
      <c r="M78" s="141"/>
    </row>
    <row r="79" spans="2:13" ht="15" customHeight="1" x14ac:dyDescent="0.25">
      <c r="B79" s="64" t="s">
        <v>83</v>
      </c>
      <c r="C79" s="57" t="s">
        <v>37</v>
      </c>
      <c r="D79" s="57" t="s">
        <v>114</v>
      </c>
      <c r="E79" s="262" t="s">
        <v>31</v>
      </c>
      <c r="F79" s="263"/>
      <c r="G79" s="263"/>
      <c r="H79" s="263"/>
      <c r="I79" s="263"/>
      <c r="J79" s="263"/>
      <c r="K79" s="263"/>
      <c r="L79" s="263"/>
      <c r="M79" s="255"/>
    </row>
    <row r="80" spans="2:13" ht="15" customHeight="1" x14ac:dyDescent="0.25">
      <c r="B80" s="50" t="s">
        <v>84</v>
      </c>
      <c r="C80" s="249">
        <f>C164</f>
        <v>5.6540737536000002E-2</v>
      </c>
      <c r="D80" s="53" t="s">
        <v>178</v>
      </c>
      <c r="E80" s="264" t="s">
        <v>251</v>
      </c>
      <c r="F80" s="265"/>
      <c r="G80" s="265"/>
      <c r="H80" s="265"/>
      <c r="I80" s="265"/>
      <c r="J80" s="265"/>
      <c r="K80" s="265"/>
      <c r="L80" s="265"/>
      <c r="M80" s="266"/>
    </row>
    <row r="81" spans="2:13" ht="15" customHeight="1" x14ac:dyDescent="0.25">
      <c r="B81" s="50" t="s">
        <v>85</v>
      </c>
      <c r="C81" s="88">
        <v>4012.08</v>
      </c>
      <c r="D81" s="53" t="s">
        <v>147</v>
      </c>
      <c r="E81" s="264"/>
      <c r="F81" s="265"/>
      <c r="G81" s="265"/>
      <c r="H81" s="265"/>
      <c r="I81" s="265"/>
      <c r="J81" s="265"/>
      <c r="K81" s="265"/>
      <c r="L81" s="265"/>
      <c r="M81" s="266"/>
    </row>
    <row r="82" spans="2:13" ht="15" customHeight="1" x14ac:dyDescent="0.25">
      <c r="B82" s="50" t="s">
        <v>86</v>
      </c>
      <c r="C82" s="27"/>
      <c r="D82" s="53" t="s">
        <v>178</v>
      </c>
      <c r="E82" s="264"/>
      <c r="F82" s="265"/>
      <c r="G82" s="265"/>
      <c r="H82" s="265"/>
      <c r="I82" s="265"/>
      <c r="J82" s="265"/>
      <c r="K82" s="265"/>
      <c r="L82" s="265"/>
      <c r="M82" s="266"/>
    </row>
    <row r="83" spans="2:13" ht="15" customHeight="1" x14ac:dyDescent="0.25">
      <c r="B83" s="50" t="s">
        <v>87</v>
      </c>
      <c r="C83" s="87"/>
      <c r="D83" s="53" t="s">
        <v>147</v>
      </c>
      <c r="E83" s="264"/>
      <c r="F83" s="265"/>
      <c r="G83" s="265"/>
      <c r="H83" s="265"/>
      <c r="I83" s="265"/>
      <c r="J83" s="265"/>
      <c r="K83" s="265"/>
      <c r="L83" s="265"/>
      <c r="M83" s="266"/>
    </row>
    <row r="84" spans="2:13" ht="15" customHeight="1" x14ac:dyDescent="0.25">
      <c r="B84" s="50" t="s">
        <v>179</v>
      </c>
      <c r="C84" s="76">
        <f>SUM(E117:INDEX(E117:AR117,1,C76))</f>
        <v>57781200000</v>
      </c>
      <c r="D84" s="52" t="str">
        <f>C7</f>
        <v>kWh</v>
      </c>
      <c r="E84" s="264"/>
      <c r="F84" s="265"/>
      <c r="G84" s="265"/>
      <c r="H84" s="265"/>
      <c r="I84" s="265"/>
      <c r="J84" s="265"/>
      <c r="K84" s="265"/>
      <c r="L84" s="265"/>
      <c r="M84" s="266"/>
    </row>
    <row r="85" spans="2:13" ht="15" customHeight="1" x14ac:dyDescent="0.25">
      <c r="B85" s="67" t="s">
        <v>180</v>
      </c>
      <c r="C85" s="76">
        <f>IF(C77=0,SUM(E117:INDEX(E117:AR117,1,C73)),SUM(E117:INDEX(E117:AR117,1,C77)))</f>
        <v>138022800000</v>
      </c>
      <c r="D85" s="52" t="str">
        <f>C7</f>
        <v>kWh</v>
      </c>
      <c r="E85" s="264"/>
      <c r="F85" s="265"/>
      <c r="G85" s="265"/>
      <c r="H85" s="265"/>
      <c r="I85" s="265"/>
      <c r="J85" s="265"/>
      <c r="K85" s="265"/>
      <c r="L85" s="265"/>
      <c r="M85" s="266"/>
    </row>
    <row r="86" spans="2:13" ht="15" customHeight="1" x14ac:dyDescent="0.25">
      <c r="B86" s="68" t="s">
        <v>181</v>
      </c>
      <c r="C86" s="186">
        <f>C85/C84</f>
        <v>2.3887146684388694</v>
      </c>
      <c r="D86" s="61"/>
      <c r="E86" s="268"/>
      <c r="F86" s="269"/>
      <c r="G86" s="269"/>
      <c r="H86" s="269"/>
      <c r="I86" s="269"/>
      <c r="J86" s="269"/>
      <c r="K86" s="269"/>
      <c r="L86" s="269"/>
      <c r="M86" s="270"/>
    </row>
    <row r="87" spans="2:13" x14ac:dyDescent="0.2">
      <c r="C87" s="26"/>
      <c r="E87" s="141"/>
      <c r="F87" s="141"/>
      <c r="G87" s="141"/>
      <c r="H87" s="141"/>
      <c r="I87" s="141"/>
      <c r="J87" s="141"/>
      <c r="K87" s="141"/>
      <c r="L87" s="141"/>
      <c r="M87" s="141"/>
    </row>
    <row r="88" spans="2:13" ht="15" customHeight="1" x14ac:dyDescent="0.25">
      <c r="B88" s="64" t="s">
        <v>182</v>
      </c>
      <c r="C88" s="57" t="s">
        <v>37</v>
      </c>
      <c r="D88" s="57" t="s">
        <v>114</v>
      </c>
      <c r="E88" s="262" t="s">
        <v>31</v>
      </c>
      <c r="F88" s="263"/>
      <c r="G88" s="263"/>
      <c r="H88" s="263"/>
      <c r="I88" s="263"/>
      <c r="J88" s="263"/>
      <c r="K88" s="263"/>
      <c r="L88" s="263"/>
      <c r="M88" s="255"/>
    </row>
    <row r="89" spans="2:13" ht="15" customHeight="1" x14ac:dyDescent="0.25">
      <c r="B89" s="50" t="s">
        <v>88</v>
      </c>
      <c r="C89" s="187">
        <v>0.02</v>
      </c>
      <c r="D89" s="53"/>
      <c r="E89" s="264"/>
      <c r="F89" s="265"/>
      <c r="G89" s="265"/>
      <c r="H89" s="265"/>
      <c r="I89" s="265"/>
      <c r="J89" s="265"/>
      <c r="K89" s="265"/>
      <c r="L89" s="265"/>
      <c r="M89" s="266"/>
    </row>
    <row r="90" spans="2:13" ht="15" customHeight="1" x14ac:dyDescent="0.25">
      <c r="B90" s="50" t="s">
        <v>89</v>
      </c>
      <c r="C90" s="188">
        <v>4.4999999999999998E-2</v>
      </c>
      <c r="D90" s="53"/>
      <c r="E90" s="264"/>
      <c r="F90" s="265"/>
      <c r="G90" s="265"/>
      <c r="H90" s="265"/>
      <c r="I90" s="265"/>
      <c r="J90" s="265"/>
      <c r="K90" s="265"/>
      <c r="L90" s="265"/>
      <c r="M90" s="266"/>
    </row>
    <row r="91" spans="2:13" ht="15" customHeight="1" x14ac:dyDescent="0.25">
      <c r="B91" s="50" t="s">
        <v>90</v>
      </c>
      <c r="C91" s="188">
        <v>0.1</v>
      </c>
      <c r="D91" s="53"/>
      <c r="E91" s="264"/>
      <c r="F91" s="265"/>
      <c r="G91" s="265"/>
      <c r="H91" s="265"/>
      <c r="I91" s="265"/>
      <c r="J91" s="265"/>
      <c r="K91" s="265"/>
      <c r="L91" s="265"/>
      <c r="M91" s="266"/>
    </row>
    <row r="92" spans="2:13" ht="15" customHeight="1" x14ac:dyDescent="0.25">
      <c r="B92" s="66" t="s">
        <v>91</v>
      </c>
      <c r="C92" s="73">
        <f>100%-C93</f>
        <v>0.75</v>
      </c>
      <c r="D92" s="53"/>
      <c r="E92" s="264"/>
      <c r="F92" s="265"/>
      <c r="G92" s="265"/>
      <c r="H92" s="265"/>
      <c r="I92" s="265"/>
      <c r="J92" s="265"/>
      <c r="K92" s="265"/>
      <c r="L92" s="265"/>
      <c r="M92" s="266"/>
    </row>
    <row r="93" spans="2:13" ht="15" customHeight="1" x14ac:dyDescent="0.25">
      <c r="B93" s="50" t="s">
        <v>92</v>
      </c>
      <c r="C93" s="28">
        <v>0.25</v>
      </c>
      <c r="D93" s="53"/>
      <c r="E93" s="264"/>
      <c r="F93" s="265"/>
      <c r="G93" s="265"/>
      <c r="H93" s="265"/>
      <c r="I93" s="265"/>
      <c r="J93" s="265"/>
      <c r="K93" s="265"/>
      <c r="L93" s="265"/>
      <c r="M93" s="266"/>
    </row>
    <row r="94" spans="2:13" ht="15" customHeight="1" x14ac:dyDescent="0.25">
      <c r="B94" s="68" t="s">
        <v>93</v>
      </c>
      <c r="C94" s="189">
        <v>0.25800000000000001</v>
      </c>
      <c r="D94" s="61"/>
      <c r="E94" s="268"/>
      <c r="F94" s="269"/>
      <c r="G94" s="269"/>
      <c r="H94" s="269"/>
      <c r="I94" s="269"/>
      <c r="J94" s="269"/>
      <c r="K94" s="269"/>
      <c r="L94" s="269"/>
      <c r="M94" s="270"/>
    </row>
    <row r="95" spans="2:13" x14ac:dyDescent="0.2">
      <c r="C95" s="26"/>
      <c r="E95" s="141"/>
      <c r="F95" s="141"/>
      <c r="G95" s="141"/>
      <c r="H95" s="141"/>
      <c r="I95" s="141"/>
      <c r="J95" s="141"/>
      <c r="K95" s="141"/>
      <c r="L95" s="141"/>
      <c r="M95" s="141"/>
    </row>
    <row r="96" spans="2:13" ht="15" customHeight="1" x14ac:dyDescent="0.25">
      <c r="B96" s="64" t="s">
        <v>94</v>
      </c>
      <c r="C96" s="57" t="s">
        <v>37</v>
      </c>
      <c r="D96" s="57" t="s">
        <v>114</v>
      </c>
      <c r="E96" s="262" t="s">
        <v>31</v>
      </c>
      <c r="F96" s="263"/>
      <c r="G96" s="263"/>
      <c r="H96" s="263"/>
      <c r="I96" s="263"/>
      <c r="J96" s="263"/>
      <c r="K96" s="263"/>
      <c r="L96" s="263"/>
      <c r="M96" s="255"/>
    </row>
    <row r="97" spans="1:44" ht="15" customHeight="1" x14ac:dyDescent="0.25">
      <c r="B97" s="50" t="s">
        <v>95</v>
      </c>
      <c r="C97" s="29"/>
      <c r="D97" s="53" t="s">
        <v>183</v>
      </c>
      <c r="E97" s="264"/>
      <c r="F97" s="265"/>
      <c r="G97" s="265"/>
      <c r="H97" s="265"/>
      <c r="I97" s="265"/>
      <c r="J97" s="265"/>
      <c r="K97" s="265"/>
      <c r="L97" s="265"/>
      <c r="M97" s="266"/>
    </row>
    <row r="98" spans="1:44" ht="15" customHeight="1" x14ac:dyDescent="0.25">
      <c r="B98" s="51" t="s">
        <v>96</v>
      </c>
      <c r="C98" s="30"/>
      <c r="D98" s="61" t="s">
        <v>183</v>
      </c>
      <c r="E98" s="268"/>
      <c r="F98" s="269"/>
      <c r="G98" s="269"/>
      <c r="H98" s="269"/>
      <c r="I98" s="269"/>
      <c r="J98" s="269"/>
      <c r="K98" s="269"/>
      <c r="L98" s="269"/>
      <c r="M98" s="270"/>
    </row>
    <row r="99" spans="1:44" x14ac:dyDescent="0.2">
      <c r="C99" s="26"/>
      <c r="E99" s="141"/>
      <c r="F99" s="141"/>
      <c r="G99" s="141"/>
      <c r="H99" s="141"/>
      <c r="I99" s="141"/>
      <c r="J99" s="141"/>
      <c r="K99" s="141"/>
      <c r="L99" s="141"/>
      <c r="M99" s="141"/>
    </row>
    <row r="100" spans="1:44" ht="15" customHeight="1" x14ac:dyDescent="0.25">
      <c r="B100" s="56" t="s">
        <v>97</v>
      </c>
      <c r="C100" s="57" t="s">
        <v>15</v>
      </c>
      <c r="D100" s="57" t="s">
        <v>37</v>
      </c>
      <c r="E100" s="262" t="s">
        <v>31</v>
      </c>
      <c r="F100" s="263"/>
      <c r="G100" s="263"/>
      <c r="H100" s="263"/>
      <c r="I100" s="263"/>
      <c r="J100" s="263"/>
      <c r="K100" s="263"/>
      <c r="L100" s="263"/>
      <c r="M100" s="255"/>
    </row>
    <row r="101" spans="1:44" ht="15" customHeight="1" x14ac:dyDescent="0.25">
      <c r="B101" s="66"/>
      <c r="C101" s="89">
        <v>16</v>
      </c>
      <c r="D101" s="90">
        <f>-283000000/2</f>
        <v>-141500000</v>
      </c>
      <c r="E101" s="264" t="s">
        <v>184</v>
      </c>
      <c r="F101" s="265"/>
      <c r="G101" s="265"/>
      <c r="H101" s="265"/>
      <c r="I101" s="265"/>
      <c r="J101" s="265"/>
      <c r="K101" s="265"/>
      <c r="L101" s="265"/>
      <c r="M101" s="266"/>
    </row>
    <row r="102" spans="1:44" ht="15" customHeight="1" x14ac:dyDescent="0.25">
      <c r="B102" s="69"/>
      <c r="C102" s="91"/>
      <c r="D102" s="92"/>
      <c r="E102" s="268" t="str">
        <f>"De waarde als reële kosten is gedefinieerd in euro van het jaar "&amp;E105&amp;"."</f>
        <v>De waarde als reële kosten is gedefinieerd in euro van het jaar 2026.</v>
      </c>
      <c r="F102" s="269"/>
      <c r="G102" s="269"/>
      <c r="H102" s="269"/>
      <c r="I102" s="269"/>
      <c r="J102" s="269"/>
      <c r="K102" s="269"/>
      <c r="L102" s="269"/>
      <c r="M102" s="270"/>
    </row>
    <row r="103" spans="1:44" ht="15" customHeight="1" x14ac:dyDescent="0.25">
      <c r="B103" s="51" t="s">
        <v>98</v>
      </c>
      <c r="C103" s="31">
        <v>0</v>
      </c>
      <c r="D103" s="164">
        <v>0.01</v>
      </c>
      <c r="E103" s="268" t="s">
        <v>185</v>
      </c>
      <c r="F103" s="269"/>
      <c r="G103" s="269"/>
      <c r="H103" s="269"/>
      <c r="I103" s="269"/>
      <c r="J103" s="269"/>
      <c r="K103" s="269"/>
      <c r="L103" s="269"/>
      <c r="M103" s="270"/>
    </row>
    <row r="104" spans="1:44" x14ac:dyDescent="0.2">
      <c r="E104" s="190"/>
    </row>
    <row r="105" spans="1:44" s="32" customFormat="1" x14ac:dyDescent="0.2">
      <c r="A105" s="244"/>
      <c r="B105" s="56" t="s">
        <v>186</v>
      </c>
      <c r="C105" s="57"/>
      <c r="D105" s="57" t="s">
        <v>114</v>
      </c>
      <c r="E105" s="57">
        <f>Colofon!C29</f>
        <v>2026</v>
      </c>
      <c r="F105" s="57">
        <f t="shared" ref="F105:AR105" si="0">E105+1</f>
        <v>2027</v>
      </c>
      <c r="G105" s="57">
        <f t="shared" si="0"/>
        <v>2028</v>
      </c>
      <c r="H105" s="57">
        <f t="shared" si="0"/>
        <v>2029</v>
      </c>
      <c r="I105" s="57">
        <f t="shared" si="0"/>
        <v>2030</v>
      </c>
      <c r="J105" s="57">
        <f t="shared" si="0"/>
        <v>2031</v>
      </c>
      <c r="K105" s="57">
        <f t="shared" si="0"/>
        <v>2032</v>
      </c>
      <c r="L105" s="57">
        <f t="shared" si="0"/>
        <v>2033</v>
      </c>
      <c r="M105" s="57">
        <f t="shared" si="0"/>
        <v>2034</v>
      </c>
      <c r="N105" s="57">
        <f t="shared" si="0"/>
        <v>2035</v>
      </c>
      <c r="O105" s="57">
        <f t="shared" si="0"/>
        <v>2036</v>
      </c>
      <c r="P105" s="57">
        <f t="shared" si="0"/>
        <v>2037</v>
      </c>
      <c r="Q105" s="57">
        <f t="shared" si="0"/>
        <v>2038</v>
      </c>
      <c r="R105" s="57">
        <f t="shared" si="0"/>
        <v>2039</v>
      </c>
      <c r="S105" s="57">
        <f t="shared" si="0"/>
        <v>2040</v>
      </c>
      <c r="T105" s="57">
        <f t="shared" si="0"/>
        <v>2041</v>
      </c>
      <c r="U105" s="57">
        <f t="shared" si="0"/>
        <v>2042</v>
      </c>
      <c r="V105" s="57">
        <f t="shared" si="0"/>
        <v>2043</v>
      </c>
      <c r="W105" s="57">
        <f t="shared" si="0"/>
        <v>2044</v>
      </c>
      <c r="X105" s="57">
        <f t="shared" si="0"/>
        <v>2045</v>
      </c>
      <c r="Y105" s="57">
        <f t="shared" si="0"/>
        <v>2046</v>
      </c>
      <c r="Z105" s="57">
        <f t="shared" si="0"/>
        <v>2047</v>
      </c>
      <c r="AA105" s="57">
        <f t="shared" si="0"/>
        <v>2048</v>
      </c>
      <c r="AB105" s="57">
        <f t="shared" si="0"/>
        <v>2049</v>
      </c>
      <c r="AC105" s="57">
        <f t="shared" si="0"/>
        <v>2050</v>
      </c>
      <c r="AD105" s="57">
        <f t="shared" si="0"/>
        <v>2051</v>
      </c>
      <c r="AE105" s="57">
        <f t="shared" si="0"/>
        <v>2052</v>
      </c>
      <c r="AF105" s="57">
        <f t="shared" si="0"/>
        <v>2053</v>
      </c>
      <c r="AG105" s="57">
        <f t="shared" si="0"/>
        <v>2054</v>
      </c>
      <c r="AH105" s="57">
        <f t="shared" si="0"/>
        <v>2055</v>
      </c>
      <c r="AI105" s="57">
        <f t="shared" si="0"/>
        <v>2056</v>
      </c>
      <c r="AJ105" s="57">
        <f t="shared" si="0"/>
        <v>2057</v>
      </c>
      <c r="AK105" s="57">
        <f t="shared" si="0"/>
        <v>2058</v>
      </c>
      <c r="AL105" s="57">
        <f t="shared" si="0"/>
        <v>2059</v>
      </c>
      <c r="AM105" s="57">
        <f t="shared" si="0"/>
        <v>2060</v>
      </c>
      <c r="AN105" s="57">
        <f t="shared" si="0"/>
        <v>2061</v>
      </c>
      <c r="AO105" s="57">
        <f t="shared" si="0"/>
        <v>2062</v>
      </c>
      <c r="AP105" s="57">
        <f t="shared" si="0"/>
        <v>2063</v>
      </c>
      <c r="AQ105" s="57">
        <f t="shared" si="0"/>
        <v>2064</v>
      </c>
      <c r="AR105" s="136">
        <f t="shared" si="0"/>
        <v>2065</v>
      </c>
    </row>
    <row r="106" spans="1:44" s="247" customFormat="1" ht="13.5" customHeight="1" x14ac:dyDescent="0.25">
      <c r="B106" s="274" t="s">
        <v>187</v>
      </c>
      <c r="C106" s="275"/>
      <c r="D106" s="191" t="str">
        <f>CONCATENATE("Euro/",$C$7)</f>
        <v>Euro/kWh</v>
      </c>
      <c r="E106" s="93"/>
      <c r="F106" s="192">
        <f t="shared" ref="F106:AR106" si="1">IF(F$111&lt;=$C76,$E$106,)</f>
        <v>0</v>
      </c>
      <c r="G106" s="192">
        <f t="shared" si="1"/>
        <v>0</v>
      </c>
      <c r="H106" s="192">
        <f t="shared" si="1"/>
        <v>0</v>
      </c>
      <c r="I106" s="192">
        <f t="shared" si="1"/>
        <v>0</v>
      </c>
      <c r="J106" s="192">
        <f t="shared" si="1"/>
        <v>0</v>
      </c>
      <c r="K106" s="192">
        <f t="shared" si="1"/>
        <v>0</v>
      </c>
      <c r="L106" s="192">
        <f t="shared" si="1"/>
        <v>0</v>
      </c>
      <c r="M106" s="192">
        <f t="shared" si="1"/>
        <v>0</v>
      </c>
      <c r="N106" s="192">
        <f t="shared" si="1"/>
        <v>0</v>
      </c>
      <c r="O106" s="192">
        <f t="shared" si="1"/>
        <v>0</v>
      </c>
      <c r="P106" s="192">
        <f t="shared" si="1"/>
        <v>0</v>
      </c>
      <c r="Q106" s="192">
        <f t="shared" si="1"/>
        <v>0</v>
      </c>
      <c r="R106" s="192">
        <f t="shared" si="1"/>
        <v>0</v>
      </c>
      <c r="S106" s="192">
        <f t="shared" si="1"/>
        <v>0</v>
      </c>
      <c r="T106" s="192">
        <f t="shared" si="1"/>
        <v>0</v>
      </c>
      <c r="U106" s="192">
        <f t="shared" si="1"/>
        <v>0</v>
      </c>
      <c r="V106" s="192">
        <f t="shared" si="1"/>
        <v>0</v>
      </c>
      <c r="W106" s="192">
        <f t="shared" si="1"/>
        <v>0</v>
      </c>
      <c r="X106" s="192">
        <f t="shared" si="1"/>
        <v>0</v>
      </c>
      <c r="Y106" s="192">
        <f t="shared" si="1"/>
        <v>0</v>
      </c>
      <c r="Z106" s="192">
        <f t="shared" si="1"/>
        <v>0</v>
      </c>
      <c r="AA106" s="192">
        <f t="shared" si="1"/>
        <v>0</v>
      </c>
      <c r="AB106" s="192">
        <f t="shared" si="1"/>
        <v>0</v>
      </c>
      <c r="AC106" s="192">
        <f t="shared" si="1"/>
        <v>0</v>
      </c>
      <c r="AD106" s="192">
        <f t="shared" si="1"/>
        <v>0</v>
      </c>
      <c r="AE106" s="192">
        <f t="shared" si="1"/>
        <v>0</v>
      </c>
      <c r="AF106" s="192">
        <f t="shared" si="1"/>
        <v>0</v>
      </c>
      <c r="AG106" s="192">
        <f t="shared" si="1"/>
        <v>0</v>
      </c>
      <c r="AH106" s="192">
        <f t="shared" si="1"/>
        <v>0</v>
      </c>
      <c r="AI106" s="192">
        <f t="shared" si="1"/>
        <v>0</v>
      </c>
      <c r="AJ106" s="192">
        <f t="shared" si="1"/>
        <v>0</v>
      </c>
      <c r="AK106" s="192">
        <f t="shared" si="1"/>
        <v>0</v>
      </c>
      <c r="AL106" s="192">
        <f t="shared" si="1"/>
        <v>0</v>
      </c>
      <c r="AM106" s="192">
        <f t="shared" si="1"/>
        <v>0</v>
      </c>
      <c r="AN106" s="192">
        <f t="shared" si="1"/>
        <v>0</v>
      </c>
      <c r="AO106" s="192">
        <f t="shared" si="1"/>
        <v>0</v>
      </c>
      <c r="AP106" s="192">
        <f t="shared" si="1"/>
        <v>0</v>
      </c>
      <c r="AQ106" s="192">
        <f t="shared" si="1"/>
        <v>0</v>
      </c>
      <c r="AR106" s="192">
        <f t="shared" si="1"/>
        <v>0</v>
      </c>
    </row>
    <row r="107" spans="1:44" s="247" customFormat="1" ht="13.5" customHeight="1" x14ac:dyDescent="0.25">
      <c r="B107" s="274" t="s">
        <v>188</v>
      </c>
      <c r="C107" s="275"/>
      <c r="D107" s="191" t="str">
        <f>CONCATENATE("Euro/",$C$7)</f>
        <v>Euro/kWh</v>
      </c>
      <c r="E107" s="93"/>
      <c r="F107" s="192">
        <f t="shared" ref="F107:AR107" si="2">IF(F$111&lt;=$C73,$E$107*F108,)</f>
        <v>0</v>
      </c>
      <c r="G107" s="192">
        <f t="shared" si="2"/>
        <v>0</v>
      </c>
      <c r="H107" s="192">
        <f t="shared" si="2"/>
        <v>0</v>
      </c>
      <c r="I107" s="192">
        <f t="shared" si="2"/>
        <v>0</v>
      </c>
      <c r="J107" s="192">
        <f t="shared" si="2"/>
        <v>0</v>
      </c>
      <c r="K107" s="192">
        <f t="shared" si="2"/>
        <v>0</v>
      </c>
      <c r="L107" s="192">
        <f t="shared" si="2"/>
        <v>0</v>
      </c>
      <c r="M107" s="192">
        <f t="shared" si="2"/>
        <v>0</v>
      </c>
      <c r="N107" s="192">
        <f t="shared" si="2"/>
        <v>0</v>
      </c>
      <c r="O107" s="192">
        <f t="shared" si="2"/>
        <v>0</v>
      </c>
      <c r="P107" s="192">
        <f t="shared" si="2"/>
        <v>0</v>
      </c>
      <c r="Q107" s="192">
        <f t="shared" si="2"/>
        <v>0</v>
      </c>
      <c r="R107" s="192">
        <f t="shared" si="2"/>
        <v>0</v>
      </c>
      <c r="S107" s="192">
        <f t="shared" si="2"/>
        <v>0</v>
      </c>
      <c r="T107" s="192">
        <f t="shared" si="2"/>
        <v>0</v>
      </c>
      <c r="U107" s="192">
        <f t="shared" si="2"/>
        <v>0</v>
      </c>
      <c r="V107" s="192">
        <f t="shared" si="2"/>
        <v>0</v>
      </c>
      <c r="W107" s="192">
        <f t="shared" si="2"/>
        <v>0</v>
      </c>
      <c r="X107" s="192">
        <f t="shared" si="2"/>
        <v>0</v>
      </c>
      <c r="Y107" s="192">
        <f t="shared" si="2"/>
        <v>0</v>
      </c>
      <c r="Z107" s="192">
        <f t="shared" si="2"/>
        <v>0</v>
      </c>
      <c r="AA107" s="192">
        <f t="shared" si="2"/>
        <v>0</v>
      </c>
      <c r="AB107" s="192">
        <f t="shared" si="2"/>
        <v>0</v>
      </c>
      <c r="AC107" s="192">
        <f t="shared" si="2"/>
        <v>0</v>
      </c>
      <c r="AD107" s="192">
        <f t="shared" si="2"/>
        <v>0</v>
      </c>
      <c r="AE107" s="192">
        <f t="shared" si="2"/>
        <v>0</v>
      </c>
      <c r="AF107" s="192">
        <f t="shared" si="2"/>
        <v>0</v>
      </c>
      <c r="AG107" s="192">
        <f t="shared" si="2"/>
        <v>0</v>
      </c>
      <c r="AH107" s="192">
        <f t="shared" si="2"/>
        <v>0</v>
      </c>
      <c r="AI107" s="192">
        <f t="shared" si="2"/>
        <v>0</v>
      </c>
      <c r="AJ107" s="192">
        <f t="shared" si="2"/>
        <v>0</v>
      </c>
      <c r="AK107" s="192">
        <f t="shared" si="2"/>
        <v>0</v>
      </c>
      <c r="AL107" s="192">
        <f t="shared" si="2"/>
        <v>0</v>
      </c>
      <c r="AM107" s="192">
        <f t="shared" si="2"/>
        <v>0</v>
      </c>
      <c r="AN107" s="192">
        <f t="shared" si="2"/>
        <v>0</v>
      </c>
      <c r="AO107" s="192">
        <f t="shared" si="2"/>
        <v>0</v>
      </c>
      <c r="AP107" s="192">
        <f t="shared" si="2"/>
        <v>0</v>
      </c>
      <c r="AQ107" s="192">
        <f t="shared" si="2"/>
        <v>0</v>
      </c>
      <c r="AR107" s="192">
        <f t="shared" si="2"/>
        <v>0</v>
      </c>
    </row>
    <row r="108" spans="1:44" x14ac:dyDescent="0.2">
      <c r="B108" s="69" t="s">
        <v>189</v>
      </c>
      <c r="C108" s="193"/>
      <c r="D108" s="193" t="s">
        <v>190</v>
      </c>
      <c r="E108" s="77">
        <f t="shared" ref="E108:AR108" si="3">POWER(1+$C$89,E111-$E$111)</f>
        <v>1</v>
      </c>
      <c r="F108" s="77">
        <f t="shared" si="3"/>
        <v>1.02</v>
      </c>
      <c r="G108" s="77">
        <f t="shared" si="3"/>
        <v>1.0404</v>
      </c>
      <c r="H108" s="77">
        <f t="shared" si="3"/>
        <v>1.0612079999999999</v>
      </c>
      <c r="I108" s="77">
        <f t="shared" si="3"/>
        <v>1.08243216</v>
      </c>
      <c r="J108" s="77">
        <f t="shared" si="3"/>
        <v>1.1040808032</v>
      </c>
      <c r="K108" s="77">
        <f t="shared" si="3"/>
        <v>1.1261624192640001</v>
      </c>
      <c r="L108" s="77">
        <f t="shared" si="3"/>
        <v>1.1486856676492798</v>
      </c>
      <c r="M108" s="77">
        <f t="shared" si="3"/>
        <v>1.1716593810022655</v>
      </c>
      <c r="N108" s="77">
        <f t="shared" si="3"/>
        <v>1.1950925686223108</v>
      </c>
      <c r="O108" s="77">
        <f t="shared" si="3"/>
        <v>1.2189944199947571</v>
      </c>
      <c r="P108" s="77">
        <f t="shared" si="3"/>
        <v>1.243374308394652</v>
      </c>
      <c r="Q108" s="77">
        <f t="shared" si="3"/>
        <v>1.2682417945625453</v>
      </c>
      <c r="R108" s="77">
        <f t="shared" si="3"/>
        <v>1.2936066304537961</v>
      </c>
      <c r="S108" s="77">
        <f t="shared" si="3"/>
        <v>1.3194787630628722</v>
      </c>
      <c r="T108" s="77">
        <f t="shared" si="3"/>
        <v>1.3458683383241292</v>
      </c>
      <c r="U108" s="77">
        <f t="shared" si="3"/>
        <v>1.372785705090612</v>
      </c>
      <c r="V108" s="77">
        <f t="shared" si="3"/>
        <v>1.4002414191924244</v>
      </c>
      <c r="W108" s="77">
        <f t="shared" si="3"/>
        <v>1.4282462475762727</v>
      </c>
      <c r="X108" s="77">
        <f t="shared" si="3"/>
        <v>1.4568111725277981</v>
      </c>
      <c r="Y108" s="77">
        <f t="shared" si="3"/>
        <v>1.4859473959783542</v>
      </c>
      <c r="Z108" s="77">
        <f t="shared" si="3"/>
        <v>1.5156663438979212</v>
      </c>
      <c r="AA108" s="77">
        <f t="shared" si="3"/>
        <v>1.5459796707758797</v>
      </c>
      <c r="AB108" s="77">
        <f t="shared" si="3"/>
        <v>1.576899264191397</v>
      </c>
      <c r="AC108" s="77">
        <f t="shared" si="3"/>
        <v>1.608437249475225</v>
      </c>
      <c r="AD108" s="77">
        <f t="shared" si="3"/>
        <v>1.6406059944647295</v>
      </c>
      <c r="AE108" s="77">
        <f t="shared" si="3"/>
        <v>1.6734181143540243</v>
      </c>
      <c r="AF108" s="77">
        <f t="shared" si="3"/>
        <v>1.7068864766411045</v>
      </c>
      <c r="AG108" s="77">
        <f t="shared" si="3"/>
        <v>1.7410242061739269</v>
      </c>
      <c r="AH108" s="77">
        <f t="shared" si="3"/>
        <v>1.7758446902974052</v>
      </c>
      <c r="AI108" s="77">
        <f t="shared" si="3"/>
        <v>1.8113615841033535</v>
      </c>
      <c r="AJ108" s="77">
        <f t="shared" si="3"/>
        <v>1.8475888157854201</v>
      </c>
      <c r="AK108" s="77">
        <f t="shared" si="3"/>
        <v>1.8845405921011289</v>
      </c>
      <c r="AL108" s="77">
        <f t="shared" si="3"/>
        <v>1.9222314039431516</v>
      </c>
      <c r="AM108" s="77">
        <f t="shared" si="3"/>
        <v>1.9606760320220145</v>
      </c>
      <c r="AN108" s="77">
        <f t="shared" si="3"/>
        <v>1.9998895526624547</v>
      </c>
      <c r="AO108" s="77">
        <f t="shared" si="3"/>
        <v>2.0398873437157037</v>
      </c>
      <c r="AP108" s="77">
        <f t="shared" si="3"/>
        <v>2.080685090590018</v>
      </c>
      <c r="AQ108" s="77">
        <f t="shared" si="3"/>
        <v>2.1222987924018186</v>
      </c>
      <c r="AR108" s="78">
        <f t="shared" si="3"/>
        <v>2.1647447682498542</v>
      </c>
    </row>
    <row r="109" spans="1:44" ht="12.95" customHeight="1" x14ac:dyDescent="0.2"/>
    <row r="110" spans="1:44" ht="12.95" customHeight="1" x14ac:dyDescent="0.25">
      <c r="B110" s="276" t="s">
        <v>191</v>
      </c>
      <c r="C110" s="263"/>
      <c r="D110" s="263"/>
      <c r="E110" s="263"/>
      <c r="F110" s="263"/>
      <c r="G110" s="263"/>
      <c r="H110" s="263"/>
      <c r="I110" s="263"/>
      <c r="J110" s="263"/>
      <c r="K110" s="263"/>
      <c r="L110" s="263"/>
      <c r="M110" s="263"/>
      <c r="N110" s="155"/>
      <c r="O110" s="155"/>
      <c r="P110" s="155"/>
      <c r="Q110" s="155"/>
      <c r="R110" s="155"/>
      <c r="S110" s="155"/>
      <c r="T110" s="155"/>
      <c r="U110" s="155"/>
      <c r="V110" s="155"/>
      <c r="W110" s="155"/>
      <c r="X110" s="155"/>
      <c r="Y110" s="155"/>
      <c r="Z110" s="155"/>
      <c r="AA110" s="155"/>
      <c r="AB110" s="155"/>
      <c r="AC110" s="155"/>
      <c r="AD110" s="155"/>
      <c r="AE110" s="155"/>
      <c r="AF110" s="155"/>
      <c r="AG110" s="155"/>
      <c r="AH110" s="155"/>
      <c r="AI110" s="155"/>
      <c r="AJ110" s="155"/>
      <c r="AK110" s="155"/>
      <c r="AL110" s="155"/>
      <c r="AM110" s="155"/>
      <c r="AN110" s="155"/>
      <c r="AO110" s="155"/>
      <c r="AP110" s="155"/>
      <c r="AQ110" s="155"/>
      <c r="AR110" s="156"/>
    </row>
    <row r="111" spans="1:44" ht="12.95" customHeight="1" x14ac:dyDescent="0.2">
      <c r="B111" s="157" t="s">
        <v>192</v>
      </c>
      <c r="C111" s="143"/>
      <c r="D111" s="144">
        <v>0</v>
      </c>
      <c r="E111" s="144">
        <v>1</v>
      </c>
      <c r="F111" s="144">
        <v>2</v>
      </c>
      <c r="G111" s="144">
        <v>3</v>
      </c>
      <c r="H111" s="144">
        <v>4</v>
      </c>
      <c r="I111" s="144">
        <v>5</v>
      </c>
      <c r="J111" s="144">
        <v>6</v>
      </c>
      <c r="K111" s="144">
        <v>7</v>
      </c>
      <c r="L111" s="144">
        <v>8</v>
      </c>
      <c r="M111" s="144">
        <v>9</v>
      </c>
      <c r="N111" s="144">
        <v>10</v>
      </c>
      <c r="O111" s="144">
        <v>11</v>
      </c>
      <c r="P111" s="144">
        <v>12</v>
      </c>
      <c r="Q111" s="144">
        <v>13</v>
      </c>
      <c r="R111" s="144">
        <v>14</v>
      </c>
      <c r="S111" s="144">
        <v>15</v>
      </c>
      <c r="T111" s="144">
        <v>16</v>
      </c>
      <c r="U111" s="144">
        <v>17</v>
      </c>
      <c r="V111" s="144">
        <v>18</v>
      </c>
      <c r="W111" s="144">
        <v>19</v>
      </c>
      <c r="X111" s="144">
        <v>20</v>
      </c>
      <c r="Y111" s="144">
        <v>21</v>
      </c>
      <c r="Z111" s="144">
        <v>22</v>
      </c>
      <c r="AA111" s="144">
        <v>23</v>
      </c>
      <c r="AB111" s="144">
        <v>24</v>
      </c>
      <c r="AC111" s="144">
        <v>25</v>
      </c>
      <c r="AD111" s="144">
        <v>26</v>
      </c>
      <c r="AE111" s="144">
        <v>27</v>
      </c>
      <c r="AF111" s="144">
        <v>28</v>
      </c>
      <c r="AG111" s="144">
        <v>29</v>
      </c>
      <c r="AH111" s="144">
        <v>30</v>
      </c>
      <c r="AI111" s="144">
        <v>31</v>
      </c>
      <c r="AJ111" s="144">
        <v>32</v>
      </c>
      <c r="AK111" s="144">
        <v>33</v>
      </c>
      <c r="AL111" s="144">
        <v>34</v>
      </c>
      <c r="AM111" s="144">
        <v>35</v>
      </c>
      <c r="AN111" s="144">
        <v>36</v>
      </c>
      <c r="AO111" s="144">
        <v>37</v>
      </c>
      <c r="AP111" s="144">
        <v>38</v>
      </c>
      <c r="AQ111" s="144">
        <v>39</v>
      </c>
      <c r="AR111" s="158">
        <v>40</v>
      </c>
    </row>
    <row r="112" spans="1:44" ht="12.95" customHeight="1" x14ac:dyDescent="0.2">
      <c r="B112" s="50" t="s">
        <v>193</v>
      </c>
      <c r="C112" s="145" t="s">
        <v>183</v>
      </c>
      <c r="D112" s="146">
        <f>-C151</f>
        <v>-3035259130.4686875</v>
      </c>
      <c r="E112" s="147"/>
      <c r="F112" s="147"/>
      <c r="G112" s="147"/>
      <c r="H112" s="147"/>
      <c r="I112" s="147"/>
      <c r="J112" s="147"/>
      <c r="K112" s="147"/>
      <c r="L112" s="147"/>
      <c r="M112" s="147"/>
      <c r="N112" s="147"/>
      <c r="O112" s="147"/>
      <c r="P112" s="147"/>
      <c r="Q112" s="147"/>
      <c r="R112" s="147"/>
      <c r="S112" s="147"/>
      <c r="T112" s="147"/>
      <c r="U112" s="147"/>
      <c r="V112" s="147"/>
      <c r="W112" s="147"/>
      <c r="X112" s="147"/>
      <c r="Y112" s="147"/>
      <c r="Z112" s="147"/>
      <c r="AA112" s="147"/>
      <c r="AB112" s="147"/>
      <c r="AC112" s="147"/>
      <c r="AD112" s="147"/>
      <c r="AE112" s="147"/>
      <c r="AF112" s="147"/>
      <c r="AG112" s="147"/>
      <c r="AH112" s="147"/>
      <c r="AI112" s="147"/>
      <c r="AJ112" s="147"/>
      <c r="AK112" s="147"/>
      <c r="AL112" s="147"/>
      <c r="AM112" s="147"/>
      <c r="AN112" s="147"/>
      <c r="AO112" s="147"/>
      <c r="AP112" s="147"/>
      <c r="AQ112" s="147"/>
      <c r="AR112" s="159"/>
    </row>
    <row r="113" spans="2:44" ht="12.95" customHeight="1" x14ac:dyDescent="0.2">
      <c r="B113" s="157" t="s">
        <v>194</v>
      </c>
      <c r="C113" s="148"/>
      <c r="D113" s="149"/>
      <c r="E113" s="149"/>
      <c r="F113" s="149"/>
      <c r="G113" s="149"/>
      <c r="H113" s="149"/>
      <c r="I113" s="149"/>
      <c r="J113" s="149"/>
      <c r="K113" s="149"/>
      <c r="L113" s="149"/>
      <c r="M113" s="149"/>
      <c r="N113" s="149"/>
      <c r="O113" s="149"/>
      <c r="P113" s="149"/>
      <c r="Q113" s="149"/>
      <c r="R113" s="149"/>
      <c r="S113" s="149"/>
      <c r="T113" s="149"/>
      <c r="U113" s="149"/>
      <c r="V113" s="149"/>
      <c r="W113" s="149"/>
      <c r="X113" s="149"/>
      <c r="Y113" s="149"/>
      <c r="Z113" s="149"/>
      <c r="AA113" s="149"/>
      <c r="AB113" s="149"/>
      <c r="AC113" s="149"/>
      <c r="AD113" s="149"/>
      <c r="AE113" s="149"/>
      <c r="AF113" s="149"/>
      <c r="AG113" s="149"/>
      <c r="AH113" s="149"/>
      <c r="AI113" s="149"/>
      <c r="AJ113" s="149"/>
      <c r="AK113" s="149"/>
      <c r="AL113" s="149"/>
      <c r="AM113" s="149"/>
      <c r="AN113" s="149"/>
      <c r="AO113" s="149"/>
      <c r="AP113" s="149"/>
      <c r="AQ113" s="149"/>
      <c r="AR113" s="160"/>
    </row>
    <row r="114" spans="2:44" x14ac:dyDescent="0.2">
      <c r="B114" s="50" t="s">
        <v>195</v>
      </c>
      <c r="C114" s="150" t="str">
        <f>$C$7</f>
        <v>kWh</v>
      </c>
      <c r="D114" s="145"/>
      <c r="E114" s="194">
        <f t="shared" ref="E114:AR114" si="4">IF(E111&lt;=$C$76,$C$28*$C$30,IF(AND(E111&gt;$C$76,E111&lt;=$C$73),$C$28*$C$81,0))*IF($C$33=0,1,$C$34/$C$33)</f>
        <v>3852080000</v>
      </c>
      <c r="F114" s="194">
        <f t="shared" si="4"/>
        <v>3852080000</v>
      </c>
      <c r="G114" s="194">
        <f t="shared" si="4"/>
        <v>3852080000</v>
      </c>
      <c r="H114" s="194">
        <f t="shared" si="4"/>
        <v>3852080000</v>
      </c>
      <c r="I114" s="194">
        <f t="shared" si="4"/>
        <v>3852080000</v>
      </c>
      <c r="J114" s="194">
        <f t="shared" si="4"/>
        <v>3852080000</v>
      </c>
      <c r="K114" s="194">
        <f t="shared" si="4"/>
        <v>3852080000</v>
      </c>
      <c r="L114" s="194">
        <f t="shared" si="4"/>
        <v>3852080000</v>
      </c>
      <c r="M114" s="194">
        <f t="shared" si="4"/>
        <v>3852080000</v>
      </c>
      <c r="N114" s="194">
        <f t="shared" si="4"/>
        <v>3852080000</v>
      </c>
      <c r="O114" s="194">
        <f t="shared" si="4"/>
        <v>3852080000</v>
      </c>
      <c r="P114" s="194">
        <f t="shared" si="4"/>
        <v>3852080000</v>
      </c>
      <c r="Q114" s="194">
        <f t="shared" si="4"/>
        <v>3852080000</v>
      </c>
      <c r="R114" s="194">
        <f t="shared" si="4"/>
        <v>3852080000</v>
      </c>
      <c r="S114" s="194">
        <f t="shared" si="4"/>
        <v>3852080000</v>
      </c>
      <c r="T114" s="194">
        <f t="shared" si="4"/>
        <v>4012080000</v>
      </c>
      <c r="U114" s="194">
        <f t="shared" si="4"/>
        <v>4012080000</v>
      </c>
      <c r="V114" s="194">
        <f t="shared" si="4"/>
        <v>4012080000</v>
      </c>
      <c r="W114" s="194">
        <f t="shared" si="4"/>
        <v>4012080000</v>
      </c>
      <c r="X114" s="194">
        <f t="shared" si="4"/>
        <v>4012080000</v>
      </c>
      <c r="Y114" s="194">
        <f t="shared" si="4"/>
        <v>4012080000</v>
      </c>
      <c r="Z114" s="194">
        <f t="shared" si="4"/>
        <v>4012080000</v>
      </c>
      <c r="AA114" s="194">
        <f t="shared" si="4"/>
        <v>4012080000</v>
      </c>
      <c r="AB114" s="194">
        <f t="shared" si="4"/>
        <v>4012080000</v>
      </c>
      <c r="AC114" s="194">
        <f t="shared" si="4"/>
        <v>4012080000</v>
      </c>
      <c r="AD114" s="194">
        <f t="shared" si="4"/>
        <v>4012080000</v>
      </c>
      <c r="AE114" s="194">
        <f t="shared" si="4"/>
        <v>4012080000</v>
      </c>
      <c r="AF114" s="194">
        <f t="shared" si="4"/>
        <v>4012080000</v>
      </c>
      <c r="AG114" s="194">
        <f t="shared" si="4"/>
        <v>4012080000</v>
      </c>
      <c r="AH114" s="194">
        <f t="shared" si="4"/>
        <v>4012080000</v>
      </c>
      <c r="AI114" s="194">
        <f t="shared" si="4"/>
        <v>4012080000</v>
      </c>
      <c r="AJ114" s="194">
        <f t="shared" si="4"/>
        <v>4012080000</v>
      </c>
      <c r="AK114" s="194">
        <f t="shared" si="4"/>
        <v>4012080000</v>
      </c>
      <c r="AL114" s="194">
        <f t="shared" si="4"/>
        <v>4012080000</v>
      </c>
      <c r="AM114" s="194">
        <f t="shared" si="4"/>
        <v>4012080000</v>
      </c>
      <c r="AN114" s="194">
        <f t="shared" si="4"/>
        <v>0</v>
      </c>
      <c r="AO114" s="194">
        <f t="shared" si="4"/>
        <v>0</v>
      </c>
      <c r="AP114" s="194">
        <f t="shared" si="4"/>
        <v>0</v>
      </c>
      <c r="AQ114" s="194">
        <f t="shared" si="4"/>
        <v>0</v>
      </c>
      <c r="AR114" s="195">
        <f t="shared" si="4"/>
        <v>0</v>
      </c>
    </row>
    <row r="115" spans="2:44" x14ac:dyDescent="0.2">
      <c r="B115" s="50" t="s">
        <v>196</v>
      </c>
      <c r="C115" s="150" t="str">
        <f>$C$7</f>
        <v>kWh</v>
      </c>
      <c r="D115" s="145"/>
      <c r="E115" s="194">
        <f t="shared" ref="E115:AR115" si="5">IF($C$23="Ja",0,IF(E111&lt;=$C$76,$C$26*$C$29,IF(AND(E111&gt;$C$76,E111&lt;=$C$73),$C$26*$C$83,0)))</f>
        <v>0</v>
      </c>
      <c r="F115" s="194">
        <f t="shared" si="5"/>
        <v>0</v>
      </c>
      <c r="G115" s="194">
        <f t="shared" si="5"/>
        <v>0</v>
      </c>
      <c r="H115" s="194">
        <f t="shared" si="5"/>
        <v>0</v>
      </c>
      <c r="I115" s="194">
        <f t="shared" si="5"/>
        <v>0</v>
      </c>
      <c r="J115" s="194">
        <f t="shared" si="5"/>
        <v>0</v>
      </c>
      <c r="K115" s="194">
        <f t="shared" si="5"/>
        <v>0</v>
      </c>
      <c r="L115" s="194">
        <f t="shared" si="5"/>
        <v>0</v>
      </c>
      <c r="M115" s="194">
        <f t="shared" si="5"/>
        <v>0</v>
      </c>
      <c r="N115" s="194">
        <f t="shared" si="5"/>
        <v>0</v>
      </c>
      <c r="O115" s="194">
        <f t="shared" si="5"/>
        <v>0</v>
      </c>
      <c r="P115" s="194">
        <f t="shared" si="5"/>
        <v>0</v>
      </c>
      <c r="Q115" s="194">
        <f t="shared" si="5"/>
        <v>0</v>
      </c>
      <c r="R115" s="194">
        <f t="shared" si="5"/>
        <v>0</v>
      </c>
      <c r="S115" s="194">
        <f t="shared" si="5"/>
        <v>0</v>
      </c>
      <c r="T115" s="194">
        <f t="shared" si="5"/>
        <v>0</v>
      </c>
      <c r="U115" s="194">
        <f t="shared" si="5"/>
        <v>0</v>
      </c>
      <c r="V115" s="194">
        <f t="shared" si="5"/>
        <v>0</v>
      </c>
      <c r="W115" s="194">
        <f t="shared" si="5"/>
        <v>0</v>
      </c>
      <c r="X115" s="194">
        <f t="shared" si="5"/>
        <v>0</v>
      </c>
      <c r="Y115" s="194">
        <f t="shared" si="5"/>
        <v>0</v>
      </c>
      <c r="Z115" s="194">
        <f t="shared" si="5"/>
        <v>0</v>
      </c>
      <c r="AA115" s="194">
        <f t="shared" si="5"/>
        <v>0</v>
      </c>
      <c r="AB115" s="194">
        <f t="shared" si="5"/>
        <v>0</v>
      </c>
      <c r="AC115" s="194">
        <f t="shared" si="5"/>
        <v>0</v>
      </c>
      <c r="AD115" s="194">
        <f t="shared" si="5"/>
        <v>0</v>
      </c>
      <c r="AE115" s="194">
        <f t="shared" si="5"/>
        <v>0</v>
      </c>
      <c r="AF115" s="194">
        <f t="shared" si="5"/>
        <v>0</v>
      </c>
      <c r="AG115" s="194">
        <f t="shared" si="5"/>
        <v>0</v>
      </c>
      <c r="AH115" s="194">
        <f t="shared" si="5"/>
        <v>0</v>
      </c>
      <c r="AI115" s="194">
        <f t="shared" si="5"/>
        <v>0</v>
      </c>
      <c r="AJ115" s="194">
        <f t="shared" si="5"/>
        <v>0</v>
      </c>
      <c r="AK115" s="194">
        <f t="shared" si="5"/>
        <v>0</v>
      </c>
      <c r="AL115" s="194">
        <f t="shared" si="5"/>
        <v>0</v>
      </c>
      <c r="AM115" s="194">
        <f t="shared" si="5"/>
        <v>0</v>
      </c>
      <c r="AN115" s="194">
        <f t="shared" si="5"/>
        <v>0</v>
      </c>
      <c r="AO115" s="194">
        <f t="shared" si="5"/>
        <v>0</v>
      </c>
      <c r="AP115" s="194">
        <f t="shared" si="5"/>
        <v>0</v>
      </c>
      <c r="AQ115" s="194">
        <f t="shared" si="5"/>
        <v>0</v>
      </c>
      <c r="AR115" s="195">
        <f t="shared" si="5"/>
        <v>0</v>
      </c>
    </row>
    <row r="116" spans="2:44" x14ac:dyDescent="0.2">
      <c r="B116" s="50" t="s">
        <v>197</v>
      </c>
      <c r="C116" s="145" t="s">
        <v>198</v>
      </c>
      <c r="D116" s="145"/>
      <c r="E116" s="194">
        <f t="shared" ref="E116:AR116" si="6">IF(OR(E111&gt;$C$73,$C$23&lt;&gt;"JA"),0,$C$26*$C$29*$C$174/$C$173)</f>
        <v>0</v>
      </c>
      <c r="F116" s="194">
        <f t="shared" si="6"/>
        <v>0</v>
      </c>
      <c r="G116" s="194">
        <f t="shared" si="6"/>
        <v>0</v>
      </c>
      <c r="H116" s="194">
        <f t="shared" si="6"/>
        <v>0</v>
      </c>
      <c r="I116" s="194">
        <f t="shared" si="6"/>
        <v>0</v>
      </c>
      <c r="J116" s="194">
        <f t="shared" si="6"/>
        <v>0</v>
      </c>
      <c r="K116" s="194">
        <f t="shared" si="6"/>
        <v>0</v>
      </c>
      <c r="L116" s="194">
        <f t="shared" si="6"/>
        <v>0</v>
      </c>
      <c r="M116" s="194">
        <f t="shared" si="6"/>
        <v>0</v>
      </c>
      <c r="N116" s="194">
        <f t="shared" si="6"/>
        <v>0</v>
      </c>
      <c r="O116" s="194">
        <f t="shared" si="6"/>
        <v>0</v>
      </c>
      <c r="P116" s="194">
        <f t="shared" si="6"/>
        <v>0</v>
      </c>
      <c r="Q116" s="194">
        <f t="shared" si="6"/>
        <v>0</v>
      </c>
      <c r="R116" s="194">
        <f t="shared" si="6"/>
        <v>0</v>
      </c>
      <c r="S116" s="194">
        <f t="shared" si="6"/>
        <v>0</v>
      </c>
      <c r="T116" s="194">
        <f t="shared" si="6"/>
        <v>0</v>
      </c>
      <c r="U116" s="194">
        <f t="shared" si="6"/>
        <v>0</v>
      </c>
      <c r="V116" s="194">
        <f t="shared" si="6"/>
        <v>0</v>
      </c>
      <c r="W116" s="194">
        <f t="shared" si="6"/>
        <v>0</v>
      </c>
      <c r="X116" s="194">
        <f t="shared" si="6"/>
        <v>0</v>
      </c>
      <c r="Y116" s="194">
        <f t="shared" si="6"/>
        <v>0</v>
      </c>
      <c r="Z116" s="194">
        <f t="shared" si="6"/>
        <v>0</v>
      </c>
      <c r="AA116" s="194">
        <f t="shared" si="6"/>
        <v>0</v>
      </c>
      <c r="AB116" s="194">
        <f t="shared" si="6"/>
        <v>0</v>
      </c>
      <c r="AC116" s="194">
        <f t="shared" si="6"/>
        <v>0</v>
      </c>
      <c r="AD116" s="194">
        <f t="shared" si="6"/>
        <v>0</v>
      </c>
      <c r="AE116" s="194">
        <f t="shared" si="6"/>
        <v>0</v>
      </c>
      <c r="AF116" s="194">
        <f t="shared" si="6"/>
        <v>0</v>
      </c>
      <c r="AG116" s="194">
        <f t="shared" si="6"/>
        <v>0</v>
      </c>
      <c r="AH116" s="194">
        <f t="shared" si="6"/>
        <v>0</v>
      </c>
      <c r="AI116" s="194">
        <f t="shared" si="6"/>
        <v>0</v>
      </c>
      <c r="AJ116" s="194">
        <f t="shared" si="6"/>
        <v>0</v>
      </c>
      <c r="AK116" s="194">
        <f t="shared" si="6"/>
        <v>0</v>
      </c>
      <c r="AL116" s="194">
        <f t="shared" si="6"/>
        <v>0</v>
      </c>
      <c r="AM116" s="194">
        <f t="shared" si="6"/>
        <v>0</v>
      </c>
      <c r="AN116" s="194">
        <f t="shared" si="6"/>
        <v>0</v>
      </c>
      <c r="AO116" s="194">
        <f t="shared" si="6"/>
        <v>0</v>
      </c>
      <c r="AP116" s="194">
        <f t="shared" si="6"/>
        <v>0</v>
      </c>
      <c r="AQ116" s="194">
        <f t="shared" si="6"/>
        <v>0</v>
      </c>
      <c r="AR116" s="195">
        <f t="shared" si="6"/>
        <v>0</v>
      </c>
    </row>
    <row r="117" spans="2:44" x14ac:dyDescent="0.2">
      <c r="B117" s="161" t="s">
        <v>199</v>
      </c>
      <c r="C117" s="151" t="str">
        <f>$C$7</f>
        <v>kWh</v>
      </c>
      <c r="D117" s="152"/>
      <c r="E117" s="196">
        <f t="shared" ref="E117:AR117" si="7">SUM(E114:E116)</f>
        <v>3852080000</v>
      </c>
      <c r="F117" s="196">
        <f t="shared" si="7"/>
        <v>3852080000</v>
      </c>
      <c r="G117" s="196">
        <f t="shared" si="7"/>
        <v>3852080000</v>
      </c>
      <c r="H117" s="196">
        <f t="shared" si="7"/>
        <v>3852080000</v>
      </c>
      <c r="I117" s="196">
        <f t="shared" si="7"/>
        <v>3852080000</v>
      </c>
      <c r="J117" s="196">
        <f t="shared" si="7"/>
        <v>3852080000</v>
      </c>
      <c r="K117" s="196">
        <f t="shared" si="7"/>
        <v>3852080000</v>
      </c>
      <c r="L117" s="196">
        <f t="shared" si="7"/>
        <v>3852080000</v>
      </c>
      <c r="M117" s="196">
        <f t="shared" si="7"/>
        <v>3852080000</v>
      </c>
      <c r="N117" s="196">
        <f t="shared" si="7"/>
        <v>3852080000</v>
      </c>
      <c r="O117" s="196">
        <f t="shared" si="7"/>
        <v>3852080000</v>
      </c>
      <c r="P117" s="196">
        <f t="shared" si="7"/>
        <v>3852080000</v>
      </c>
      <c r="Q117" s="196">
        <f t="shared" si="7"/>
        <v>3852080000</v>
      </c>
      <c r="R117" s="196">
        <f t="shared" si="7"/>
        <v>3852080000</v>
      </c>
      <c r="S117" s="196">
        <f t="shared" si="7"/>
        <v>3852080000</v>
      </c>
      <c r="T117" s="196">
        <f t="shared" si="7"/>
        <v>4012080000</v>
      </c>
      <c r="U117" s="196">
        <f t="shared" si="7"/>
        <v>4012080000</v>
      </c>
      <c r="V117" s="196">
        <f t="shared" si="7"/>
        <v>4012080000</v>
      </c>
      <c r="W117" s="196">
        <f t="shared" si="7"/>
        <v>4012080000</v>
      </c>
      <c r="X117" s="196">
        <f t="shared" si="7"/>
        <v>4012080000</v>
      </c>
      <c r="Y117" s="196">
        <f t="shared" si="7"/>
        <v>4012080000</v>
      </c>
      <c r="Z117" s="196">
        <f t="shared" si="7"/>
        <v>4012080000</v>
      </c>
      <c r="AA117" s="196">
        <f t="shared" si="7"/>
        <v>4012080000</v>
      </c>
      <c r="AB117" s="196">
        <f t="shared" si="7"/>
        <v>4012080000</v>
      </c>
      <c r="AC117" s="196">
        <f t="shared" si="7"/>
        <v>4012080000</v>
      </c>
      <c r="AD117" s="196">
        <f t="shared" si="7"/>
        <v>4012080000</v>
      </c>
      <c r="AE117" s="196">
        <f t="shared" si="7"/>
        <v>4012080000</v>
      </c>
      <c r="AF117" s="196">
        <f t="shared" si="7"/>
        <v>4012080000</v>
      </c>
      <c r="AG117" s="196">
        <f t="shared" si="7"/>
        <v>4012080000</v>
      </c>
      <c r="AH117" s="196">
        <f t="shared" si="7"/>
        <v>4012080000</v>
      </c>
      <c r="AI117" s="196">
        <f t="shared" si="7"/>
        <v>4012080000</v>
      </c>
      <c r="AJ117" s="196">
        <f t="shared" si="7"/>
        <v>4012080000</v>
      </c>
      <c r="AK117" s="196">
        <f t="shared" si="7"/>
        <v>4012080000</v>
      </c>
      <c r="AL117" s="196">
        <f t="shared" si="7"/>
        <v>4012080000</v>
      </c>
      <c r="AM117" s="196">
        <f t="shared" si="7"/>
        <v>4012080000</v>
      </c>
      <c r="AN117" s="196">
        <f t="shared" si="7"/>
        <v>0</v>
      </c>
      <c r="AO117" s="196">
        <f t="shared" si="7"/>
        <v>0</v>
      </c>
      <c r="AP117" s="196">
        <f t="shared" si="7"/>
        <v>0</v>
      </c>
      <c r="AQ117" s="196">
        <f t="shared" si="7"/>
        <v>0</v>
      </c>
      <c r="AR117" s="197">
        <f t="shared" si="7"/>
        <v>0</v>
      </c>
    </row>
    <row r="118" spans="2:44" ht="12.95" customHeight="1" x14ac:dyDescent="0.2">
      <c r="B118" s="157" t="s">
        <v>200</v>
      </c>
      <c r="C118" s="148"/>
      <c r="D118" s="149"/>
      <c r="E118" s="149"/>
      <c r="F118" s="149"/>
      <c r="G118" s="149"/>
      <c r="H118" s="149"/>
      <c r="I118" s="149"/>
      <c r="J118" s="149"/>
      <c r="K118" s="149"/>
      <c r="L118" s="149"/>
      <c r="M118" s="149"/>
      <c r="N118" s="149"/>
      <c r="O118" s="149"/>
      <c r="P118" s="149"/>
      <c r="Q118" s="149"/>
      <c r="R118" s="149"/>
      <c r="S118" s="149"/>
      <c r="T118" s="149"/>
      <c r="U118" s="149"/>
      <c r="V118" s="149"/>
      <c r="W118" s="149"/>
      <c r="X118" s="149"/>
      <c r="Y118" s="149"/>
      <c r="Z118" s="149"/>
      <c r="AA118" s="149"/>
      <c r="AB118" s="149"/>
      <c r="AC118" s="149"/>
      <c r="AD118" s="149"/>
      <c r="AE118" s="149"/>
      <c r="AF118" s="149"/>
      <c r="AG118" s="149"/>
      <c r="AH118" s="149"/>
      <c r="AI118" s="149"/>
      <c r="AJ118" s="149"/>
      <c r="AK118" s="149"/>
      <c r="AL118" s="149"/>
      <c r="AM118" s="149"/>
      <c r="AN118" s="149"/>
      <c r="AO118" s="149"/>
      <c r="AP118" s="149"/>
      <c r="AQ118" s="149"/>
      <c r="AR118" s="160"/>
    </row>
    <row r="119" spans="2:44" x14ac:dyDescent="0.2">
      <c r="B119" s="50" t="s">
        <v>201</v>
      </c>
      <c r="C119" s="145" t="s">
        <v>183</v>
      </c>
      <c r="D119" s="145"/>
      <c r="E119" s="194">
        <f t="shared" ref="E119:AR119" si="8">IF(E111&gt;$C$73,0,-E108*(($C$42*$C$21+$C$43*SUM($C$26,$C$28))+E117*$C$49))+IF($C$101=E111,$D$101*E108,0)+IF($C$102=E111,$D$102*E108,0)</f>
        <v>-86947209.297710001</v>
      </c>
      <c r="F119" s="194">
        <f t="shared" si="8"/>
        <v>-88686153.4836642</v>
      </c>
      <c r="G119" s="194">
        <f t="shared" si="8"/>
        <v>-90459876.553337485</v>
      </c>
      <c r="H119" s="194">
        <f t="shared" si="8"/>
        <v>-92269074.08440423</v>
      </c>
      <c r="I119" s="194">
        <f t="shared" si="8"/>
        <v>-94114455.566092312</v>
      </c>
      <c r="J119" s="194">
        <f t="shared" si="8"/>
        <v>-95996744.677414164</v>
      </c>
      <c r="K119" s="194">
        <f t="shared" si="8"/>
        <v>-97916679.570962459</v>
      </c>
      <c r="L119" s="194">
        <f t="shared" si="8"/>
        <v>-99875013.162381679</v>
      </c>
      <c r="M119" s="194">
        <f t="shared" si="8"/>
        <v>-101872513.42562933</v>
      </c>
      <c r="N119" s="194">
        <f t="shared" si="8"/>
        <v>-103909963.69414191</v>
      </c>
      <c r="O119" s="194">
        <f t="shared" si="8"/>
        <v>-105988162.96802476</v>
      </c>
      <c r="P119" s="194">
        <f t="shared" si="8"/>
        <v>-108107926.22738524</v>
      </c>
      <c r="Q119" s="194">
        <f t="shared" si="8"/>
        <v>-110270084.75193295</v>
      </c>
      <c r="R119" s="194">
        <f t="shared" si="8"/>
        <v>-112475486.44697161</v>
      </c>
      <c r="S119" s="194">
        <f t="shared" si="8"/>
        <v>-114724996.17591105</v>
      </c>
      <c r="T119" s="194">
        <f t="shared" si="8"/>
        <v>-309613255.3136121</v>
      </c>
      <c r="U119" s="194">
        <f t="shared" si="8"/>
        <v>-121556343.14956282</v>
      </c>
      <c r="V119" s="194">
        <f t="shared" si="8"/>
        <v>-123987470.01255409</v>
      </c>
      <c r="W119" s="194">
        <f t="shared" si="8"/>
        <v>-126467219.41280515</v>
      </c>
      <c r="X119" s="194">
        <f t="shared" si="8"/>
        <v>-128996563.80106126</v>
      </c>
      <c r="Y119" s="194">
        <f t="shared" si="8"/>
        <v>-131576495.0770825</v>
      </c>
      <c r="Z119" s="194">
        <f t="shared" si="8"/>
        <v>-134208024.97862414</v>
      </c>
      <c r="AA119" s="194">
        <f t="shared" si="8"/>
        <v>-136892185.47819662</v>
      </c>
      <c r="AB119" s="194">
        <f t="shared" si="8"/>
        <v>-139630029.18776053</v>
      </c>
      <c r="AC119" s="194">
        <f t="shared" si="8"/>
        <v>-142422629.77151576</v>
      </c>
      <c r="AD119" s="194">
        <f t="shared" si="8"/>
        <v>-145271082.36694607</v>
      </c>
      <c r="AE119" s="194">
        <f t="shared" si="8"/>
        <v>-148176504.014285</v>
      </c>
      <c r="AF119" s="194">
        <f t="shared" si="8"/>
        <v>-151140034.09457067</v>
      </c>
      <c r="AG119" s="194">
        <f t="shared" si="8"/>
        <v>-154162834.77646211</v>
      </c>
      <c r="AH119" s="194">
        <f t="shared" si="8"/>
        <v>-157246091.47199133</v>
      </c>
      <c r="AI119" s="194">
        <f t="shared" si="8"/>
        <v>-160391013.30143118</v>
      </c>
      <c r="AJ119" s="194">
        <f t="shared" si="8"/>
        <v>-163598833.56745976</v>
      </c>
      <c r="AK119" s="194">
        <f t="shared" si="8"/>
        <v>-166870810.23880899</v>
      </c>
      <c r="AL119" s="194">
        <f t="shared" si="8"/>
        <v>-170208226.44358519</v>
      </c>
      <c r="AM119" s="194">
        <f t="shared" si="8"/>
        <v>-173612390.97245687</v>
      </c>
      <c r="AN119" s="194">
        <f t="shared" si="8"/>
        <v>0</v>
      </c>
      <c r="AO119" s="194">
        <f t="shared" si="8"/>
        <v>0</v>
      </c>
      <c r="AP119" s="194">
        <f t="shared" si="8"/>
        <v>0</v>
      </c>
      <c r="AQ119" s="194">
        <f t="shared" si="8"/>
        <v>0</v>
      </c>
      <c r="AR119" s="195">
        <f t="shared" si="8"/>
        <v>0</v>
      </c>
    </row>
    <row r="120" spans="2:44" x14ac:dyDescent="0.2">
      <c r="B120" s="50" t="s">
        <v>202</v>
      </c>
      <c r="C120" s="145" t="s">
        <v>183</v>
      </c>
      <c r="D120" s="145"/>
      <c r="E120" s="194">
        <f t="shared" ref="E120:AR120" si="9">IF(OR(E111&gt;$C$73, $C$52=0), 0, -E108*$C$54/$C$52*$C$21*MAX($C$29,$C$30)*$C$175/1000)</f>
        <v>0</v>
      </c>
      <c r="F120" s="194">
        <f t="shared" si="9"/>
        <v>0</v>
      </c>
      <c r="G120" s="194">
        <f t="shared" si="9"/>
        <v>0</v>
      </c>
      <c r="H120" s="194">
        <f t="shared" si="9"/>
        <v>0</v>
      </c>
      <c r="I120" s="194">
        <f t="shared" si="9"/>
        <v>0</v>
      </c>
      <c r="J120" s="194">
        <f t="shared" si="9"/>
        <v>0</v>
      </c>
      <c r="K120" s="194">
        <f t="shared" si="9"/>
        <v>0</v>
      </c>
      <c r="L120" s="194">
        <f t="shared" si="9"/>
        <v>0</v>
      </c>
      <c r="M120" s="194">
        <f t="shared" si="9"/>
        <v>0</v>
      </c>
      <c r="N120" s="194">
        <f t="shared" si="9"/>
        <v>0</v>
      </c>
      <c r="O120" s="194">
        <f t="shared" si="9"/>
        <v>0</v>
      </c>
      <c r="P120" s="194">
        <f t="shared" si="9"/>
        <v>0</v>
      </c>
      <c r="Q120" s="194">
        <f t="shared" si="9"/>
        <v>0</v>
      </c>
      <c r="R120" s="194">
        <f t="shared" si="9"/>
        <v>0</v>
      </c>
      <c r="S120" s="194">
        <f t="shared" si="9"/>
        <v>0</v>
      </c>
      <c r="T120" s="194">
        <f t="shared" si="9"/>
        <v>0</v>
      </c>
      <c r="U120" s="194">
        <f t="shared" si="9"/>
        <v>0</v>
      </c>
      <c r="V120" s="194">
        <f t="shared" si="9"/>
        <v>0</v>
      </c>
      <c r="W120" s="194">
        <f t="shared" si="9"/>
        <v>0</v>
      </c>
      <c r="X120" s="194">
        <f t="shared" si="9"/>
        <v>0</v>
      </c>
      <c r="Y120" s="194">
        <f t="shared" si="9"/>
        <v>0</v>
      </c>
      <c r="Z120" s="194">
        <f t="shared" si="9"/>
        <v>0</v>
      </c>
      <c r="AA120" s="194">
        <f t="shared" si="9"/>
        <v>0</v>
      </c>
      <c r="AB120" s="194">
        <f t="shared" si="9"/>
        <v>0</v>
      </c>
      <c r="AC120" s="194">
        <f t="shared" si="9"/>
        <v>0</v>
      </c>
      <c r="AD120" s="194">
        <f t="shared" si="9"/>
        <v>0</v>
      </c>
      <c r="AE120" s="194">
        <f t="shared" si="9"/>
        <v>0</v>
      </c>
      <c r="AF120" s="194">
        <f t="shared" si="9"/>
        <v>0</v>
      </c>
      <c r="AG120" s="194">
        <f t="shared" si="9"/>
        <v>0</v>
      </c>
      <c r="AH120" s="194">
        <f t="shared" si="9"/>
        <v>0</v>
      </c>
      <c r="AI120" s="194">
        <f t="shared" si="9"/>
        <v>0</v>
      </c>
      <c r="AJ120" s="194">
        <f t="shared" si="9"/>
        <v>0</v>
      </c>
      <c r="AK120" s="194">
        <f t="shared" si="9"/>
        <v>0</v>
      </c>
      <c r="AL120" s="194">
        <f t="shared" si="9"/>
        <v>0</v>
      </c>
      <c r="AM120" s="194">
        <f t="shared" si="9"/>
        <v>0</v>
      </c>
      <c r="AN120" s="194">
        <f t="shared" si="9"/>
        <v>0</v>
      </c>
      <c r="AO120" s="194">
        <f t="shared" si="9"/>
        <v>0</v>
      </c>
      <c r="AP120" s="194">
        <f t="shared" si="9"/>
        <v>0</v>
      </c>
      <c r="AQ120" s="194">
        <f t="shared" si="9"/>
        <v>0</v>
      </c>
      <c r="AR120" s="195">
        <f t="shared" si="9"/>
        <v>0</v>
      </c>
    </row>
    <row r="121" spans="2:44" x14ac:dyDescent="0.2">
      <c r="B121" s="50" t="s">
        <v>203</v>
      </c>
      <c r="C121" s="145" t="s">
        <v>178</v>
      </c>
      <c r="D121" s="145"/>
      <c r="E121" s="198">
        <f t="shared" ref="E121:AR121" si="10">IF(AND(E111&gt;$C$76,E111&lt;=$C$73),(IF($C$81&gt;0,$C$80*E108,0)), )</f>
        <v>0</v>
      </c>
      <c r="F121" s="198">
        <f t="shared" si="10"/>
        <v>0</v>
      </c>
      <c r="G121" s="198">
        <f t="shared" si="10"/>
        <v>0</v>
      </c>
      <c r="H121" s="198">
        <f t="shared" si="10"/>
        <v>0</v>
      </c>
      <c r="I121" s="198">
        <f t="shared" si="10"/>
        <v>0</v>
      </c>
      <c r="J121" s="198">
        <f t="shared" si="10"/>
        <v>0</v>
      </c>
      <c r="K121" s="198">
        <f t="shared" si="10"/>
        <v>0</v>
      </c>
      <c r="L121" s="198">
        <f t="shared" si="10"/>
        <v>0</v>
      </c>
      <c r="M121" s="198">
        <f t="shared" si="10"/>
        <v>0</v>
      </c>
      <c r="N121" s="198">
        <f t="shared" si="10"/>
        <v>0</v>
      </c>
      <c r="O121" s="198">
        <f t="shared" si="10"/>
        <v>0</v>
      </c>
      <c r="P121" s="198">
        <f t="shared" si="10"/>
        <v>0</v>
      </c>
      <c r="Q121" s="198">
        <f t="shared" si="10"/>
        <v>0</v>
      </c>
      <c r="R121" s="198">
        <f t="shared" si="10"/>
        <v>0</v>
      </c>
      <c r="S121" s="198">
        <f t="shared" si="10"/>
        <v>0</v>
      </c>
      <c r="T121" s="198">
        <f t="shared" si="10"/>
        <v>7.6096388475197049E-2</v>
      </c>
      <c r="U121" s="198">
        <f t="shared" si="10"/>
        <v>7.7618316244701002E-2</v>
      </c>
      <c r="V121" s="198">
        <f t="shared" si="10"/>
        <v>7.917068256959503E-2</v>
      </c>
      <c r="W121" s="198">
        <f t="shared" si="10"/>
        <v>8.0754096220986921E-2</v>
      </c>
      <c r="X121" s="198">
        <f t="shared" si="10"/>
        <v>8.2369178145406646E-2</v>
      </c>
      <c r="Y121" s="198">
        <f t="shared" si="10"/>
        <v>8.4016561708314785E-2</v>
      </c>
      <c r="Z121" s="198">
        <f t="shared" si="10"/>
        <v>8.5696892942481076E-2</v>
      </c>
      <c r="AA121" s="198">
        <f t="shared" si="10"/>
        <v>8.7410830801330705E-2</v>
      </c>
      <c r="AB121" s="198">
        <f t="shared" si="10"/>
        <v>8.9159047417357307E-2</v>
      </c>
      <c r="AC121" s="198">
        <f t="shared" si="10"/>
        <v>9.0942228365704453E-2</v>
      </c>
      <c r="AD121" s="198">
        <f t="shared" si="10"/>
        <v>9.2761072933018551E-2</v>
      </c>
      <c r="AE121" s="198">
        <f t="shared" si="10"/>
        <v>9.4616294391678929E-2</v>
      </c>
      <c r="AF121" s="198">
        <f t="shared" si="10"/>
        <v>9.6508620279512486E-2</v>
      </c>
      <c r="AG121" s="198">
        <f t="shared" si="10"/>
        <v>9.8438792685102763E-2</v>
      </c>
      <c r="AH121" s="198">
        <f t="shared" si="10"/>
        <v>0.1004075685388048</v>
      </c>
      <c r="AI121" s="198">
        <f t="shared" si="10"/>
        <v>0.1024157199095809</v>
      </c>
      <c r="AJ121" s="198">
        <f t="shared" si="10"/>
        <v>0.1044640343077725</v>
      </c>
      <c r="AK121" s="198">
        <f t="shared" si="10"/>
        <v>0.10655331499392796</v>
      </c>
      <c r="AL121" s="198">
        <f t="shared" si="10"/>
        <v>0.10868438129380653</v>
      </c>
      <c r="AM121" s="198">
        <f t="shared" si="10"/>
        <v>0.11085806891968265</v>
      </c>
      <c r="AN121" s="198">
        <f t="shared" si="10"/>
        <v>0</v>
      </c>
      <c r="AO121" s="198">
        <f t="shared" si="10"/>
        <v>0</v>
      </c>
      <c r="AP121" s="198">
        <f t="shared" si="10"/>
        <v>0</v>
      </c>
      <c r="AQ121" s="198">
        <f t="shared" si="10"/>
        <v>0</v>
      </c>
      <c r="AR121" s="199">
        <f t="shared" si="10"/>
        <v>0</v>
      </c>
    </row>
    <row r="122" spans="2:44" x14ac:dyDescent="0.2">
      <c r="B122" s="50" t="s">
        <v>204</v>
      </c>
      <c r="C122" s="145" t="s">
        <v>178</v>
      </c>
      <c r="D122" s="145"/>
      <c r="E122" s="198">
        <f t="shared" ref="E122:AR122" si="11">IF($C$23="Ja",0,IF(AND(E111&gt;$C$76,E111&lt;=$C$73),(IF($C$83&gt;0,$C$82*E108,0)), ))</f>
        <v>0</v>
      </c>
      <c r="F122" s="198">
        <f t="shared" si="11"/>
        <v>0</v>
      </c>
      <c r="G122" s="198">
        <f t="shared" si="11"/>
        <v>0</v>
      </c>
      <c r="H122" s="198">
        <f t="shared" si="11"/>
        <v>0</v>
      </c>
      <c r="I122" s="198">
        <f t="shared" si="11"/>
        <v>0</v>
      </c>
      <c r="J122" s="198">
        <f t="shared" si="11"/>
        <v>0</v>
      </c>
      <c r="K122" s="198">
        <f t="shared" si="11"/>
        <v>0</v>
      </c>
      <c r="L122" s="198">
        <f t="shared" si="11"/>
        <v>0</v>
      </c>
      <c r="M122" s="198">
        <f t="shared" si="11"/>
        <v>0</v>
      </c>
      <c r="N122" s="198">
        <f t="shared" si="11"/>
        <v>0</v>
      </c>
      <c r="O122" s="198">
        <f t="shared" si="11"/>
        <v>0</v>
      </c>
      <c r="P122" s="198">
        <f t="shared" si="11"/>
        <v>0</v>
      </c>
      <c r="Q122" s="198">
        <f t="shared" si="11"/>
        <v>0</v>
      </c>
      <c r="R122" s="198">
        <f t="shared" si="11"/>
        <v>0</v>
      </c>
      <c r="S122" s="198">
        <f t="shared" si="11"/>
        <v>0</v>
      </c>
      <c r="T122" s="198">
        <f t="shared" si="11"/>
        <v>0</v>
      </c>
      <c r="U122" s="198">
        <f t="shared" si="11"/>
        <v>0</v>
      </c>
      <c r="V122" s="198">
        <f t="shared" si="11"/>
        <v>0</v>
      </c>
      <c r="W122" s="198">
        <f t="shared" si="11"/>
        <v>0</v>
      </c>
      <c r="X122" s="198">
        <f t="shared" si="11"/>
        <v>0</v>
      </c>
      <c r="Y122" s="198">
        <f t="shared" si="11"/>
        <v>0</v>
      </c>
      <c r="Z122" s="198">
        <f t="shared" si="11"/>
        <v>0</v>
      </c>
      <c r="AA122" s="198">
        <f t="shared" si="11"/>
        <v>0</v>
      </c>
      <c r="AB122" s="198">
        <f t="shared" si="11"/>
        <v>0</v>
      </c>
      <c r="AC122" s="198">
        <f t="shared" si="11"/>
        <v>0</v>
      </c>
      <c r="AD122" s="198">
        <f t="shared" si="11"/>
        <v>0</v>
      </c>
      <c r="AE122" s="198">
        <f t="shared" si="11"/>
        <v>0</v>
      </c>
      <c r="AF122" s="198">
        <f t="shared" si="11"/>
        <v>0</v>
      </c>
      <c r="AG122" s="198">
        <f t="shared" si="11"/>
        <v>0</v>
      </c>
      <c r="AH122" s="198">
        <f t="shared" si="11"/>
        <v>0</v>
      </c>
      <c r="AI122" s="198">
        <f t="shared" si="11"/>
        <v>0</v>
      </c>
      <c r="AJ122" s="198">
        <f t="shared" si="11"/>
        <v>0</v>
      </c>
      <c r="AK122" s="198">
        <f t="shared" si="11"/>
        <v>0</v>
      </c>
      <c r="AL122" s="198">
        <f t="shared" si="11"/>
        <v>0</v>
      </c>
      <c r="AM122" s="198">
        <f t="shared" si="11"/>
        <v>0</v>
      </c>
      <c r="AN122" s="198">
        <f t="shared" si="11"/>
        <v>0</v>
      </c>
      <c r="AO122" s="198">
        <f t="shared" si="11"/>
        <v>0</v>
      </c>
      <c r="AP122" s="198">
        <f t="shared" si="11"/>
        <v>0</v>
      </c>
      <c r="AQ122" s="198">
        <f t="shared" si="11"/>
        <v>0</v>
      </c>
      <c r="AR122" s="199">
        <f t="shared" si="11"/>
        <v>0</v>
      </c>
    </row>
    <row r="123" spans="2:44" x14ac:dyDescent="0.2">
      <c r="B123" s="50" t="s">
        <v>205</v>
      </c>
      <c r="C123" s="145" t="str">
        <f>CONCATENATE("Euro/",$C$7)</f>
        <v>Euro/kWh</v>
      </c>
      <c r="D123" s="145"/>
      <c r="E123" s="198">
        <f t="shared" ref="E123:AR123" si="12">E107</f>
        <v>0</v>
      </c>
      <c r="F123" s="198">
        <f t="shared" si="12"/>
        <v>0</v>
      </c>
      <c r="G123" s="198">
        <f t="shared" si="12"/>
        <v>0</v>
      </c>
      <c r="H123" s="198">
        <f t="shared" si="12"/>
        <v>0</v>
      </c>
      <c r="I123" s="198">
        <f t="shared" si="12"/>
        <v>0</v>
      </c>
      <c r="J123" s="198">
        <f t="shared" si="12"/>
        <v>0</v>
      </c>
      <c r="K123" s="198">
        <f t="shared" si="12"/>
        <v>0</v>
      </c>
      <c r="L123" s="198">
        <f t="shared" si="12"/>
        <v>0</v>
      </c>
      <c r="M123" s="198">
        <f t="shared" si="12"/>
        <v>0</v>
      </c>
      <c r="N123" s="198">
        <f t="shared" si="12"/>
        <v>0</v>
      </c>
      <c r="O123" s="198">
        <f t="shared" si="12"/>
        <v>0</v>
      </c>
      <c r="P123" s="198">
        <f t="shared" si="12"/>
        <v>0</v>
      </c>
      <c r="Q123" s="198">
        <f t="shared" si="12"/>
        <v>0</v>
      </c>
      <c r="R123" s="198">
        <f t="shared" si="12"/>
        <v>0</v>
      </c>
      <c r="S123" s="198">
        <f t="shared" si="12"/>
        <v>0</v>
      </c>
      <c r="T123" s="198">
        <f t="shared" si="12"/>
        <v>0</v>
      </c>
      <c r="U123" s="198">
        <f t="shared" si="12"/>
        <v>0</v>
      </c>
      <c r="V123" s="198">
        <f t="shared" si="12"/>
        <v>0</v>
      </c>
      <c r="W123" s="198">
        <f t="shared" si="12"/>
        <v>0</v>
      </c>
      <c r="X123" s="198">
        <f t="shared" si="12"/>
        <v>0</v>
      </c>
      <c r="Y123" s="198">
        <f t="shared" si="12"/>
        <v>0</v>
      </c>
      <c r="Z123" s="198">
        <f t="shared" si="12"/>
        <v>0</v>
      </c>
      <c r="AA123" s="198">
        <f t="shared" si="12"/>
        <v>0</v>
      </c>
      <c r="AB123" s="198">
        <f t="shared" si="12"/>
        <v>0</v>
      </c>
      <c r="AC123" s="198">
        <f t="shared" si="12"/>
        <v>0</v>
      </c>
      <c r="AD123" s="198">
        <f t="shared" si="12"/>
        <v>0</v>
      </c>
      <c r="AE123" s="198">
        <f t="shared" si="12"/>
        <v>0</v>
      </c>
      <c r="AF123" s="198">
        <f t="shared" si="12"/>
        <v>0</v>
      </c>
      <c r="AG123" s="198">
        <f t="shared" si="12"/>
        <v>0</v>
      </c>
      <c r="AH123" s="198">
        <f t="shared" si="12"/>
        <v>0</v>
      </c>
      <c r="AI123" s="198">
        <f t="shared" si="12"/>
        <v>0</v>
      </c>
      <c r="AJ123" s="198">
        <f t="shared" si="12"/>
        <v>0</v>
      </c>
      <c r="AK123" s="198">
        <f t="shared" si="12"/>
        <v>0</v>
      </c>
      <c r="AL123" s="198">
        <f t="shared" si="12"/>
        <v>0</v>
      </c>
      <c r="AM123" s="198">
        <f t="shared" si="12"/>
        <v>0</v>
      </c>
      <c r="AN123" s="198">
        <f t="shared" si="12"/>
        <v>0</v>
      </c>
      <c r="AO123" s="198">
        <f t="shared" si="12"/>
        <v>0</v>
      </c>
      <c r="AP123" s="198">
        <f t="shared" si="12"/>
        <v>0</v>
      </c>
      <c r="AQ123" s="198">
        <f t="shared" si="12"/>
        <v>0</v>
      </c>
      <c r="AR123" s="199">
        <f t="shared" si="12"/>
        <v>0</v>
      </c>
    </row>
    <row r="124" spans="2:44" x14ac:dyDescent="0.2">
      <c r="B124" s="50" t="s">
        <v>28</v>
      </c>
      <c r="C124" s="145" t="str">
        <f>CONCATENATE("Euro/",$C$7)</f>
        <v>Euro/kWh</v>
      </c>
      <c r="D124" s="145"/>
      <c r="E124" s="198">
        <f t="shared" ref="E124:AR124" si="13">E106</f>
        <v>0</v>
      </c>
      <c r="F124" s="198">
        <f t="shared" si="13"/>
        <v>0</v>
      </c>
      <c r="G124" s="198">
        <f t="shared" si="13"/>
        <v>0</v>
      </c>
      <c r="H124" s="198">
        <f t="shared" si="13"/>
        <v>0</v>
      </c>
      <c r="I124" s="198">
        <f t="shared" si="13"/>
        <v>0</v>
      </c>
      <c r="J124" s="198">
        <f t="shared" si="13"/>
        <v>0</v>
      </c>
      <c r="K124" s="198">
        <f t="shared" si="13"/>
        <v>0</v>
      </c>
      <c r="L124" s="198">
        <f t="shared" si="13"/>
        <v>0</v>
      </c>
      <c r="M124" s="198">
        <f t="shared" si="13"/>
        <v>0</v>
      </c>
      <c r="N124" s="198">
        <f t="shared" si="13"/>
        <v>0</v>
      </c>
      <c r="O124" s="198">
        <f t="shared" si="13"/>
        <v>0</v>
      </c>
      <c r="P124" s="198">
        <f t="shared" si="13"/>
        <v>0</v>
      </c>
      <c r="Q124" s="198">
        <f t="shared" si="13"/>
        <v>0</v>
      </c>
      <c r="R124" s="198">
        <f t="shared" si="13"/>
        <v>0</v>
      </c>
      <c r="S124" s="198">
        <f t="shared" si="13"/>
        <v>0</v>
      </c>
      <c r="T124" s="198">
        <f t="shared" si="13"/>
        <v>0</v>
      </c>
      <c r="U124" s="198">
        <f t="shared" si="13"/>
        <v>0</v>
      </c>
      <c r="V124" s="198">
        <f t="shared" si="13"/>
        <v>0</v>
      </c>
      <c r="W124" s="198">
        <f t="shared" si="13"/>
        <v>0</v>
      </c>
      <c r="X124" s="198">
        <f t="shared" si="13"/>
        <v>0</v>
      </c>
      <c r="Y124" s="198">
        <f t="shared" si="13"/>
        <v>0</v>
      </c>
      <c r="Z124" s="198">
        <f t="shared" si="13"/>
        <v>0</v>
      </c>
      <c r="AA124" s="198">
        <f t="shared" si="13"/>
        <v>0</v>
      </c>
      <c r="AB124" s="198">
        <f t="shared" si="13"/>
        <v>0</v>
      </c>
      <c r="AC124" s="198">
        <f t="shared" si="13"/>
        <v>0</v>
      </c>
      <c r="AD124" s="198">
        <f t="shared" si="13"/>
        <v>0</v>
      </c>
      <c r="AE124" s="198">
        <f t="shared" si="13"/>
        <v>0</v>
      </c>
      <c r="AF124" s="198">
        <f t="shared" si="13"/>
        <v>0</v>
      </c>
      <c r="AG124" s="198">
        <f t="shared" si="13"/>
        <v>0</v>
      </c>
      <c r="AH124" s="198">
        <f t="shared" si="13"/>
        <v>0</v>
      </c>
      <c r="AI124" s="198">
        <f t="shared" si="13"/>
        <v>0</v>
      </c>
      <c r="AJ124" s="198">
        <f t="shared" si="13"/>
        <v>0</v>
      </c>
      <c r="AK124" s="198">
        <f t="shared" si="13"/>
        <v>0</v>
      </c>
      <c r="AL124" s="198">
        <f t="shared" si="13"/>
        <v>0</v>
      </c>
      <c r="AM124" s="198">
        <f t="shared" si="13"/>
        <v>0</v>
      </c>
      <c r="AN124" s="198">
        <f t="shared" si="13"/>
        <v>0</v>
      </c>
      <c r="AO124" s="198">
        <f t="shared" si="13"/>
        <v>0</v>
      </c>
      <c r="AP124" s="198">
        <f t="shared" si="13"/>
        <v>0</v>
      </c>
      <c r="AQ124" s="198">
        <f t="shared" si="13"/>
        <v>0</v>
      </c>
      <c r="AR124" s="199">
        <f t="shared" si="13"/>
        <v>0</v>
      </c>
    </row>
    <row r="125" spans="2:44" x14ac:dyDescent="0.2">
      <c r="B125" s="50" t="s">
        <v>206</v>
      </c>
      <c r="C125" s="145" t="s">
        <v>183</v>
      </c>
      <c r="D125" s="145"/>
      <c r="E125" s="194">
        <f t="shared" ref="E125:AR125" si="14">MAX(0,E124-E123)*E117</f>
        <v>0</v>
      </c>
      <c r="F125" s="194">
        <f t="shared" si="14"/>
        <v>0</v>
      </c>
      <c r="G125" s="194">
        <f t="shared" si="14"/>
        <v>0</v>
      </c>
      <c r="H125" s="194">
        <f t="shared" si="14"/>
        <v>0</v>
      </c>
      <c r="I125" s="194">
        <f t="shared" si="14"/>
        <v>0</v>
      </c>
      <c r="J125" s="194">
        <f t="shared" si="14"/>
        <v>0</v>
      </c>
      <c r="K125" s="194">
        <f t="shared" si="14"/>
        <v>0</v>
      </c>
      <c r="L125" s="194">
        <f t="shared" si="14"/>
        <v>0</v>
      </c>
      <c r="M125" s="194">
        <f t="shared" si="14"/>
        <v>0</v>
      </c>
      <c r="N125" s="194">
        <f t="shared" si="14"/>
        <v>0</v>
      </c>
      <c r="O125" s="194">
        <f t="shared" si="14"/>
        <v>0</v>
      </c>
      <c r="P125" s="194">
        <f t="shared" si="14"/>
        <v>0</v>
      </c>
      <c r="Q125" s="194">
        <f t="shared" si="14"/>
        <v>0</v>
      </c>
      <c r="R125" s="194">
        <f t="shared" si="14"/>
        <v>0</v>
      </c>
      <c r="S125" s="194">
        <f t="shared" si="14"/>
        <v>0</v>
      </c>
      <c r="T125" s="194">
        <f t="shared" si="14"/>
        <v>0</v>
      </c>
      <c r="U125" s="194">
        <f t="shared" si="14"/>
        <v>0</v>
      </c>
      <c r="V125" s="194">
        <f t="shared" si="14"/>
        <v>0</v>
      </c>
      <c r="W125" s="194">
        <f t="shared" si="14"/>
        <v>0</v>
      </c>
      <c r="X125" s="194">
        <f t="shared" si="14"/>
        <v>0</v>
      </c>
      <c r="Y125" s="194">
        <f t="shared" si="14"/>
        <v>0</v>
      </c>
      <c r="Z125" s="194">
        <f t="shared" si="14"/>
        <v>0</v>
      </c>
      <c r="AA125" s="194">
        <f t="shared" si="14"/>
        <v>0</v>
      </c>
      <c r="AB125" s="194">
        <f t="shared" si="14"/>
        <v>0</v>
      </c>
      <c r="AC125" s="194">
        <f t="shared" si="14"/>
        <v>0</v>
      </c>
      <c r="AD125" s="194">
        <f t="shared" si="14"/>
        <v>0</v>
      </c>
      <c r="AE125" s="194">
        <f t="shared" si="14"/>
        <v>0</v>
      </c>
      <c r="AF125" s="194">
        <f t="shared" si="14"/>
        <v>0</v>
      </c>
      <c r="AG125" s="194">
        <f t="shared" si="14"/>
        <v>0</v>
      </c>
      <c r="AH125" s="194">
        <f t="shared" si="14"/>
        <v>0</v>
      </c>
      <c r="AI125" s="194">
        <f t="shared" si="14"/>
        <v>0</v>
      </c>
      <c r="AJ125" s="194">
        <f t="shared" si="14"/>
        <v>0</v>
      </c>
      <c r="AK125" s="194">
        <f t="shared" si="14"/>
        <v>0</v>
      </c>
      <c r="AL125" s="194">
        <f t="shared" si="14"/>
        <v>0</v>
      </c>
      <c r="AM125" s="194">
        <f t="shared" si="14"/>
        <v>0</v>
      </c>
      <c r="AN125" s="194">
        <f t="shared" si="14"/>
        <v>0</v>
      </c>
      <c r="AO125" s="194">
        <f t="shared" si="14"/>
        <v>0</v>
      </c>
      <c r="AP125" s="194">
        <f t="shared" si="14"/>
        <v>0</v>
      </c>
      <c r="AQ125" s="194">
        <f t="shared" si="14"/>
        <v>0</v>
      </c>
      <c r="AR125" s="195">
        <f t="shared" si="14"/>
        <v>0</v>
      </c>
    </row>
    <row r="126" spans="2:44" x14ac:dyDescent="0.2">
      <c r="B126" s="50" t="s">
        <v>207</v>
      </c>
      <c r="C126" s="145" t="s">
        <v>183</v>
      </c>
      <c r="D126" s="145"/>
      <c r="E126" s="194">
        <f t="shared" ref="E126:AR126" si="15">IF(E107&gt;0,,E121*E114+E122*SUM(E115:E116))</f>
        <v>0</v>
      </c>
      <c r="F126" s="194">
        <f t="shared" si="15"/>
        <v>0</v>
      </c>
      <c r="G126" s="194">
        <f t="shared" si="15"/>
        <v>0</v>
      </c>
      <c r="H126" s="194">
        <f t="shared" si="15"/>
        <v>0</v>
      </c>
      <c r="I126" s="194">
        <f t="shared" si="15"/>
        <v>0</v>
      </c>
      <c r="J126" s="194">
        <f t="shared" si="15"/>
        <v>0</v>
      </c>
      <c r="K126" s="194">
        <f t="shared" si="15"/>
        <v>0</v>
      </c>
      <c r="L126" s="194">
        <f t="shared" si="15"/>
        <v>0</v>
      </c>
      <c r="M126" s="194">
        <f t="shared" si="15"/>
        <v>0</v>
      </c>
      <c r="N126" s="194">
        <f t="shared" si="15"/>
        <v>0</v>
      </c>
      <c r="O126" s="194">
        <f t="shared" si="15"/>
        <v>0</v>
      </c>
      <c r="P126" s="194">
        <f t="shared" si="15"/>
        <v>0</v>
      </c>
      <c r="Q126" s="194">
        <f t="shared" si="15"/>
        <v>0</v>
      </c>
      <c r="R126" s="194">
        <f t="shared" si="15"/>
        <v>0</v>
      </c>
      <c r="S126" s="194">
        <f t="shared" si="15"/>
        <v>0</v>
      </c>
      <c r="T126" s="194">
        <f t="shared" si="15"/>
        <v>305304798.27356857</v>
      </c>
      <c r="U126" s="194">
        <f t="shared" si="15"/>
        <v>311410894.23904002</v>
      </c>
      <c r="V126" s="194">
        <f t="shared" si="15"/>
        <v>317639112.12382084</v>
      </c>
      <c r="W126" s="194">
        <f t="shared" si="15"/>
        <v>323991894.36629719</v>
      </c>
      <c r="X126" s="194">
        <f t="shared" si="15"/>
        <v>330471732.25362307</v>
      </c>
      <c r="Y126" s="194">
        <f t="shared" si="15"/>
        <v>337081166.89869559</v>
      </c>
      <c r="Z126" s="194">
        <f t="shared" si="15"/>
        <v>343822790.23666948</v>
      </c>
      <c r="AA126" s="194">
        <f t="shared" si="15"/>
        <v>350699246.04140288</v>
      </c>
      <c r="AB126" s="194">
        <f t="shared" si="15"/>
        <v>357713230.96223092</v>
      </c>
      <c r="AC126" s="194">
        <f t="shared" si="15"/>
        <v>364867495.5814755</v>
      </c>
      <c r="AD126" s="194">
        <f t="shared" si="15"/>
        <v>372164845.49310505</v>
      </c>
      <c r="AE126" s="194">
        <f t="shared" si="15"/>
        <v>379608142.40296721</v>
      </c>
      <c r="AF126" s="194">
        <f t="shared" si="15"/>
        <v>387200305.25102645</v>
      </c>
      <c r="AG126" s="194">
        <f t="shared" si="15"/>
        <v>394944311.35604709</v>
      </c>
      <c r="AH126" s="194">
        <f t="shared" si="15"/>
        <v>402843197.58316797</v>
      </c>
      <c r="AI126" s="194">
        <f t="shared" si="15"/>
        <v>410900061.53483135</v>
      </c>
      <c r="AJ126" s="194">
        <f t="shared" si="15"/>
        <v>419118062.7655279</v>
      </c>
      <c r="AK126" s="194">
        <f t="shared" si="15"/>
        <v>427500424.0208385</v>
      </c>
      <c r="AL126" s="194">
        <f t="shared" si="15"/>
        <v>436050432.50125533</v>
      </c>
      <c r="AM126" s="194">
        <f t="shared" si="15"/>
        <v>444771441.1512804</v>
      </c>
      <c r="AN126" s="194">
        <f t="shared" si="15"/>
        <v>0</v>
      </c>
      <c r="AO126" s="194">
        <f t="shared" si="15"/>
        <v>0</v>
      </c>
      <c r="AP126" s="194">
        <f t="shared" si="15"/>
        <v>0</v>
      </c>
      <c r="AQ126" s="194">
        <f t="shared" si="15"/>
        <v>0</v>
      </c>
      <c r="AR126" s="195">
        <f t="shared" si="15"/>
        <v>0</v>
      </c>
    </row>
    <row r="127" spans="2:44" x14ac:dyDescent="0.2">
      <c r="B127" s="50" t="s">
        <v>208</v>
      </c>
      <c r="C127" s="145" t="s">
        <v>183</v>
      </c>
      <c r="D127" s="153"/>
      <c r="E127" s="194">
        <f t="shared" ref="E127:AR127" si="16">E123*E117</f>
        <v>0</v>
      </c>
      <c r="F127" s="194">
        <f t="shared" si="16"/>
        <v>0</v>
      </c>
      <c r="G127" s="194">
        <f t="shared" si="16"/>
        <v>0</v>
      </c>
      <c r="H127" s="194">
        <f t="shared" si="16"/>
        <v>0</v>
      </c>
      <c r="I127" s="194">
        <f t="shared" si="16"/>
        <v>0</v>
      </c>
      <c r="J127" s="194">
        <f t="shared" si="16"/>
        <v>0</v>
      </c>
      <c r="K127" s="194">
        <f t="shared" si="16"/>
        <v>0</v>
      </c>
      <c r="L127" s="194">
        <f t="shared" si="16"/>
        <v>0</v>
      </c>
      <c r="M127" s="194">
        <f t="shared" si="16"/>
        <v>0</v>
      </c>
      <c r="N127" s="194">
        <f t="shared" si="16"/>
        <v>0</v>
      </c>
      <c r="O127" s="194">
        <f t="shared" si="16"/>
        <v>0</v>
      </c>
      <c r="P127" s="194">
        <f t="shared" si="16"/>
        <v>0</v>
      </c>
      <c r="Q127" s="194">
        <f t="shared" si="16"/>
        <v>0</v>
      </c>
      <c r="R127" s="194">
        <f t="shared" si="16"/>
        <v>0</v>
      </c>
      <c r="S127" s="194">
        <f t="shared" si="16"/>
        <v>0</v>
      </c>
      <c r="T127" s="194">
        <f t="shared" si="16"/>
        <v>0</v>
      </c>
      <c r="U127" s="194">
        <f t="shared" si="16"/>
        <v>0</v>
      </c>
      <c r="V127" s="194">
        <f t="shared" si="16"/>
        <v>0</v>
      </c>
      <c r="W127" s="194">
        <f t="shared" si="16"/>
        <v>0</v>
      </c>
      <c r="X127" s="194">
        <f t="shared" si="16"/>
        <v>0</v>
      </c>
      <c r="Y127" s="194">
        <f t="shared" si="16"/>
        <v>0</v>
      </c>
      <c r="Z127" s="194">
        <f t="shared" si="16"/>
        <v>0</v>
      </c>
      <c r="AA127" s="194">
        <f t="shared" si="16"/>
        <v>0</v>
      </c>
      <c r="AB127" s="194">
        <f t="shared" si="16"/>
        <v>0</v>
      </c>
      <c r="AC127" s="194">
        <f t="shared" si="16"/>
        <v>0</v>
      </c>
      <c r="AD127" s="194">
        <f t="shared" si="16"/>
        <v>0</v>
      </c>
      <c r="AE127" s="194">
        <f t="shared" si="16"/>
        <v>0</v>
      </c>
      <c r="AF127" s="194">
        <f t="shared" si="16"/>
        <v>0</v>
      </c>
      <c r="AG127" s="194">
        <f t="shared" si="16"/>
        <v>0</v>
      </c>
      <c r="AH127" s="194">
        <f t="shared" si="16"/>
        <v>0</v>
      </c>
      <c r="AI127" s="194">
        <f t="shared" si="16"/>
        <v>0</v>
      </c>
      <c r="AJ127" s="194">
        <f t="shared" si="16"/>
        <v>0</v>
      </c>
      <c r="AK127" s="194">
        <f t="shared" si="16"/>
        <v>0</v>
      </c>
      <c r="AL127" s="194">
        <f t="shared" si="16"/>
        <v>0</v>
      </c>
      <c r="AM127" s="194">
        <f t="shared" si="16"/>
        <v>0</v>
      </c>
      <c r="AN127" s="194">
        <f t="shared" si="16"/>
        <v>0</v>
      </c>
      <c r="AO127" s="194">
        <f t="shared" si="16"/>
        <v>0</v>
      </c>
      <c r="AP127" s="194">
        <f t="shared" si="16"/>
        <v>0</v>
      </c>
      <c r="AQ127" s="194">
        <f t="shared" si="16"/>
        <v>0</v>
      </c>
      <c r="AR127" s="195">
        <f t="shared" si="16"/>
        <v>0</v>
      </c>
    </row>
    <row r="128" spans="2:44" ht="12.95" customHeight="1" x14ac:dyDescent="0.2">
      <c r="B128" s="157" t="s">
        <v>209</v>
      </c>
      <c r="C128" s="148"/>
      <c r="D128" s="149"/>
      <c r="E128" s="149"/>
      <c r="F128" s="149"/>
      <c r="G128" s="149"/>
      <c r="H128" s="149"/>
      <c r="I128" s="149"/>
      <c r="J128" s="149"/>
      <c r="K128" s="149"/>
      <c r="L128" s="149"/>
      <c r="M128" s="149"/>
      <c r="N128" s="149"/>
      <c r="O128" s="149"/>
      <c r="P128" s="149"/>
      <c r="Q128" s="149"/>
      <c r="R128" s="149"/>
      <c r="S128" s="149"/>
      <c r="T128" s="149"/>
      <c r="U128" s="149"/>
      <c r="V128" s="149"/>
      <c r="W128" s="149"/>
      <c r="X128" s="149"/>
      <c r="Y128" s="149"/>
      <c r="Z128" s="149"/>
      <c r="AA128" s="149"/>
      <c r="AB128" s="149"/>
      <c r="AC128" s="149"/>
      <c r="AD128" s="149"/>
      <c r="AE128" s="149"/>
      <c r="AF128" s="149"/>
      <c r="AG128" s="149"/>
      <c r="AH128" s="149"/>
      <c r="AI128" s="149"/>
      <c r="AJ128" s="149"/>
      <c r="AK128" s="149"/>
      <c r="AL128" s="149"/>
      <c r="AM128" s="149"/>
      <c r="AN128" s="149"/>
      <c r="AO128" s="149"/>
      <c r="AP128" s="149"/>
      <c r="AQ128" s="149"/>
      <c r="AR128" s="160"/>
    </row>
    <row r="129" spans="1:44" x14ac:dyDescent="0.2">
      <c r="B129" s="50" t="s">
        <v>210</v>
      </c>
      <c r="C129" s="145" t="s">
        <v>183</v>
      </c>
      <c r="D129" s="145"/>
      <c r="E129" s="194">
        <f t="shared" ref="E129:AR129" si="17">SUM(E125:E127)</f>
        <v>0</v>
      </c>
      <c r="F129" s="194">
        <f t="shared" si="17"/>
        <v>0</v>
      </c>
      <c r="G129" s="194">
        <f t="shared" si="17"/>
        <v>0</v>
      </c>
      <c r="H129" s="194">
        <f t="shared" si="17"/>
        <v>0</v>
      </c>
      <c r="I129" s="194">
        <f t="shared" si="17"/>
        <v>0</v>
      </c>
      <c r="J129" s="194">
        <f t="shared" si="17"/>
        <v>0</v>
      </c>
      <c r="K129" s="194">
        <f t="shared" si="17"/>
        <v>0</v>
      </c>
      <c r="L129" s="194">
        <f t="shared" si="17"/>
        <v>0</v>
      </c>
      <c r="M129" s="194">
        <f t="shared" si="17"/>
        <v>0</v>
      </c>
      <c r="N129" s="194">
        <f t="shared" si="17"/>
        <v>0</v>
      </c>
      <c r="O129" s="194">
        <f t="shared" si="17"/>
        <v>0</v>
      </c>
      <c r="P129" s="194">
        <f t="shared" si="17"/>
        <v>0</v>
      </c>
      <c r="Q129" s="194">
        <f t="shared" si="17"/>
        <v>0</v>
      </c>
      <c r="R129" s="194">
        <f t="shared" si="17"/>
        <v>0</v>
      </c>
      <c r="S129" s="194">
        <f t="shared" si="17"/>
        <v>0</v>
      </c>
      <c r="T129" s="194">
        <f t="shared" si="17"/>
        <v>305304798.27356857</v>
      </c>
      <c r="U129" s="194">
        <f t="shared" si="17"/>
        <v>311410894.23904002</v>
      </c>
      <c r="V129" s="194">
        <f t="shared" si="17"/>
        <v>317639112.12382084</v>
      </c>
      <c r="W129" s="194">
        <f t="shared" si="17"/>
        <v>323991894.36629719</v>
      </c>
      <c r="X129" s="194">
        <f t="shared" si="17"/>
        <v>330471732.25362307</v>
      </c>
      <c r="Y129" s="194">
        <f t="shared" si="17"/>
        <v>337081166.89869559</v>
      </c>
      <c r="Z129" s="194">
        <f t="shared" si="17"/>
        <v>343822790.23666948</v>
      </c>
      <c r="AA129" s="194">
        <f t="shared" si="17"/>
        <v>350699246.04140288</v>
      </c>
      <c r="AB129" s="194">
        <f t="shared" si="17"/>
        <v>357713230.96223092</v>
      </c>
      <c r="AC129" s="194">
        <f t="shared" si="17"/>
        <v>364867495.5814755</v>
      </c>
      <c r="AD129" s="194">
        <f t="shared" si="17"/>
        <v>372164845.49310505</v>
      </c>
      <c r="AE129" s="194">
        <f t="shared" si="17"/>
        <v>379608142.40296721</v>
      </c>
      <c r="AF129" s="194">
        <f t="shared" si="17"/>
        <v>387200305.25102645</v>
      </c>
      <c r="AG129" s="194">
        <f t="shared" si="17"/>
        <v>394944311.35604709</v>
      </c>
      <c r="AH129" s="194">
        <f t="shared" si="17"/>
        <v>402843197.58316797</v>
      </c>
      <c r="AI129" s="194">
        <f t="shared" si="17"/>
        <v>410900061.53483135</v>
      </c>
      <c r="AJ129" s="194">
        <f t="shared" si="17"/>
        <v>419118062.7655279</v>
      </c>
      <c r="AK129" s="194">
        <f t="shared" si="17"/>
        <v>427500424.0208385</v>
      </c>
      <c r="AL129" s="194">
        <f t="shared" si="17"/>
        <v>436050432.50125533</v>
      </c>
      <c r="AM129" s="194">
        <f t="shared" si="17"/>
        <v>444771441.1512804</v>
      </c>
      <c r="AN129" s="194">
        <f t="shared" si="17"/>
        <v>0</v>
      </c>
      <c r="AO129" s="194">
        <f t="shared" si="17"/>
        <v>0</v>
      </c>
      <c r="AP129" s="194">
        <f t="shared" si="17"/>
        <v>0</v>
      </c>
      <c r="AQ129" s="194">
        <f t="shared" si="17"/>
        <v>0</v>
      </c>
      <c r="AR129" s="195">
        <f t="shared" si="17"/>
        <v>0</v>
      </c>
    </row>
    <row r="130" spans="1:44" x14ac:dyDescent="0.2">
      <c r="B130" s="50" t="s">
        <v>211</v>
      </c>
      <c r="C130" s="145" t="s">
        <v>183</v>
      </c>
      <c r="D130" s="145"/>
      <c r="E130" s="194">
        <f t="shared" ref="E130:AR130" si="18">SUM(E119:E120)</f>
        <v>-86947209.297710001</v>
      </c>
      <c r="F130" s="194">
        <f t="shared" si="18"/>
        <v>-88686153.4836642</v>
      </c>
      <c r="G130" s="194">
        <f t="shared" si="18"/>
        <v>-90459876.553337485</v>
      </c>
      <c r="H130" s="194">
        <f t="shared" si="18"/>
        <v>-92269074.08440423</v>
      </c>
      <c r="I130" s="194">
        <f t="shared" si="18"/>
        <v>-94114455.566092312</v>
      </c>
      <c r="J130" s="194">
        <f t="shared" si="18"/>
        <v>-95996744.677414164</v>
      </c>
      <c r="K130" s="194">
        <f t="shared" si="18"/>
        <v>-97916679.570962459</v>
      </c>
      <c r="L130" s="194">
        <f t="shared" si="18"/>
        <v>-99875013.162381679</v>
      </c>
      <c r="M130" s="194">
        <f t="shared" si="18"/>
        <v>-101872513.42562933</v>
      </c>
      <c r="N130" s="194">
        <f t="shared" si="18"/>
        <v>-103909963.69414191</v>
      </c>
      <c r="O130" s="194">
        <f t="shared" si="18"/>
        <v>-105988162.96802476</v>
      </c>
      <c r="P130" s="194">
        <f t="shared" si="18"/>
        <v>-108107926.22738524</v>
      </c>
      <c r="Q130" s="194">
        <f t="shared" si="18"/>
        <v>-110270084.75193295</v>
      </c>
      <c r="R130" s="194">
        <f t="shared" si="18"/>
        <v>-112475486.44697161</v>
      </c>
      <c r="S130" s="194">
        <f t="shared" si="18"/>
        <v>-114724996.17591105</v>
      </c>
      <c r="T130" s="194">
        <f t="shared" si="18"/>
        <v>-309613255.3136121</v>
      </c>
      <c r="U130" s="194">
        <f t="shared" si="18"/>
        <v>-121556343.14956282</v>
      </c>
      <c r="V130" s="194">
        <f t="shared" si="18"/>
        <v>-123987470.01255409</v>
      </c>
      <c r="W130" s="194">
        <f t="shared" si="18"/>
        <v>-126467219.41280515</v>
      </c>
      <c r="X130" s="194">
        <f t="shared" si="18"/>
        <v>-128996563.80106126</v>
      </c>
      <c r="Y130" s="194">
        <f t="shared" si="18"/>
        <v>-131576495.0770825</v>
      </c>
      <c r="Z130" s="194">
        <f t="shared" si="18"/>
        <v>-134208024.97862414</v>
      </c>
      <c r="AA130" s="194">
        <f t="shared" si="18"/>
        <v>-136892185.47819662</v>
      </c>
      <c r="AB130" s="194">
        <f t="shared" si="18"/>
        <v>-139630029.18776053</v>
      </c>
      <c r="AC130" s="194">
        <f t="shared" si="18"/>
        <v>-142422629.77151576</v>
      </c>
      <c r="AD130" s="194">
        <f t="shared" si="18"/>
        <v>-145271082.36694607</v>
      </c>
      <c r="AE130" s="194">
        <f t="shared" si="18"/>
        <v>-148176504.014285</v>
      </c>
      <c r="AF130" s="194">
        <f t="shared" si="18"/>
        <v>-151140034.09457067</v>
      </c>
      <c r="AG130" s="194">
        <f t="shared" si="18"/>
        <v>-154162834.77646211</v>
      </c>
      <c r="AH130" s="194">
        <f t="shared" si="18"/>
        <v>-157246091.47199133</v>
      </c>
      <c r="AI130" s="194">
        <f t="shared" si="18"/>
        <v>-160391013.30143118</v>
      </c>
      <c r="AJ130" s="194">
        <f t="shared" si="18"/>
        <v>-163598833.56745976</v>
      </c>
      <c r="AK130" s="194">
        <f t="shared" si="18"/>
        <v>-166870810.23880899</v>
      </c>
      <c r="AL130" s="194">
        <f t="shared" si="18"/>
        <v>-170208226.44358519</v>
      </c>
      <c r="AM130" s="194">
        <f t="shared" si="18"/>
        <v>-173612390.97245687</v>
      </c>
      <c r="AN130" s="194">
        <f t="shared" si="18"/>
        <v>0</v>
      </c>
      <c r="AO130" s="194">
        <f t="shared" si="18"/>
        <v>0</v>
      </c>
      <c r="AP130" s="194">
        <f t="shared" si="18"/>
        <v>0</v>
      </c>
      <c r="AQ130" s="194">
        <f t="shared" si="18"/>
        <v>0</v>
      </c>
      <c r="AR130" s="195">
        <f t="shared" si="18"/>
        <v>0</v>
      </c>
    </row>
    <row r="131" spans="1:44" x14ac:dyDescent="0.2">
      <c r="B131" s="161" t="s">
        <v>212</v>
      </c>
      <c r="C131" s="152" t="s">
        <v>183</v>
      </c>
      <c r="D131" s="154"/>
      <c r="E131" s="200">
        <f t="shared" ref="E131:AR131" si="19">SUM(E129:E130)</f>
        <v>-86947209.297710001</v>
      </c>
      <c r="F131" s="200">
        <f t="shared" si="19"/>
        <v>-88686153.4836642</v>
      </c>
      <c r="G131" s="200">
        <f t="shared" si="19"/>
        <v>-90459876.553337485</v>
      </c>
      <c r="H131" s="200">
        <f t="shared" si="19"/>
        <v>-92269074.08440423</v>
      </c>
      <c r="I131" s="200">
        <f t="shared" si="19"/>
        <v>-94114455.566092312</v>
      </c>
      <c r="J131" s="200">
        <f t="shared" si="19"/>
        <v>-95996744.677414164</v>
      </c>
      <c r="K131" s="200">
        <f t="shared" si="19"/>
        <v>-97916679.570962459</v>
      </c>
      <c r="L131" s="200">
        <f t="shared" si="19"/>
        <v>-99875013.162381679</v>
      </c>
      <c r="M131" s="200">
        <f t="shared" si="19"/>
        <v>-101872513.42562933</v>
      </c>
      <c r="N131" s="200">
        <f t="shared" si="19"/>
        <v>-103909963.69414191</v>
      </c>
      <c r="O131" s="200">
        <f t="shared" si="19"/>
        <v>-105988162.96802476</v>
      </c>
      <c r="P131" s="200">
        <f t="shared" si="19"/>
        <v>-108107926.22738524</v>
      </c>
      <c r="Q131" s="200">
        <f t="shared" si="19"/>
        <v>-110270084.75193295</v>
      </c>
      <c r="R131" s="200">
        <f t="shared" si="19"/>
        <v>-112475486.44697161</v>
      </c>
      <c r="S131" s="200">
        <f t="shared" si="19"/>
        <v>-114724996.17591105</v>
      </c>
      <c r="T131" s="200">
        <f t="shared" si="19"/>
        <v>-4308457.0400435328</v>
      </c>
      <c r="U131" s="200">
        <f t="shared" si="19"/>
        <v>189854551.08947718</v>
      </c>
      <c r="V131" s="200">
        <f t="shared" si="19"/>
        <v>193651642.11126673</v>
      </c>
      <c r="W131" s="200">
        <f t="shared" si="19"/>
        <v>197524674.95349205</v>
      </c>
      <c r="X131" s="200">
        <f t="shared" si="19"/>
        <v>201475168.4525618</v>
      </c>
      <c r="Y131" s="200">
        <f t="shared" si="19"/>
        <v>205504671.82161307</v>
      </c>
      <c r="Z131" s="200">
        <f t="shared" si="19"/>
        <v>209614765.25804535</v>
      </c>
      <c r="AA131" s="200">
        <f t="shared" si="19"/>
        <v>213807060.56320626</v>
      </c>
      <c r="AB131" s="200">
        <f t="shared" si="19"/>
        <v>218083201.77447039</v>
      </c>
      <c r="AC131" s="200">
        <f t="shared" si="19"/>
        <v>222444865.80995974</v>
      </c>
      <c r="AD131" s="200">
        <f t="shared" si="19"/>
        <v>226893763.12615898</v>
      </c>
      <c r="AE131" s="200">
        <f t="shared" si="19"/>
        <v>231431638.38868222</v>
      </c>
      <c r="AF131" s="200">
        <f t="shared" si="19"/>
        <v>236060271.15645579</v>
      </c>
      <c r="AG131" s="200">
        <f t="shared" si="19"/>
        <v>240781476.57958499</v>
      </c>
      <c r="AH131" s="200">
        <f t="shared" si="19"/>
        <v>245597106.11117664</v>
      </c>
      <c r="AI131" s="200">
        <f t="shared" si="19"/>
        <v>250509048.23340017</v>
      </c>
      <c r="AJ131" s="200">
        <f t="shared" si="19"/>
        <v>255519229.19806814</v>
      </c>
      <c r="AK131" s="200">
        <f t="shared" si="19"/>
        <v>260629613.78202951</v>
      </c>
      <c r="AL131" s="200">
        <f t="shared" si="19"/>
        <v>265842206.05767015</v>
      </c>
      <c r="AM131" s="200">
        <f t="shared" si="19"/>
        <v>271159050.17882353</v>
      </c>
      <c r="AN131" s="200">
        <f t="shared" si="19"/>
        <v>0</v>
      </c>
      <c r="AO131" s="200">
        <f t="shared" si="19"/>
        <v>0</v>
      </c>
      <c r="AP131" s="200">
        <f t="shared" si="19"/>
        <v>0</v>
      </c>
      <c r="AQ131" s="200">
        <f t="shared" si="19"/>
        <v>0</v>
      </c>
      <c r="AR131" s="201">
        <f t="shared" si="19"/>
        <v>0</v>
      </c>
    </row>
    <row r="132" spans="1:44" ht="12.95" customHeight="1" x14ac:dyDescent="0.2">
      <c r="B132" s="157" t="s">
        <v>213</v>
      </c>
      <c r="C132" s="148"/>
      <c r="D132" s="149"/>
      <c r="E132" s="149"/>
      <c r="F132" s="149"/>
      <c r="G132" s="149"/>
      <c r="H132" s="149"/>
      <c r="I132" s="149"/>
      <c r="J132" s="149"/>
      <c r="K132" s="149"/>
      <c r="L132" s="149"/>
      <c r="M132" s="149"/>
      <c r="N132" s="149"/>
      <c r="O132" s="149"/>
      <c r="P132" s="149"/>
      <c r="Q132" s="149"/>
      <c r="R132" s="149"/>
      <c r="S132" s="149"/>
      <c r="T132" s="149"/>
      <c r="U132" s="149"/>
      <c r="V132" s="149"/>
      <c r="W132" s="149"/>
      <c r="X132" s="149"/>
      <c r="Y132" s="149"/>
      <c r="Z132" s="149"/>
      <c r="AA132" s="149"/>
      <c r="AB132" s="149"/>
      <c r="AC132" s="149"/>
      <c r="AD132" s="149"/>
      <c r="AE132" s="149"/>
      <c r="AF132" s="149"/>
      <c r="AG132" s="149"/>
      <c r="AH132" s="149"/>
      <c r="AI132" s="149"/>
      <c r="AJ132" s="149"/>
      <c r="AK132" s="149"/>
      <c r="AL132" s="149"/>
      <c r="AM132" s="149"/>
      <c r="AN132" s="149"/>
      <c r="AO132" s="149"/>
      <c r="AP132" s="149"/>
      <c r="AQ132" s="149"/>
      <c r="AR132" s="160"/>
    </row>
    <row r="133" spans="1:44" x14ac:dyDescent="0.2">
      <c r="B133" s="50" t="s">
        <v>214</v>
      </c>
      <c r="C133" s="145" t="s">
        <v>183</v>
      </c>
      <c r="D133" s="145"/>
      <c r="E133" s="194">
        <f t="shared" ref="E133:AR133" si="20">IF(E111&gt;$C$75,0,-$C$151/$C$75)</f>
        <v>-151762956.52343437</v>
      </c>
      <c r="F133" s="194">
        <f t="shared" si="20"/>
        <v>-151762956.52343437</v>
      </c>
      <c r="G133" s="194">
        <f t="shared" si="20"/>
        <v>-151762956.52343437</v>
      </c>
      <c r="H133" s="194">
        <f t="shared" si="20"/>
        <v>-151762956.52343437</v>
      </c>
      <c r="I133" s="194">
        <f t="shared" si="20"/>
        <v>-151762956.52343437</v>
      </c>
      <c r="J133" s="194">
        <f t="shared" si="20"/>
        <v>-151762956.52343437</v>
      </c>
      <c r="K133" s="194">
        <f t="shared" si="20"/>
        <v>-151762956.52343437</v>
      </c>
      <c r="L133" s="194">
        <f t="shared" si="20"/>
        <v>-151762956.52343437</v>
      </c>
      <c r="M133" s="194">
        <f t="shared" si="20"/>
        <v>-151762956.52343437</v>
      </c>
      <c r="N133" s="194">
        <f t="shared" si="20"/>
        <v>-151762956.52343437</v>
      </c>
      <c r="O133" s="194">
        <f t="shared" si="20"/>
        <v>-151762956.52343437</v>
      </c>
      <c r="P133" s="194">
        <f t="shared" si="20"/>
        <v>-151762956.52343437</v>
      </c>
      <c r="Q133" s="194">
        <f t="shared" si="20"/>
        <v>-151762956.52343437</v>
      </c>
      <c r="R133" s="194">
        <f t="shared" si="20"/>
        <v>-151762956.52343437</v>
      </c>
      <c r="S133" s="194">
        <f t="shared" si="20"/>
        <v>-151762956.52343437</v>
      </c>
      <c r="T133" s="194">
        <f t="shared" si="20"/>
        <v>-151762956.52343437</v>
      </c>
      <c r="U133" s="194">
        <f t="shared" si="20"/>
        <v>-151762956.52343437</v>
      </c>
      <c r="V133" s="194">
        <f t="shared" si="20"/>
        <v>-151762956.52343437</v>
      </c>
      <c r="W133" s="194">
        <f t="shared" si="20"/>
        <v>-151762956.52343437</v>
      </c>
      <c r="X133" s="194">
        <f t="shared" si="20"/>
        <v>-151762956.52343437</v>
      </c>
      <c r="Y133" s="194">
        <f t="shared" si="20"/>
        <v>0</v>
      </c>
      <c r="Z133" s="194">
        <f t="shared" si="20"/>
        <v>0</v>
      </c>
      <c r="AA133" s="194">
        <f t="shared" si="20"/>
        <v>0</v>
      </c>
      <c r="AB133" s="194">
        <f t="shared" si="20"/>
        <v>0</v>
      </c>
      <c r="AC133" s="194">
        <f t="shared" si="20"/>
        <v>0</v>
      </c>
      <c r="AD133" s="194">
        <f t="shared" si="20"/>
        <v>0</v>
      </c>
      <c r="AE133" s="194">
        <f t="shared" si="20"/>
        <v>0</v>
      </c>
      <c r="AF133" s="194">
        <f t="shared" si="20"/>
        <v>0</v>
      </c>
      <c r="AG133" s="194">
        <f t="shared" si="20"/>
        <v>0</v>
      </c>
      <c r="AH133" s="194">
        <f t="shared" si="20"/>
        <v>0</v>
      </c>
      <c r="AI133" s="194">
        <f t="shared" si="20"/>
        <v>0</v>
      </c>
      <c r="AJ133" s="194">
        <f t="shared" si="20"/>
        <v>0</v>
      </c>
      <c r="AK133" s="194">
        <f t="shared" si="20"/>
        <v>0</v>
      </c>
      <c r="AL133" s="194">
        <f t="shared" si="20"/>
        <v>0</v>
      </c>
      <c r="AM133" s="194">
        <f t="shared" si="20"/>
        <v>0</v>
      </c>
      <c r="AN133" s="194">
        <f t="shared" si="20"/>
        <v>0</v>
      </c>
      <c r="AO133" s="194">
        <f t="shared" si="20"/>
        <v>0</v>
      </c>
      <c r="AP133" s="194">
        <f t="shared" si="20"/>
        <v>0</v>
      </c>
      <c r="AQ133" s="194">
        <f t="shared" si="20"/>
        <v>0</v>
      </c>
      <c r="AR133" s="195">
        <f t="shared" si="20"/>
        <v>0</v>
      </c>
    </row>
    <row r="134" spans="1:44" x14ac:dyDescent="0.2">
      <c r="B134" s="50" t="s">
        <v>215</v>
      </c>
      <c r="C134" s="145" t="s">
        <v>183</v>
      </c>
      <c r="D134" s="145"/>
      <c r="E134" s="194">
        <f t="shared" ref="E134:AR134" si="21">IF(E111&gt;$C$74,0,IPMT($C$90,E111,$C$74,$C$156))</f>
        <v>-102439995.65331821</v>
      </c>
      <c r="F134" s="194">
        <f t="shared" si="21"/>
        <v>-97511217.359176695</v>
      </c>
      <c r="G134" s="194">
        <f t="shared" si="21"/>
        <v>-92360644.041798845</v>
      </c>
      <c r="H134" s="194">
        <f t="shared" si="21"/>
        <v>-86978294.92513895</v>
      </c>
      <c r="I134" s="194">
        <f t="shared" si="21"/>
        <v>-81353740.098229393</v>
      </c>
      <c r="J134" s="194">
        <f t="shared" si="21"/>
        <v>-75476080.304108888</v>
      </c>
      <c r="K134" s="194">
        <f t="shared" si="21"/>
        <v>-69333925.819252968</v>
      </c>
      <c r="L134" s="194">
        <f t="shared" si="21"/>
        <v>-62915374.382578537</v>
      </c>
      <c r="M134" s="194">
        <f t="shared" si="21"/>
        <v>-56207988.131253749</v>
      </c>
      <c r="N134" s="194">
        <f t="shared" si="21"/>
        <v>-49198769.498619325</v>
      </c>
      <c r="O134" s="194">
        <f t="shared" si="21"/>
        <v>-41874136.027516387</v>
      </c>
      <c r="P134" s="194">
        <f t="shared" si="21"/>
        <v>-34219894.050213799</v>
      </c>
      <c r="Q134" s="194">
        <f t="shared" si="21"/>
        <v>-26221211.183932595</v>
      </c>
      <c r="R134" s="194">
        <f t="shared" si="21"/>
        <v>-17862587.588668741</v>
      </c>
      <c r="S134" s="194">
        <f t="shared" si="21"/>
        <v>-9127825.9316180125</v>
      </c>
      <c r="T134" s="194">
        <f t="shared" si="21"/>
        <v>0</v>
      </c>
      <c r="U134" s="194">
        <f t="shared" si="21"/>
        <v>0</v>
      </c>
      <c r="V134" s="194">
        <f t="shared" si="21"/>
        <v>0</v>
      </c>
      <c r="W134" s="194">
        <f t="shared" si="21"/>
        <v>0</v>
      </c>
      <c r="X134" s="194">
        <f t="shared" si="21"/>
        <v>0</v>
      </c>
      <c r="Y134" s="194">
        <f t="shared" si="21"/>
        <v>0</v>
      </c>
      <c r="Z134" s="194">
        <f t="shared" si="21"/>
        <v>0</v>
      </c>
      <c r="AA134" s="194">
        <f t="shared" si="21"/>
        <v>0</v>
      </c>
      <c r="AB134" s="194">
        <f t="shared" si="21"/>
        <v>0</v>
      </c>
      <c r="AC134" s="194">
        <f t="shared" si="21"/>
        <v>0</v>
      </c>
      <c r="AD134" s="194">
        <f t="shared" si="21"/>
        <v>0</v>
      </c>
      <c r="AE134" s="194">
        <f t="shared" si="21"/>
        <v>0</v>
      </c>
      <c r="AF134" s="194">
        <f t="shared" si="21"/>
        <v>0</v>
      </c>
      <c r="AG134" s="194">
        <f t="shared" si="21"/>
        <v>0</v>
      </c>
      <c r="AH134" s="194">
        <f t="shared" si="21"/>
        <v>0</v>
      </c>
      <c r="AI134" s="194">
        <f t="shared" si="21"/>
        <v>0</v>
      </c>
      <c r="AJ134" s="194">
        <f t="shared" si="21"/>
        <v>0</v>
      </c>
      <c r="AK134" s="194">
        <f t="shared" si="21"/>
        <v>0</v>
      </c>
      <c r="AL134" s="194">
        <f t="shared" si="21"/>
        <v>0</v>
      </c>
      <c r="AM134" s="194">
        <f t="shared" si="21"/>
        <v>0</v>
      </c>
      <c r="AN134" s="194">
        <f t="shared" si="21"/>
        <v>0</v>
      </c>
      <c r="AO134" s="194">
        <f t="shared" si="21"/>
        <v>0</v>
      </c>
      <c r="AP134" s="194">
        <f t="shared" si="21"/>
        <v>0</v>
      </c>
      <c r="AQ134" s="194">
        <f t="shared" si="21"/>
        <v>0</v>
      </c>
      <c r="AR134" s="195">
        <f t="shared" si="21"/>
        <v>0</v>
      </c>
    </row>
    <row r="135" spans="1:44" x14ac:dyDescent="0.2">
      <c r="B135" s="50" t="s">
        <v>216</v>
      </c>
      <c r="C135" s="145" t="s">
        <v>183</v>
      </c>
      <c r="D135" s="145"/>
      <c r="E135" s="194">
        <f t="shared" ref="E135:AR135" si="22">IF(E111&gt;$C$74,0,PPMT($C$90,E111,$C$74,$C$156))</f>
        <v>-109528406.53647782</v>
      </c>
      <c r="F135" s="194">
        <f t="shared" si="22"/>
        <v>-114457184.83061934</v>
      </c>
      <c r="G135" s="194">
        <f t="shared" si="22"/>
        <v>-119607758.1479972</v>
      </c>
      <c r="H135" s="194">
        <f t="shared" si="22"/>
        <v>-124990107.26465708</v>
      </c>
      <c r="I135" s="194">
        <f t="shared" si="22"/>
        <v>-130614662.09156665</v>
      </c>
      <c r="J135" s="194">
        <f t="shared" si="22"/>
        <v>-136492321.88568714</v>
      </c>
      <c r="K135" s="194">
        <f t="shared" si="22"/>
        <v>-142634476.37054309</v>
      </c>
      <c r="L135" s="194">
        <f t="shared" si="22"/>
        <v>-149053027.80721751</v>
      </c>
      <c r="M135" s="194">
        <f t="shared" si="22"/>
        <v>-155760414.05854231</v>
      </c>
      <c r="N135" s="194">
        <f t="shared" si="22"/>
        <v>-162769632.69117671</v>
      </c>
      <c r="O135" s="194">
        <f t="shared" si="22"/>
        <v>-170094266.16227967</v>
      </c>
      <c r="P135" s="194">
        <f t="shared" si="22"/>
        <v>-177748508.13958225</v>
      </c>
      <c r="Q135" s="194">
        <f t="shared" si="22"/>
        <v>-185747191.00586343</v>
      </c>
      <c r="R135" s="194">
        <f t="shared" si="22"/>
        <v>-194105814.6011273</v>
      </c>
      <c r="S135" s="194">
        <f t="shared" si="22"/>
        <v>-202840576.25817806</v>
      </c>
      <c r="T135" s="194">
        <f t="shared" si="22"/>
        <v>0</v>
      </c>
      <c r="U135" s="194">
        <f t="shared" si="22"/>
        <v>0</v>
      </c>
      <c r="V135" s="194">
        <f t="shared" si="22"/>
        <v>0</v>
      </c>
      <c r="W135" s="194">
        <f t="shared" si="22"/>
        <v>0</v>
      </c>
      <c r="X135" s="194">
        <f t="shared" si="22"/>
        <v>0</v>
      </c>
      <c r="Y135" s="194">
        <f t="shared" si="22"/>
        <v>0</v>
      </c>
      <c r="Z135" s="194">
        <f t="shared" si="22"/>
        <v>0</v>
      </c>
      <c r="AA135" s="194">
        <f t="shared" si="22"/>
        <v>0</v>
      </c>
      <c r="AB135" s="194">
        <f t="shared" si="22"/>
        <v>0</v>
      </c>
      <c r="AC135" s="194">
        <f t="shared" si="22"/>
        <v>0</v>
      </c>
      <c r="AD135" s="194">
        <f t="shared" si="22"/>
        <v>0</v>
      </c>
      <c r="AE135" s="194">
        <f t="shared" si="22"/>
        <v>0</v>
      </c>
      <c r="AF135" s="194">
        <f t="shared" si="22"/>
        <v>0</v>
      </c>
      <c r="AG135" s="194">
        <f t="shared" si="22"/>
        <v>0</v>
      </c>
      <c r="AH135" s="194">
        <f t="shared" si="22"/>
        <v>0</v>
      </c>
      <c r="AI135" s="194">
        <f t="shared" si="22"/>
        <v>0</v>
      </c>
      <c r="AJ135" s="194">
        <f t="shared" si="22"/>
        <v>0</v>
      </c>
      <c r="AK135" s="194">
        <f t="shared" si="22"/>
        <v>0</v>
      </c>
      <c r="AL135" s="194">
        <f t="shared" si="22"/>
        <v>0</v>
      </c>
      <c r="AM135" s="194">
        <f t="shared" si="22"/>
        <v>0</v>
      </c>
      <c r="AN135" s="194">
        <f t="shared" si="22"/>
        <v>0</v>
      </c>
      <c r="AO135" s="194">
        <f t="shared" si="22"/>
        <v>0</v>
      </c>
      <c r="AP135" s="194">
        <f t="shared" si="22"/>
        <v>0</v>
      </c>
      <c r="AQ135" s="194">
        <f t="shared" si="22"/>
        <v>0</v>
      </c>
      <c r="AR135" s="195">
        <f t="shared" si="22"/>
        <v>0</v>
      </c>
    </row>
    <row r="136" spans="1:44" s="33" customFormat="1" ht="12.95" customHeight="1" x14ac:dyDescent="0.2">
      <c r="A136" s="244"/>
      <c r="B136" s="161" t="s">
        <v>217</v>
      </c>
      <c r="C136" s="152" t="s">
        <v>183</v>
      </c>
      <c r="D136" s="152"/>
      <c r="E136" s="200">
        <f t="shared" ref="E136:AR136" si="23">SUM(E134,E135)</f>
        <v>-211968402.18979603</v>
      </c>
      <c r="F136" s="200">
        <f t="shared" si="23"/>
        <v>-211968402.18979603</v>
      </c>
      <c r="G136" s="200">
        <f t="shared" si="23"/>
        <v>-211968402.18979603</v>
      </c>
      <c r="H136" s="200">
        <f t="shared" si="23"/>
        <v>-211968402.18979603</v>
      </c>
      <c r="I136" s="200">
        <f t="shared" si="23"/>
        <v>-211968402.18979603</v>
      </c>
      <c r="J136" s="200">
        <f t="shared" si="23"/>
        <v>-211968402.18979603</v>
      </c>
      <c r="K136" s="200">
        <f t="shared" si="23"/>
        <v>-211968402.18979606</v>
      </c>
      <c r="L136" s="200">
        <f t="shared" si="23"/>
        <v>-211968402.18979603</v>
      </c>
      <c r="M136" s="200">
        <f t="shared" si="23"/>
        <v>-211968402.18979606</v>
      </c>
      <c r="N136" s="200">
        <f t="shared" si="23"/>
        <v>-211968402.18979603</v>
      </c>
      <c r="O136" s="200">
        <f t="shared" si="23"/>
        <v>-211968402.18979606</v>
      </c>
      <c r="P136" s="200">
        <f t="shared" si="23"/>
        <v>-211968402.18979603</v>
      </c>
      <c r="Q136" s="200">
        <f t="shared" si="23"/>
        <v>-211968402.18979603</v>
      </c>
      <c r="R136" s="200">
        <f t="shared" si="23"/>
        <v>-211968402.18979603</v>
      </c>
      <c r="S136" s="200">
        <f t="shared" si="23"/>
        <v>-211968402.18979606</v>
      </c>
      <c r="T136" s="200">
        <f t="shared" si="23"/>
        <v>0</v>
      </c>
      <c r="U136" s="200">
        <f t="shared" si="23"/>
        <v>0</v>
      </c>
      <c r="V136" s="200">
        <f t="shared" si="23"/>
        <v>0</v>
      </c>
      <c r="W136" s="200">
        <f t="shared" si="23"/>
        <v>0</v>
      </c>
      <c r="X136" s="200">
        <f t="shared" si="23"/>
        <v>0</v>
      </c>
      <c r="Y136" s="200">
        <f t="shared" si="23"/>
        <v>0</v>
      </c>
      <c r="Z136" s="200">
        <f t="shared" si="23"/>
        <v>0</v>
      </c>
      <c r="AA136" s="200">
        <f t="shared" si="23"/>
        <v>0</v>
      </c>
      <c r="AB136" s="200">
        <f t="shared" si="23"/>
        <v>0</v>
      </c>
      <c r="AC136" s="200">
        <f t="shared" si="23"/>
        <v>0</v>
      </c>
      <c r="AD136" s="200">
        <f t="shared" si="23"/>
        <v>0</v>
      </c>
      <c r="AE136" s="200">
        <f t="shared" si="23"/>
        <v>0</v>
      </c>
      <c r="AF136" s="200">
        <f t="shared" si="23"/>
        <v>0</v>
      </c>
      <c r="AG136" s="200">
        <f t="shared" si="23"/>
        <v>0</v>
      </c>
      <c r="AH136" s="200">
        <f t="shared" si="23"/>
        <v>0</v>
      </c>
      <c r="AI136" s="200">
        <f t="shared" si="23"/>
        <v>0</v>
      </c>
      <c r="AJ136" s="200">
        <f t="shared" si="23"/>
        <v>0</v>
      </c>
      <c r="AK136" s="200">
        <f t="shared" si="23"/>
        <v>0</v>
      </c>
      <c r="AL136" s="200">
        <f t="shared" si="23"/>
        <v>0</v>
      </c>
      <c r="AM136" s="200">
        <f t="shared" si="23"/>
        <v>0</v>
      </c>
      <c r="AN136" s="200">
        <f t="shared" si="23"/>
        <v>0</v>
      </c>
      <c r="AO136" s="200">
        <f t="shared" si="23"/>
        <v>0</v>
      </c>
      <c r="AP136" s="200">
        <f t="shared" si="23"/>
        <v>0</v>
      </c>
      <c r="AQ136" s="200">
        <f t="shared" si="23"/>
        <v>0</v>
      </c>
      <c r="AR136" s="201">
        <f t="shared" si="23"/>
        <v>0</v>
      </c>
    </row>
    <row r="137" spans="1:44" ht="12.95" customHeight="1" x14ac:dyDescent="0.2">
      <c r="B137" s="157" t="s">
        <v>218</v>
      </c>
      <c r="C137" s="148"/>
      <c r="D137" s="149"/>
      <c r="E137" s="149"/>
      <c r="F137" s="149"/>
      <c r="G137" s="149"/>
      <c r="H137" s="149"/>
      <c r="I137" s="149"/>
      <c r="J137" s="149"/>
      <c r="K137" s="149"/>
      <c r="L137" s="149"/>
      <c r="M137" s="149"/>
      <c r="N137" s="149"/>
      <c r="O137" s="149"/>
      <c r="P137" s="149"/>
      <c r="Q137" s="149"/>
      <c r="R137" s="149"/>
      <c r="S137" s="149"/>
      <c r="T137" s="149"/>
      <c r="U137" s="149"/>
      <c r="V137" s="149"/>
      <c r="W137" s="149"/>
      <c r="X137" s="149"/>
      <c r="Y137" s="149"/>
      <c r="Z137" s="149"/>
      <c r="AA137" s="149"/>
      <c r="AB137" s="149"/>
      <c r="AC137" s="149"/>
      <c r="AD137" s="149"/>
      <c r="AE137" s="149"/>
      <c r="AF137" s="149"/>
      <c r="AG137" s="149"/>
      <c r="AH137" s="149"/>
      <c r="AI137" s="149"/>
      <c r="AJ137" s="149"/>
      <c r="AK137" s="149"/>
      <c r="AL137" s="149"/>
      <c r="AM137" s="149"/>
      <c r="AN137" s="149"/>
      <c r="AO137" s="149"/>
      <c r="AP137" s="149"/>
      <c r="AQ137" s="149"/>
      <c r="AR137" s="160"/>
    </row>
    <row r="138" spans="1:44" x14ac:dyDescent="0.2">
      <c r="B138" s="50" t="s">
        <v>219</v>
      </c>
      <c r="C138" s="145" t="s">
        <v>183</v>
      </c>
      <c r="D138" s="145"/>
      <c r="E138" s="194">
        <f t="shared" ref="E138:AR138" si="24">E131+E133+E134</f>
        <v>-341150161.47446257</v>
      </c>
      <c r="F138" s="194">
        <f t="shared" si="24"/>
        <v>-337960327.36627525</v>
      </c>
      <c r="G138" s="194">
        <f t="shared" si="24"/>
        <v>-334583477.11857069</v>
      </c>
      <c r="H138" s="194">
        <f t="shared" si="24"/>
        <v>-331010325.53297758</v>
      </c>
      <c r="I138" s="194">
        <f t="shared" si="24"/>
        <v>-327231152.18775606</v>
      </c>
      <c r="J138" s="194">
        <f t="shared" si="24"/>
        <v>-323235781.50495744</v>
      </c>
      <c r="K138" s="194">
        <f t="shared" si="24"/>
        <v>-319013561.9136498</v>
      </c>
      <c r="L138" s="194">
        <f t="shared" si="24"/>
        <v>-314553344.0683946</v>
      </c>
      <c r="M138" s="194">
        <f t="shared" si="24"/>
        <v>-309843458.0803175</v>
      </c>
      <c r="N138" s="194">
        <f t="shared" si="24"/>
        <v>-304871689.71619558</v>
      </c>
      <c r="O138" s="194">
        <f t="shared" si="24"/>
        <v>-299625255.5189755</v>
      </c>
      <c r="P138" s="194">
        <f t="shared" si="24"/>
        <v>-294090776.80103344</v>
      </c>
      <c r="Q138" s="194">
        <f t="shared" si="24"/>
        <v>-288254252.45929992</v>
      </c>
      <c r="R138" s="194">
        <f t="shared" si="24"/>
        <v>-282101030.55907476</v>
      </c>
      <c r="S138" s="194">
        <f t="shared" si="24"/>
        <v>-275615778.63096344</v>
      </c>
      <c r="T138" s="194">
        <f t="shared" si="24"/>
        <v>-156071413.5634779</v>
      </c>
      <c r="U138" s="194">
        <f t="shared" si="24"/>
        <v>38091594.566042811</v>
      </c>
      <c r="V138" s="194">
        <f t="shared" si="24"/>
        <v>41888685.587832361</v>
      </c>
      <c r="W138" s="194">
        <f t="shared" si="24"/>
        <v>45761718.430057675</v>
      </c>
      <c r="X138" s="194">
        <f t="shared" si="24"/>
        <v>49712211.929127425</v>
      </c>
      <c r="Y138" s="194">
        <f t="shared" si="24"/>
        <v>205504671.82161307</v>
      </c>
      <c r="Z138" s="194">
        <f t="shared" si="24"/>
        <v>209614765.25804535</v>
      </c>
      <c r="AA138" s="194">
        <f t="shared" si="24"/>
        <v>213807060.56320626</v>
      </c>
      <c r="AB138" s="194">
        <f t="shared" si="24"/>
        <v>218083201.77447039</v>
      </c>
      <c r="AC138" s="194">
        <f t="shared" si="24"/>
        <v>222444865.80995974</v>
      </c>
      <c r="AD138" s="194">
        <f t="shared" si="24"/>
        <v>226893763.12615898</v>
      </c>
      <c r="AE138" s="194">
        <f t="shared" si="24"/>
        <v>231431638.38868222</v>
      </c>
      <c r="AF138" s="194">
        <f t="shared" si="24"/>
        <v>236060271.15645579</v>
      </c>
      <c r="AG138" s="194">
        <f t="shared" si="24"/>
        <v>240781476.57958499</v>
      </c>
      <c r="AH138" s="194">
        <f t="shared" si="24"/>
        <v>245597106.11117664</v>
      </c>
      <c r="AI138" s="194">
        <f t="shared" si="24"/>
        <v>250509048.23340017</v>
      </c>
      <c r="AJ138" s="194">
        <f t="shared" si="24"/>
        <v>255519229.19806814</v>
      </c>
      <c r="AK138" s="194">
        <f t="shared" si="24"/>
        <v>260629613.78202951</v>
      </c>
      <c r="AL138" s="194">
        <f t="shared" si="24"/>
        <v>265842206.05767015</v>
      </c>
      <c r="AM138" s="194">
        <f t="shared" si="24"/>
        <v>271159050.17882353</v>
      </c>
      <c r="AN138" s="194">
        <f t="shared" si="24"/>
        <v>0</v>
      </c>
      <c r="AO138" s="194">
        <f t="shared" si="24"/>
        <v>0</v>
      </c>
      <c r="AP138" s="194">
        <f t="shared" si="24"/>
        <v>0</v>
      </c>
      <c r="AQ138" s="194">
        <f t="shared" si="24"/>
        <v>0</v>
      </c>
      <c r="AR138" s="195">
        <f t="shared" si="24"/>
        <v>0</v>
      </c>
    </row>
    <row r="139" spans="1:44" x14ac:dyDescent="0.2">
      <c r="B139" s="50" t="s">
        <v>220</v>
      </c>
      <c r="C139" s="145" t="s">
        <v>183</v>
      </c>
      <c r="D139" s="145"/>
      <c r="E139" s="194">
        <f t="shared" ref="E139:AR139" si="25">-$C$94*E138</f>
        <v>88016741.660411343</v>
      </c>
      <c r="F139" s="194">
        <f t="shared" si="25"/>
        <v>87193764.460499018</v>
      </c>
      <c r="G139" s="194">
        <f t="shared" si="25"/>
        <v>86322537.096591234</v>
      </c>
      <c r="H139" s="194">
        <f t="shared" si="25"/>
        <v>85400663.987508222</v>
      </c>
      <c r="I139" s="194">
        <f t="shared" si="25"/>
        <v>84425637.264441073</v>
      </c>
      <c r="J139" s="194">
        <f t="shared" si="25"/>
        <v>83394831.628279015</v>
      </c>
      <c r="K139" s="194">
        <f t="shared" si="25"/>
        <v>82305498.973721653</v>
      </c>
      <c r="L139" s="194">
        <f t="shared" si="25"/>
        <v>81154762.76964581</v>
      </c>
      <c r="M139" s="194">
        <f t="shared" si="25"/>
        <v>79939612.184721917</v>
      </c>
      <c r="N139" s="194">
        <f t="shared" si="25"/>
        <v>78656895.946778461</v>
      </c>
      <c r="O139" s="194">
        <f t="shared" si="25"/>
        <v>77303315.923895687</v>
      </c>
      <c r="P139" s="194">
        <f t="shared" si="25"/>
        <v>75875420.414666623</v>
      </c>
      <c r="Q139" s="194">
        <f t="shared" si="25"/>
        <v>74369597.134499386</v>
      </c>
      <c r="R139" s="194">
        <f t="shared" si="25"/>
        <v>72782065.884241283</v>
      </c>
      <c r="S139" s="194">
        <f t="shared" si="25"/>
        <v>71108870.886788577</v>
      </c>
      <c r="T139" s="194">
        <f t="shared" si="25"/>
        <v>40266424.699377298</v>
      </c>
      <c r="U139" s="194">
        <f t="shared" si="25"/>
        <v>-9827631.3980390448</v>
      </c>
      <c r="V139" s="194">
        <f t="shared" si="25"/>
        <v>-10807280.88166075</v>
      </c>
      <c r="W139" s="194">
        <f t="shared" si="25"/>
        <v>-11806523.35495488</v>
      </c>
      <c r="X139" s="194">
        <f t="shared" si="25"/>
        <v>-12825750.677714877</v>
      </c>
      <c r="Y139" s="194">
        <f t="shared" si="25"/>
        <v>-53020205.329976171</v>
      </c>
      <c r="Z139" s="194">
        <f t="shared" si="25"/>
        <v>-54080609.436575703</v>
      </c>
      <c r="AA139" s="194">
        <f t="shared" si="25"/>
        <v>-55162221.625307217</v>
      </c>
      <c r="AB139" s="194">
        <f t="shared" si="25"/>
        <v>-56265466.057813361</v>
      </c>
      <c r="AC139" s="194">
        <f t="shared" si="25"/>
        <v>-57390775.378969617</v>
      </c>
      <c r="AD139" s="194">
        <f t="shared" si="25"/>
        <v>-58538590.886549018</v>
      </c>
      <c r="AE139" s="194">
        <f t="shared" si="25"/>
        <v>-59709362.704280011</v>
      </c>
      <c r="AF139" s="194">
        <f t="shared" si="25"/>
        <v>-60903549.958365597</v>
      </c>
      <c r="AG139" s="194">
        <f t="shared" si="25"/>
        <v>-62121620.957532927</v>
      </c>
      <c r="AH139" s="194">
        <f t="shared" si="25"/>
        <v>-63364053.376683578</v>
      </c>
      <c r="AI139" s="194">
        <f t="shared" si="25"/>
        <v>-64631334.444217242</v>
      </c>
      <c r="AJ139" s="194">
        <f t="shared" si="25"/>
        <v>-65923961.133101583</v>
      </c>
      <c r="AK139" s="194">
        <f t="shared" si="25"/>
        <v>-67242440.355763614</v>
      </c>
      <c r="AL139" s="194">
        <f t="shared" si="25"/>
        <v>-68587289.162878901</v>
      </c>
      <c r="AM139" s="194">
        <f t="shared" si="25"/>
        <v>-69959034.946136475</v>
      </c>
      <c r="AN139" s="194">
        <f t="shared" si="25"/>
        <v>0</v>
      </c>
      <c r="AO139" s="194">
        <f t="shared" si="25"/>
        <v>0</v>
      </c>
      <c r="AP139" s="194">
        <f t="shared" si="25"/>
        <v>0</v>
      </c>
      <c r="AQ139" s="194">
        <f t="shared" si="25"/>
        <v>0</v>
      </c>
      <c r="AR139" s="195">
        <f t="shared" si="25"/>
        <v>0</v>
      </c>
    </row>
    <row r="140" spans="1:44" ht="12.95" customHeight="1" x14ac:dyDescent="0.2">
      <c r="B140" s="157" t="s">
        <v>221</v>
      </c>
      <c r="C140" s="148"/>
      <c r="D140" s="149"/>
      <c r="E140" s="149"/>
      <c r="F140" s="149"/>
      <c r="G140" s="149"/>
      <c r="H140" s="149"/>
      <c r="I140" s="149"/>
      <c r="J140" s="149"/>
      <c r="K140" s="149"/>
      <c r="L140" s="149"/>
      <c r="M140" s="149"/>
      <c r="N140" s="149"/>
      <c r="O140" s="149"/>
      <c r="P140" s="149"/>
      <c r="Q140" s="149"/>
      <c r="R140" s="149"/>
      <c r="S140" s="149"/>
      <c r="T140" s="149"/>
      <c r="U140" s="149"/>
      <c r="V140" s="149"/>
      <c r="W140" s="149"/>
      <c r="X140" s="149"/>
      <c r="Y140" s="149"/>
      <c r="Z140" s="149"/>
      <c r="AA140" s="149"/>
      <c r="AB140" s="149"/>
      <c r="AC140" s="149"/>
      <c r="AD140" s="149"/>
      <c r="AE140" s="149"/>
      <c r="AF140" s="149"/>
      <c r="AG140" s="149"/>
      <c r="AH140" s="149"/>
      <c r="AI140" s="149"/>
      <c r="AJ140" s="149"/>
      <c r="AK140" s="149"/>
      <c r="AL140" s="149"/>
      <c r="AM140" s="149"/>
      <c r="AN140" s="149"/>
      <c r="AO140" s="149"/>
      <c r="AP140" s="149"/>
      <c r="AQ140" s="149"/>
      <c r="AR140" s="160"/>
    </row>
    <row r="141" spans="1:44" x14ac:dyDescent="0.2">
      <c r="B141" s="161" t="s">
        <v>222</v>
      </c>
      <c r="C141" s="152" t="s">
        <v>183</v>
      </c>
      <c r="D141" s="152"/>
      <c r="E141" s="200">
        <f t="shared" ref="E141:AR141" si="26">E131+E136+E139</f>
        <v>-210898869.82709467</v>
      </c>
      <c r="F141" s="200">
        <f t="shared" si="26"/>
        <v>-213460791.21296123</v>
      </c>
      <c r="G141" s="200">
        <f t="shared" si="26"/>
        <v>-216105741.64654231</v>
      </c>
      <c r="H141" s="200">
        <f t="shared" si="26"/>
        <v>-218836812.28669202</v>
      </c>
      <c r="I141" s="200">
        <f t="shared" si="26"/>
        <v>-221657220.49144727</v>
      </c>
      <c r="J141" s="200">
        <f t="shared" si="26"/>
        <v>-224570315.23893118</v>
      </c>
      <c r="K141" s="200">
        <f t="shared" si="26"/>
        <v>-227579582.78703687</v>
      </c>
      <c r="L141" s="200">
        <f t="shared" si="26"/>
        <v>-230688652.58253193</v>
      </c>
      <c r="M141" s="200">
        <f t="shared" si="26"/>
        <v>-233901303.43070349</v>
      </c>
      <c r="N141" s="200">
        <f t="shared" si="26"/>
        <v>-237221469.93715948</v>
      </c>
      <c r="O141" s="200">
        <f t="shared" si="26"/>
        <v>-240653249.23392513</v>
      </c>
      <c r="P141" s="200">
        <f t="shared" si="26"/>
        <v>-244200908.00251463</v>
      </c>
      <c r="Q141" s="200">
        <f t="shared" si="26"/>
        <v>-247868889.80722958</v>
      </c>
      <c r="R141" s="200">
        <f t="shared" si="26"/>
        <v>-251661822.75252634</v>
      </c>
      <c r="S141" s="200">
        <f t="shared" si="26"/>
        <v>-255584527.47891852</v>
      </c>
      <c r="T141" s="200">
        <f t="shared" si="26"/>
        <v>35957967.659333766</v>
      </c>
      <c r="U141" s="200">
        <f t="shared" si="26"/>
        <v>180026919.69143814</v>
      </c>
      <c r="V141" s="200">
        <f t="shared" si="26"/>
        <v>182844361.22960597</v>
      </c>
      <c r="W141" s="200">
        <f t="shared" si="26"/>
        <v>185718151.59853718</v>
      </c>
      <c r="X141" s="200">
        <f t="shared" si="26"/>
        <v>188649417.77484691</v>
      </c>
      <c r="Y141" s="200">
        <f t="shared" si="26"/>
        <v>152484466.4916369</v>
      </c>
      <c r="Z141" s="200">
        <f t="shared" si="26"/>
        <v>155534155.82146963</v>
      </c>
      <c r="AA141" s="200">
        <f t="shared" si="26"/>
        <v>158644838.93789905</v>
      </c>
      <c r="AB141" s="200">
        <f t="shared" si="26"/>
        <v>161817735.71665704</v>
      </c>
      <c r="AC141" s="200">
        <f t="shared" si="26"/>
        <v>165054090.43099013</v>
      </c>
      <c r="AD141" s="200">
        <f t="shared" si="26"/>
        <v>168355172.23960996</v>
      </c>
      <c r="AE141" s="200">
        <f t="shared" si="26"/>
        <v>171722275.6844022</v>
      </c>
      <c r="AF141" s="200">
        <f t="shared" si="26"/>
        <v>175156721.1980902</v>
      </c>
      <c r="AG141" s="200">
        <f t="shared" si="26"/>
        <v>178659855.62205207</v>
      </c>
      <c r="AH141" s="200">
        <f t="shared" si="26"/>
        <v>182233052.73449308</v>
      </c>
      <c r="AI141" s="200">
        <f t="shared" si="26"/>
        <v>185877713.78918293</v>
      </c>
      <c r="AJ141" s="200">
        <f t="shared" si="26"/>
        <v>189595268.06496656</v>
      </c>
      <c r="AK141" s="200">
        <f t="shared" si="26"/>
        <v>193387173.4262659</v>
      </c>
      <c r="AL141" s="200">
        <f t="shared" si="26"/>
        <v>197254916.89479125</v>
      </c>
      <c r="AM141" s="200">
        <f t="shared" si="26"/>
        <v>201200015.23268706</v>
      </c>
      <c r="AN141" s="200">
        <f t="shared" si="26"/>
        <v>0</v>
      </c>
      <c r="AO141" s="200">
        <f t="shared" si="26"/>
        <v>0</v>
      </c>
      <c r="AP141" s="200">
        <f t="shared" si="26"/>
        <v>0</v>
      </c>
      <c r="AQ141" s="200">
        <f t="shared" si="26"/>
        <v>0</v>
      </c>
      <c r="AR141" s="201">
        <f t="shared" si="26"/>
        <v>0</v>
      </c>
    </row>
    <row r="142" spans="1:44" x14ac:dyDescent="0.2">
      <c r="B142" s="50" t="s">
        <v>223</v>
      </c>
      <c r="C142" s="145" t="s">
        <v>183</v>
      </c>
      <c r="D142" s="153">
        <f>-SUM(C156:C157)</f>
        <v>-3035259130.4686875</v>
      </c>
      <c r="E142" s="194">
        <f t="shared" ref="E142:AR142" si="27">E131+E139</f>
        <v>1069532.3627013415</v>
      </c>
      <c r="F142" s="194">
        <f t="shared" si="27"/>
        <v>-1492389.0231651813</v>
      </c>
      <c r="G142" s="194">
        <f t="shared" si="27"/>
        <v>-4137339.4567462504</v>
      </c>
      <c r="H142" s="194">
        <f t="shared" si="27"/>
        <v>-6868410.0968960077</v>
      </c>
      <c r="I142" s="194">
        <f t="shared" si="27"/>
        <v>-9688818.3016512394</v>
      </c>
      <c r="J142" s="194">
        <f t="shared" si="27"/>
        <v>-12601913.049135149</v>
      </c>
      <c r="K142" s="194">
        <f t="shared" si="27"/>
        <v>-15611180.597240806</v>
      </c>
      <c r="L142" s="194">
        <f t="shared" si="27"/>
        <v>-18720250.392735869</v>
      </c>
      <c r="M142" s="194">
        <f t="shared" si="27"/>
        <v>-21932901.240907416</v>
      </c>
      <c r="N142" s="194">
        <f t="shared" si="27"/>
        <v>-25253067.747363448</v>
      </c>
      <c r="O142" s="194">
        <f t="shared" si="27"/>
        <v>-28684847.044129074</v>
      </c>
      <c r="P142" s="194">
        <f t="shared" si="27"/>
        <v>-32232505.812718615</v>
      </c>
      <c r="Q142" s="194">
        <f t="shared" si="27"/>
        <v>-35900487.617433563</v>
      </c>
      <c r="R142" s="194">
        <f t="shared" si="27"/>
        <v>-39693420.562730327</v>
      </c>
      <c r="S142" s="194">
        <f t="shared" si="27"/>
        <v>-43616125.289122477</v>
      </c>
      <c r="T142" s="194">
        <f t="shared" si="27"/>
        <v>35957967.659333766</v>
      </c>
      <c r="U142" s="194">
        <f t="shared" si="27"/>
        <v>180026919.69143814</v>
      </c>
      <c r="V142" s="194">
        <f t="shared" si="27"/>
        <v>182844361.22960597</v>
      </c>
      <c r="W142" s="194">
        <f t="shared" si="27"/>
        <v>185718151.59853718</v>
      </c>
      <c r="X142" s="194">
        <f t="shared" si="27"/>
        <v>188649417.77484691</v>
      </c>
      <c r="Y142" s="194">
        <f t="shared" si="27"/>
        <v>152484466.4916369</v>
      </c>
      <c r="Z142" s="194">
        <f t="shared" si="27"/>
        <v>155534155.82146963</v>
      </c>
      <c r="AA142" s="194">
        <f t="shared" si="27"/>
        <v>158644838.93789905</v>
      </c>
      <c r="AB142" s="194">
        <f t="shared" si="27"/>
        <v>161817735.71665704</v>
      </c>
      <c r="AC142" s="194">
        <f t="shared" si="27"/>
        <v>165054090.43099013</v>
      </c>
      <c r="AD142" s="194">
        <f t="shared" si="27"/>
        <v>168355172.23960996</v>
      </c>
      <c r="AE142" s="194">
        <f t="shared" si="27"/>
        <v>171722275.6844022</v>
      </c>
      <c r="AF142" s="194">
        <f t="shared" si="27"/>
        <v>175156721.1980902</v>
      </c>
      <c r="AG142" s="194">
        <f t="shared" si="27"/>
        <v>178659855.62205207</v>
      </c>
      <c r="AH142" s="194">
        <f t="shared" si="27"/>
        <v>182233052.73449308</v>
      </c>
      <c r="AI142" s="194">
        <f t="shared" si="27"/>
        <v>185877713.78918293</v>
      </c>
      <c r="AJ142" s="194">
        <f t="shared" si="27"/>
        <v>189595268.06496656</v>
      </c>
      <c r="AK142" s="194">
        <f t="shared" si="27"/>
        <v>193387173.4262659</v>
      </c>
      <c r="AL142" s="194">
        <f t="shared" si="27"/>
        <v>197254916.89479125</v>
      </c>
      <c r="AM142" s="194">
        <f t="shared" si="27"/>
        <v>201200015.23268706</v>
      </c>
      <c r="AN142" s="194">
        <f t="shared" si="27"/>
        <v>0</v>
      </c>
      <c r="AO142" s="194">
        <f t="shared" si="27"/>
        <v>0</v>
      </c>
      <c r="AP142" s="194">
        <f t="shared" si="27"/>
        <v>0</v>
      </c>
      <c r="AQ142" s="194">
        <f t="shared" si="27"/>
        <v>0</v>
      </c>
      <c r="AR142" s="195">
        <f t="shared" si="27"/>
        <v>0</v>
      </c>
    </row>
    <row r="143" spans="1:44" x14ac:dyDescent="0.2">
      <c r="B143" s="50" t="s">
        <v>224</v>
      </c>
      <c r="C143" s="145" t="s">
        <v>183</v>
      </c>
      <c r="D143" s="153">
        <f>-C157</f>
        <v>-758814782.61717188</v>
      </c>
      <c r="E143" s="194">
        <f t="shared" ref="E143:AR143" si="28">E141</f>
        <v>-210898869.82709467</v>
      </c>
      <c r="F143" s="194">
        <f t="shared" si="28"/>
        <v>-213460791.21296123</v>
      </c>
      <c r="G143" s="194">
        <f t="shared" si="28"/>
        <v>-216105741.64654231</v>
      </c>
      <c r="H143" s="194">
        <f t="shared" si="28"/>
        <v>-218836812.28669202</v>
      </c>
      <c r="I143" s="194">
        <f t="shared" si="28"/>
        <v>-221657220.49144727</v>
      </c>
      <c r="J143" s="194">
        <f t="shared" si="28"/>
        <v>-224570315.23893118</v>
      </c>
      <c r="K143" s="194">
        <f t="shared" si="28"/>
        <v>-227579582.78703687</v>
      </c>
      <c r="L143" s="194">
        <f t="shared" si="28"/>
        <v>-230688652.58253193</v>
      </c>
      <c r="M143" s="194">
        <f t="shared" si="28"/>
        <v>-233901303.43070349</v>
      </c>
      <c r="N143" s="194">
        <f t="shared" si="28"/>
        <v>-237221469.93715948</v>
      </c>
      <c r="O143" s="194">
        <f t="shared" si="28"/>
        <v>-240653249.23392513</v>
      </c>
      <c r="P143" s="194">
        <f t="shared" si="28"/>
        <v>-244200908.00251463</v>
      </c>
      <c r="Q143" s="194">
        <f t="shared" si="28"/>
        <v>-247868889.80722958</v>
      </c>
      <c r="R143" s="194">
        <f t="shared" si="28"/>
        <v>-251661822.75252634</v>
      </c>
      <c r="S143" s="194">
        <f t="shared" si="28"/>
        <v>-255584527.47891852</v>
      </c>
      <c r="T143" s="194">
        <f t="shared" si="28"/>
        <v>35957967.659333766</v>
      </c>
      <c r="U143" s="194">
        <f t="shared" si="28"/>
        <v>180026919.69143814</v>
      </c>
      <c r="V143" s="194">
        <f t="shared" si="28"/>
        <v>182844361.22960597</v>
      </c>
      <c r="W143" s="194">
        <f t="shared" si="28"/>
        <v>185718151.59853718</v>
      </c>
      <c r="X143" s="194">
        <f t="shared" si="28"/>
        <v>188649417.77484691</v>
      </c>
      <c r="Y143" s="194">
        <f t="shared" si="28"/>
        <v>152484466.4916369</v>
      </c>
      <c r="Z143" s="194">
        <f t="shared" si="28"/>
        <v>155534155.82146963</v>
      </c>
      <c r="AA143" s="194">
        <f t="shared" si="28"/>
        <v>158644838.93789905</v>
      </c>
      <c r="AB143" s="194">
        <f t="shared" si="28"/>
        <v>161817735.71665704</v>
      </c>
      <c r="AC143" s="194">
        <f t="shared" si="28"/>
        <v>165054090.43099013</v>
      </c>
      <c r="AD143" s="194">
        <f t="shared" si="28"/>
        <v>168355172.23960996</v>
      </c>
      <c r="AE143" s="194">
        <f t="shared" si="28"/>
        <v>171722275.6844022</v>
      </c>
      <c r="AF143" s="194">
        <f t="shared" si="28"/>
        <v>175156721.1980902</v>
      </c>
      <c r="AG143" s="194">
        <f t="shared" si="28"/>
        <v>178659855.62205207</v>
      </c>
      <c r="AH143" s="194">
        <f t="shared" si="28"/>
        <v>182233052.73449308</v>
      </c>
      <c r="AI143" s="194">
        <f t="shared" si="28"/>
        <v>185877713.78918293</v>
      </c>
      <c r="AJ143" s="194">
        <f t="shared" si="28"/>
        <v>189595268.06496656</v>
      </c>
      <c r="AK143" s="194">
        <f t="shared" si="28"/>
        <v>193387173.4262659</v>
      </c>
      <c r="AL143" s="194">
        <f t="shared" si="28"/>
        <v>197254916.89479125</v>
      </c>
      <c r="AM143" s="194">
        <f t="shared" si="28"/>
        <v>201200015.23268706</v>
      </c>
      <c r="AN143" s="194">
        <f t="shared" si="28"/>
        <v>0</v>
      </c>
      <c r="AO143" s="194">
        <f t="shared" si="28"/>
        <v>0</v>
      </c>
      <c r="AP143" s="194">
        <f t="shared" si="28"/>
        <v>0</v>
      </c>
      <c r="AQ143" s="194">
        <f t="shared" si="28"/>
        <v>0</v>
      </c>
      <c r="AR143" s="195">
        <f t="shared" si="28"/>
        <v>0</v>
      </c>
    </row>
    <row r="144" spans="1:44" x14ac:dyDescent="0.2">
      <c r="B144" s="50" t="s">
        <v>225</v>
      </c>
      <c r="C144" s="150" t="str">
        <f>$C$7</f>
        <v>kWh</v>
      </c>
      <c r="D144" s="145"/>
      <c r="E144" s="194">
        <f t="shared" ref="E144:AR144" si="29">IF(E111&gt;$C$76,0,E117)</f>
        <v>3852080000</v>
      </c>
      <c r="F144" s="194">
        <f t="shared" si="29"/>
        <v>3852080000</v>
      </c>
      <c r="G144" s="194">
        <f t="shared" si="29"/>
        <v>3852080000</v>
      </c>
      <c r="H144" s="194">
        <f t="shared" si="29"/>
        <v>3852080000</v>
      </c>
      <c r="I144" s="194">
        <f t="shared" si="29"/>
        <v>3852080000</v>
      </c>
      <c r="J144" s="194">
        <f t="shared" si="29"/>
        <v>3852080000</v>
      </c>
      <c r="K144" s="194">
        <f t="shared" si="29"/>
        <v>3852080000</v>
      </c>
      <c r="L144" s="194">
        <f t="shared" si="29"/>
        <v>3852080000</v>
      </c>
      <c r="M144" s="194">
        <f t="shared" si="29"/>
        <v>3852080000</v>
      </c>
      <c r="N144" s="194">
        <f t="shared" si="29"/>
        <v>3852080000</v>
      </c>
      <c r="O144" s="194">
        <f t="shared" si="29"/>
        <v>3852080000</v>
      </c>
      <c r="P144" s="194">
        <f t="shared" si="29"/>
        <v>3852080000</v>
      </c>
      <c r="Q144" s="194">
        <f t="shared" si="29"/>
        <v>3852080000</v>
      </c>
      <c r="R144" s="194">
        <f t="shared" si="29"/>
        <v>3852080000</v>
      </c>
      <c r="S144" s="194">
        <f t="shared" si="29"/>
        <v>3852080000</v>
      </c>
      <c r="T144" s="194">
        <f t="shared" si="29"/>
        <v>0</v>
      </c>
      <c r="U144" s="194">
        <f t="shared" si="29"/>
        <v>0</v>
      </c>
      <c r="V144" s="194">
        <f t="shared" si="29"/>
        <v>0</v>
      </c>
      <c r="W144" s="194">
        <f t="shared" si="29"/>
        <v>0</v>
      </c>
      <c r="X144" s="194">
        <f t="shared" si="29"/>
        <v>0</v>
      </c>
      <c r="Y144" s="194">
        <f t="shared" si="29"/>
        <v>0</v>
      </c>
      <c r="Z144" s="194">
        <f t="shared" si="29"/>
        <v>0</v>
      </c>
      <c r="AA144" s="194">
        <f t="shared" si="29"/>
        <v>0</v>
      </c>
      <c r="AB144" s="194">
        <f t="shared" si="29"/>
        <v>0</v>
      </c>
      <c r="AC144" s="194">
        <f t="shared" si="29"/>
        <v>0</v>
      </c>
      <c r="AD144" s="194">
        <f t="shared" si="29"/>
        <v>0</v>
      </c>
      <c r="AE144" s="194">
        <f t="shared" si="29"/>
        <v>0</v>
      </c>
      <c r="AF144" s="194">
        <f t="shared" si="29"/>
        <v>0</v>
      </c>
      <c r="AG144" s="194">
        <f t="shared" si="29"/>
        <v>0</v>
      </c>
      <c r="AH144" s="194">
        <f t="shared" si="29"/>
        <v>0</v>
      </c>
      <c r="AI144" s="194">
        <f t="shared" si="29"/>
        <v>0</v>
      </c>
      <c r="AJ144" s="194">
        <f t="shared" si="29"/>
        <v>0</v>
      </c>
      <c r="AK144" s="194">
        <f t="shared" si="29"/>
        <v>0</v>
      </c>
      <c r="AL144" s="194">
        <f t="shared" si="29"/>
        <v>0</v>
      </c>
      <c r="AM144" s="194">
        <f t="shared" si="29"/>
        <v>0</v>
      </c>
      <c r="AN144" s="194">
        <f t="shared" si="29"/>
        <v>0</v>
      </c>
      <c r="AO144" s="194">
        <f t="shared" si="29"/>
        <v>0</v>
      </c>
      <c r="AP144" s="194">
        <f t="shared" si="29"/>
        <v>0</v>
      </c>
      <c r="AQ144" s="194">
        <f t="shared" si="29"/>
        <v>0</v>
      </c>
      <c r="AR144" s="195">
        <f t="shared" si="29"/>
        <v>0</v>
      </c>
    </row>
    <row r="145" spans="1:44" x14ac:dyDescent="0.2">
      <c r="B145" s="162" t="s">
        <v>226</v>
      </c>
      <c r="C145" s="145" t="s">
        <v>183</v>
      </c>
      <c r="D145" s="202">
        <f>-D112</f>
        <v>3035259130.4686875</v>
      </c>
      <c r="E145" s="202">
        <f t="shared" ref="E145:AR145" si="30">IF(E111&lt;=$C76,D145-($C$5*E117+E131+E134),D145-(E131+E134))</f>
        <v>2843290415.4197159</v>
      </c>
      <c r="F145" s="202">
        <f t="shared" si="30"/>
        <v>2648131866.262557</v>
      </c>
      <c r="G145" s="202">
        <f t="shared" si="30"/>
        <v>2449596466.8576932</v>
      </c>
      <c r="H145" s="202">
        <f t="shared" si="30"/>
        <v>2247487915.8672361</v>
      </c>
      <c r="I145" s="202">
        <f t="shared" si="30"/>
        <v>2041600191.5315578</v>
      </c>
      <c r="J145" s="202">
        <f t="shared" si="30"/>
        <v>1831717096.5130808</v>
      </c>
      <c r="K145" s="202">
        <f t="shared" si="30"/>
        <v>1617611781.9032962</v>
      </c>
      <c r="L145" s="202">
        <f t="shared" si="30"/>
        <v>1399046249.4482565</v>
      </c>
      <c r="M145" s="202">
        <f t="shared" si="30"/>
        <v>1175770831.0051396</v>
      </c>
      <c r="N145" s="202">
        <f t="shared" si="30"/>
        <v>947523644.19790077</v>
      </c>
      <c r="O145" s="202">
        <f t="shared" si="30"/>
        <v>714030023.19344187</v>
      </c>
      <c r="P145" s="202">
        <f t="shared" si="30"/>
        <v>475001923.4710409</v>
      </c>
      <c r="Q145" s="202">
        <f t="shared" si="30"/>
        <v>230137299.40690649</v>
      </c>
      <c r="R145" s="202">
        <f t="shared" si="30"/>
        <v>-20880546.557453185</v>
      </c>
      <c r="S145" s="202">
        <f t="shared" si="30"/>
        <v>-278383644.44992411</v>
      </c>
      <c r="T145" s="202">
        <f t="shared" si="30"/>
        <v>-274075187.40988058</v>
      </c>
      <c r="U145" s="202">
        <f t="shared" si="30"/>
        <v>-463929738.49935776</v>
      </c>
      <c r="V145" s="202">
        <f t="shared" si="30"/>
        <v>-657581380.61062455</v>
      </c>
      <c r="W145" s="202">
        <f t="shared" si="30"/>
        <v>-855106055.5641166</v>
      </c>
      <c r="X145" s="202">
        <f t="shared" si="30"/>
        <v>-1056581224.0166783</v>
      </c>
      <c r="Y145" s="202">
        <f t="shared" si="30"/>
        <v>-1262085895.8382914</v>
      </c>
      <c r="Z145" s="202">
        <f t="shared" si="30"/>
        <v>-1471700661.0963368</v>
      </c>
      <c r="AA145" s="202">
        <f t="shared" si="30"/>
        <v>-1685507721.659543</v>
      </c>
      <c r="AB145" s="202">
        <f t="shared" si="30"/>
        <v>-1903590923.4340134</v>
      </c>
      <c r="AC145" s="202">
        <f t="shared" si="30"/>
        <v>-2126035789.243973</v>
      </c>
      <c r="AD145" s="202">
        <f t="shared" si="30"/>
        <v>-2352929552.370132</v>
      </c>
      <c r="AE145" s="202">
        <f t="shared" si="30"/>
        <v>-2584361190.7588143</v>
      </c>
      <c r="AF145" s="202">
        <f t="shared" si="30"/>
        <v>-2820421461.9152703</v>
      </c>
      <c r="AG145" s="202">
        <f t="shared" si="30"/>
        <v>-3061202938.4948554</v>
      </c>
      <c r="AH145" s="202">
        <f t="shared" si="30"/>
        <v>-3306800044.6060319</v>
      </c>
      <c r="AI145" s="202">
        <f t="shared" si="30"/>
        <v>-3557309092.8394322</v>
      </c>
      <c r="AJ145" s="202">
        <f t="shared" si="30"/>
        <v>-3812828322.0375004</v>
      </c>
      <c r="AK145" s="202">
        <f t="shared" si="30"/>
        <v>-4073457935.81953</v>
      </c>
      <c r="AL145" s="202">
        <f t="shared" si="30"/>
        <v>-4339300141.8772001</v>
      </c>
      <c r="AM145" s="202">
        <f t="shared" si="30"/>
        <v>-4610459192.0560236</v>
      </c>
      <c r="AN145" s="202">
        <f t="shared" si="30"/>
        <v>-4610459192.0560236</v>
      </c>
      <c r="AO145" s="202">
        <f t="shared" si="30"/>
        <v>-4610459192.0560236</v>
      </c>
      <c r="AP145" s="202">
        <f t="shared" si="30"/>
        <v>-4610459192.0560236</v>
      </c>
      <c r="AQ145" s="202">
        <f t="shared" si="30"/>
        <v>-4610459192.0560236</v>
      </c>
      <c r="AR145" s="203">
        <f t="shared" si="30"/>
        <v>-4610459192.0560236</v>
      </c>
    </row>
    <row r="146" spans="1:44" ht="12.95" customHeight="1" x14ac:dyDescent="0.2">
      <c r="B146" s="163" t="s">
        <v>227</v>
      </c>
      <c r="C146" s="204"/>
      <c r="D146" s="204"/>
      <c r="E146" s="205">
        <f t="shared" ref="E146:AR146" si="31">IF(E111&gt;$C$74,"",(-$C$94*(E138+$C$5*E117)+E131+$C$5*E117)/-E136)</f>
        <v>1.3399904045527338</v>
      </c>
      <c r="F146" s="205">
        <f t="shared" si="31"/>
        <v>1.3279040682903478</v>
      </c>
      <c r="G146" s="205">
        <f t="shared" si="31"/>
        <v>1.3154260271943321</v>
      </c>
      <c r="H146" s="205">
        <f t="shared" si="31"/>
        <v>1.3025416981531368</v>
      </c>
      <c r="I146" s="205">
        <f t="shared" si="31"/>
        <v>1.2892359026873113</v>
      </c>
      <c r="J146" s="205">
        <f t="shared" si="31"/>
        <v>1.2754928413753921</v>
      </c>
      <c r="K146" s="205">
        <f t="shared" si="31"/>
        <v>1.2612960671533022</v>
      </c>
      <c r="L146" s="205">
        <f t="shared" si="31"/>
        <v>1.2466284574370619</v>
      </c>
      <c r="M146" s="205">
        <f t="shared" si="31"/>
        <v>1.2314721850163499</v>
      </c>
      <c r="N146" s="205">
        <f t="shared" si="31"/>
        <v>1.2158086876641212</v>
      </c>
      <c r="O146" s="205">
        <f t="shared" si="31"/>
        <v>1.1996186364050054</v>
      </c>
      <c r="P146" s="205">
        <f t="shared" si="31"/>
        <v>1.1828819023826727</v>
      </c>
      <c r="Q146" s="205">
        <f t="shared" si="31"/>
        <v>1.165577522263646</v>
      </c>
      <c r="R146" s="205">
        <f t="shared" si="31"/>
        <v>1.1476836621122608</v>
      </c>
      <c r="S146" s="205">
        <f t="shared" si="31"/>
        <v>1.1291775796685208</v>
      </c>
      <c r="T146" s="205" t="str">
        <f t="shared" si="31"/>
        <v/>
      </c>
      <c r="U146" s="205" t="str">
        <f t="shared" si="31"/>
        <v/>
      </c>
      <c r="V146" s="205" t="str">
        <f t="shared" si="31"/>
        <v/>
      </c>
      <c r="W146" s="205" t="str">
        <f t="shared" si="31"/>
        <v/>
      </c>
      <c r="X146" s="205" t="str">
        <f t="shared" si="31"/>
        <v/>
      </c>
      <c r="Y146" s="205" t="str">
        <f t="shared" si="31"/>
        <v/>
      </c>
      <c r="Z146" s="205" t="str">
        <f t="shared" si="31"/>
        <v/>
      </c>
      <c r="AA146" s="205" t="str">
        <f t="shared" si="31"/>
        <v/>
      </c>
      <c r="AB146" s="205" t="str">
        <f t="shared" si="31"/>
        <v/>
      </c>
      <c r="AC146" s="205" t="str">
        <f t="shared" si="31"/>
        <v/>
      </c>
      <c r="AD146" s="205" t="str">
        <f t="shared" si="31"/>
        <v/>
      </c>
      <c r="AE146" s="205" t="str">
        <f t="shared" si="31"/>
        <v/>
      </c>
      <c r="AF146" s="205" t="str">
        <f t="shared" si="31"/>
        <v/>
      </c>
      <c r="AG146" s="205" t="str">
        <f t="shared" si="31"/>
        <v/>
      </c>
      <c r="AH146" s="205" t="str">
        <f t="shared" si="31"/>
        <v/>
      </c>
      <c r="AI146" s="205" t="str">
        <f t="shared" si="31"/>
        <v/>
      </c>
      <c r="AJ146" s="205" t="str">
        <f t="shared" si="31"/>
        <v/>
      </c>
      <c r="AK146" s="205" t="str">
        <f t="shared" si="31"/>
        <v/>
      </c>
      <c r="AL146" s="205" t="str">
        <f t="shared" si="31"/>
        <v/>
      </c>
      <c r="AM146" s="205" t="str">
        <f t="shared" si="31"/>
        <v/>
      </c>
      <c r="AN146" s="205" t="str">
        <f t="shared" si="31"/>
        <v/>
      </c>
      <c r="AO146" s="205" t="str">
        <f t="shared" si="31"/>
        <v/>
      </c>
      <c r="AP146" s="205" t="str">
        <f t="shared" si="31"/>
        <v/>
      </c>
      <c r="AQ146" s="205" t="str">
        <f t="shared" si="31"/>
        <v/>
      </c>
      <c r="AR146" s="206" t="str">
        <f t="shared" si="31"/>
        <v/>
      </c>
    </row>
    <row r="147" spans="1:44" ht="12.95" customHeight="1" x14ac:dyDescent="0.2">
      <c r="A147" s="33"/>
      <c r="B147" s="33"/>
      <c r="C147" s="33"/>
      <c r="D147" s="244"/>
      <c r="E147" s="207"/>
      <c r="F147" s="207"/>
      <c r="G147" s="207"/>
      <c r="H147" s="207"/>
      <c r="I147" s="207"/>
      <c r="J147" s="207"/>
      <c r="K147" s="207"/>
      <c r="L147" s="207"/>
      <c r="M147" s="207"/>
      <c r="N147" s="207"/>
      <c r="O147" s="207"/>
      <c r="P147" s="207"/>
      <c r="Q147" s="207"/>
      <c r="R147" s="207"/>
      <c r="S147" s="207"/>
      <c r="T147" s="207"/>
      <c r="U147" s="207"/>
      <c r="V147" s="207"/>
      <c r="W147" s="207"/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</row>
    <row r="148" spans="1:44" ht="12.95" customHeight="1" x14ac:dyDescent="0.2">
      <c r="B148" s="64" t="s">
        <v>228</v>
      </c>
      <c r="C148" s="57" t="s">
        <v>37</v>
      </c>
      <c r="D148" s="136" t="s">
        <v>114</v>
      </c>
      <c r="E148" s="34"/>
      <c r="F148" s="34"/>
      <c r="G148" s="34"/>
      <c r="H148" s="34"/>
      <c r="I148" s="34"/>
      <c r="J148" s="34"/>
      <c r="K148" s="34"/>
      <c r="L148" s="34"/>
      <c r="M148" s="34"/>
    </row>
    <row r="149" spans="1:44" x14ac:dyDescent="0.2">
      <c r="B149" s="50" t="s">
        <v>229</v>
      </c>
      <c r="C149" s="226">
        <f>NPV($C$91,E141:AR141)</f>
        <v>-1394061664.8520851</v>
      </c>
      <c r="D149" s="219" t="s">
        <v>230</v>
      </c>
    </row>
    <row r="150" spans="1:44" x14ac:dyDescent="0.2">
      <c r="B150" s="50" t="s">
        <v>231</v>
      </c>
      <c r="C150" s="227">
        <f>(1-$C$94)*NPV($C$91,E144:AR144)</f>
        <v>21740026244.537945</v>
      </c>
      <c r="D150" s="219" t="str">
        <f>$C$7</f>
        <v>kWh</v>
      </c>
      <c r="F150" s="208"/>
    </row>
    <row r="151" spans="1:44" x14ac:dyDescent="0.2">
      <c r="B151" s="50" t="s">
        <v>232</v>
      </c>
      <c r="C151" s="227">
        <f>$C$41*1000000</f>
        <v>3035259130.4686875</v>
      </c>
      <c r="D151" s="219" t="s">
        <v>183</v>
      </c>
      <c r="F151" s="209"/>
    </row>
    <row r="152" spans="1:44" x14ac:dyDescent="0.2">
      <c r="B152" s="50" t="s">
        <v>233</v>
      </c>
      <c r="C152" s="228">
        <f>AVERAGE(E146:AR146)</f>
        <v>1.2420490428237465</v>
      </c>
      <c r="D152" s="219"/>
      <c r="F152" s="209"/>
    </row>
    <row r="153" spans="1:44" x14ac:dyDescent="0.2">
      <c r="B153" s="50" t="s">
        <v>234</v>
      </c>
      <c r="C153" s="179" t="str">
        <f>CONCATENATE(ROUND(((1-$C$94)*$C$90*$C$92+$C$93*$C$91)*100,1),"% / ",ROUND((((1+(1-$C$94)*$C$90*$C$92+$C$93*$C$91)/(1+$C$89))-1)*100,1),"%")</f>
        <v>5% / 2,9%</v>
      </c>
      <c r="D153" s="219"/>
      <c r="F153" s="208"/>
      <c r="G153" s="35"/>
    </row>
    <row r="154" spans="1:44" x14ac:dyDescent="0.2">
      <c r="B154" s="50" t="s">
        <v>235</v>
      </c>
      <c r="C154" s="179">
        <f>IFERROR(IRR(D142:AR142),"n.v.t.")</f>
        <v>9.4000281940354036E-4</v>
      </c>
      <c r="D154" s="219"/>
      <c r="F154" s="209"/>
      <c r="G154" s="35"/>
    </row>
    <row r="155" spans="1:44" x14ac:dyDescent="0.2">
      <c r="B155" s="50" t="s">
        <v>236</v>
      </c>
      <c r="C155" s="179">
        <f>IFERROR(IRR(D143:AR143),"n.v.t.")</f>
        <v>-1.1105302862155164E-2</v>
      </c>
      <c r="D155" s="219"/>
      <c r="G155" s="35"/>
    </row>
    <row r="156" spans="1:44" x14ac:dyDescent="0.2">
      <c r="B156" s="50" t="s">
        <v>237</v>
      </c>
      <c r="C156" s="227">
        <f>$C$92*C151-C97</f>
        <v>2276444347.8515158</v>
      </c>
      <c r="D156" s="219" t="s">
        <v>183</v>
      </c>
      <c r="F156" s="22"/>
    </row>
    <row r="157" spans="1:44" x14ac:dyDescent="0.2">
      <c r="B157" s="50" t="s">
        <v>238</v>
      </c>
      <c r="C157" s="227">
        <f>$C$93*C151-C98</f>
        <v>758814782.61717188</v>
      </c>
      <c r="D157" s="219" t="s">
        <v>183</v>
      </c>
      <c r="F157" s="22"/>
    </row>
    <row r="158" spans="1:44" x14ac:dyDescent="0.2">
      <c r="B158" s="50" t="s">
        <v>123</v>
      </c>
      <c r="C158" s="179">
        <f>IF(AND(E114&gt;0,E115&gt;0),ROUND(E115/E114,2),0)</f>
        <v>0</v>
      </c>
      <c r="D158" s="219" t="s">
        <v>239</v>
      </c>
      <c r="F158" s="22"/>
    </row>
    <row r="159" spans="1:44" x14ac:dyDescent="0.2">
      <c r="B159" s="50" t="s">
        <v>240</v>
      </c>
      <c r="C159" s="179">
        <f>IF(C158=0,MAX(C29:C30),E117/SUM(C26,C28))</f>
        <v>3852.08</v>
      </c>
      <c r="D159" s="219" t="s">
        <v>147</v>
      </c>
      <c r="F159" s="22"/>
    </row>
    <row r="160" spans="1:44" ht="15" customHeight="1" x14ac:dyDescent="0.25">
      <c r="B160" s="51" t="s">
        <v>241</v>
      </c>
      <c r="C160" s="277" t="str">
        <f>CONCATENATE( "tussen ", INDEX(D111:X111, MATCH(0,D145:AR145, -1)), " en ",  1 + INDEX(D111:X111, MATCH(0,D145:AR145, -1)), " jaar")</f>
        <v>tussen 13 en 14 jaar</v>
      </c>
      <c r="D160" s="270"/>
      <c r="F160" s="210"/>
      <c r="G160" s="190"/>
      <c r="I160" s="190"/>
      <c r="J160" s="190"/>
      <c r="K160" s="190"/>
      <c r="L160" s="190"/>
      <c r="M160" s="190"/>
      <c r="N160" s="190"/>
      <c r="O160" s="190"/>
      <c r="P160" s="190"/>
      <c r="Q160" s="190"/>
      <c r="R160" s="190"/>
      <c r="S160" s="190"/>
      <c r="T160" s="190"/>
      <c r="U160" s="190"/>
      <c r="V160" s="190"/>
      <c r="W160" s="190"/>
      <c r="X160" s="190"/>
      <c r="Y160" s="190"/>
      <c r="Z160" s="190"/>
      <c r="AA160" s="190"/>
      <c r="AB160" s="190"/>
      <c r="AC160" s="190"/>
      <c r="AD160" s="190"/>
      <c r="AE160" s="190"/>
      <c r="AF160" s="190"/>
      <c r="AG160" s="190"/>
      <c r="AH160" s="190"/>
      <c r="AI160" s="190"/>
      <c r="AJ160" s="190"/>
      <c r="AK160" s="190"/>
      <c r="AL160" s="190"/>
      <c r="AM160" s="190"/>
      <c r="AN160" s="190"/>
      <c r="AO160" s="190"/>
      <c r="AP160" s="190"/>
      <c r="AQ160" s="190"/>
      <c r="AR160" s="190"/>
    </row>
    <row r="161" spans="2:44" x14ac:dyDescent="0.2">
      <c r="B161" s="6"/>
      <c r="C161" s="6"/>
      <c r="D161" s="36"/>
      <c r="E161" s="190"/>
      <c r="F161" s="210"/>
      <c r="G161" s="190"/>
      <c r="H161" s="190"/>
      <c r="I161" s="190"/>
      <c r="J161" s="190"/>
      <c r="K161" s="190"/>
      <c r="L161" s="190"/>
      <c r="M161" s="190"/>
      <c r="N161" s="190"/>
      <c r="O161" s="190"/>
      <c r="P161" s="190"/>
      <c r="Q161" s="190"/>
      <c r="R161" s="190"/>
      <c r="S161" s="190"/>
      <c r="T161" s="190"/>
      <c r="U161" s="190"/>
      <c r="V161" s="190"/>
      <c r="W161" s="190"/>
      <c r="X161" s="190"/>
      <c r="Y161" s="190"/>
      <c r="Z161" s="190"/>
      <c r="AA161" s="190"/>
      <c r="AB161" s="190"/>
      <c r="AC161" s="190"/>
      <c r="AD161" s="190"/>
      <c r="AE161" s="190"/>
      <c r="AF161" s="190"/>
      <c r="AG161" s="190"/>
      <c r="AH161" s="190"/>
      <c r="AI161" s="190"/>
      <c r="AJ161" s="190"/>
      <c r="AK161" s="190"/>
      <c r="AL161" s="190"/>
      <c r="AM161" s="190"/>
      <c r="AN161" s="190"/>
      <c r="AO161" s="190"/>
      <c r="AP161" s="190"/>
      <c r="AQ161" s="190"/>
      <c r="AR161" s="190"/>
    </row>
    <row r="162" spans="2:44" x14ac:dyDescent="0.2">
      <c r="B162" s="70" t="s">
        <v>242</v>
      </c>
      <c r="C162" s="57" t="s">
        <v>37</v>
      </c>
      <c r="D162" s="136" t="s">
        <v>114</v>
      </c>
      <c r="E162" s="190"/>
      <c r="F162" s="210"/>
      <c r="G162" s="190"/>
      <c r="H162" s="190"/>
      <c r="I162" s="190"/>
      <c r="J162" s="190"/>
      <c r="K162" s="190"/>
      <c r="L162" s="190"/>
      <c r="M162" s="190"/>
      <c r="N162" s="190"/>
      <c r="O162" s="190"/>
      <c r="P162" s="190"/>
      <c r="Q162" s="190"/>
      <c r="R162" s="190"/>
      <c r="S162" s="190"/>
      <c r="T162" s="190"/>
      <c r="U162" s="190"/>
      <c r="V162" s="190"/>
      <c r="W162" s="190"/>
      <c r="X162" s="190"/>
      <c r="Y162" s="190"/>
      <c r="Z162" s="190"/>
      <c r="AA162" s="190"/>
      <c r="AB162" s="190"/>
      <c r="AC162" s="190"/>
      <c r="AD162" s="190"/>
      <c r="AE162" s="190"/>
      <c r="AF162" s="190"/>
      <c r="AG162" s="190"/>
      <c r="AH162" s="190"/>
      <c r="AI162" s="190"/>
      <c r="AJ162" s="190"/>
      <c r="AK162" s="190"/>
      <c r="AL162" s="190"/>
      <c r="AM162" s="190"/>
      <c r="AN162" s="190"/>
      <c r="AO162" s="190"/>
      <c r="AP162" s="190"/>
      <c r="AQ162" s="190"/>
      <c r="AR162" s="190"/>
    </row>
    <row r="163" spans="2:44" ht="14.85" customHeight="1" x14ac:dyDescent="0.2">
      <c r="B163" s="50" t="s">
        <v>29</v>
      </c>
      <c r="C163" s="222">
        <f>IF(C15&gt;0,ROUND(INDEX(Correcties!$A$1:$I$3,MATCH(C15,Correcties!$A$1:$A$3,0),8),4),_xlfn.XLOOKUP($C12,Correcties!$A$3:$A$3,Correcties!$H$3:$H$3,"n.v.t"))</f>
        <v>3.7693825023999997E-2</v>
      </c>
      <c r="D163" s="219" t="str">
        <f t="shared" ref="D163:D169" si="32">CONCATENATE("Euro/",$C$7)</f>
        <v>Euro/kWh</v>
      </c>
    </row>
    <row r="164" spans="2:44" s="6" customFormat="1" x14ac:dyDescent="0.2">
      <c r="B164" s="224" t="s">
        <v>33</v>
      </c>
      <c r="C164" s="211">
        <f>IF(C15&gt;0,IFERROR(_xlfn.XLOOKUP(C15,Correcties!A3:A3,Correcties!F3:F3),"n.v.t."),_xlfn.XLOOKUP($C12,Correcties!$A$3:$A$3,Correcties!$F$3:$F$3,"n.v.t."))</f>
        <v>5.6540737536000002E-2</v>
      </c>
      <c r="D164" s="229" t="str">
        <f t="shared" si="32"/>
        <v>Euro/kWh</v>
      </c>
    </row>
    <row r="165" spans="2:44" s="6" customFormat="1" x14ac:dyDescent="0.2">
      <c r="B165" s="50" t="str">
        <f>"Voorlopig correctiebedrag "&amp;Colofon!$C$29</f>
        <v>Voorlopig correctiebedrag 2026</v>
      </c>
      <c r="C165" s="225">
        <f>IF(C15&gt;0,IFERROR(ROUND(INDEX(Correcties!$A$1:$I$3,MATCH(C15,Correcties!$A$1:$A$3,0),4),4),"n.v.t."),_xlfn.XLOOKUP($C12,Correcties!$A$3:$A$3,Correcties!$D$3:$D$3,"n.v.t."))</f>
        <v>7.425000000000001E-2</v>
      </c>
      <c r="D165" s="219" t="str">
        <f t="shared" si="32"/>
        <v>Euro/kWh</v>
      </c>
      <c r="F165" s="190"/>
      <c r="G165" s="190"/>
      <c r="H165" s="190"/>
      <c r="I165" s="190"/>
      <c r="J165" s="190"/>
      <c r="K165" s="190"/>
      <c r="L165" s="190"/>
      <c r="M165" s="190"/>
      <c r="N165" s="190"/>
      <c r="O165" s="190"/>
      <c r="P165" s="190"/>
      <c r="Q165" s="190"/>
      <c r="R165" s="190"/>
      <c r="S165" s="190"/>
      <c r="T165" s="190"/>
      <c r="U165" s="190"/>
      <c r="V165" s="190"/>
      <c r="W165" s="190"/>
      <c r="X165" s="190"/>
      <c r="Y165" s="190"/>
      <c r="Z165" s="190"/>
      <c r="AA165" s="190"/>
      <c r="AB165" s="190"/>
      <c r="AC165" s="190"/>
      <c r="AD165" s="190"/>
      <c r="AE165" s="190"/>
      <c r="AF165" s="190"/>
      <c r="AG165" s="190"/>
      <c r="AH165" s="190"/>
      <c r="AI165" s="190"/>
      <c r="AJ165" s="190"/>
      <c r="AK165" s="190"/>
      <c r="AL165" s="190"/>
      <c r="AM165" s="190"/>
      <c r="AN165" s="190"/>
      <c r="AO165" s="190"/>
      <c r="AP165" s="190"/>
      <c r="AQ165" s="190"/>
      <c r="AR165" s="190"/>
    </row>
    <row r="166" spans="2:44" s="6" customFormat="1" x14ac:dyDescent="0.2">
      <c r="B166" s="224" t="str">
        <f>"Voorlopige GvO-waarde "&amp;Colofon!$C$29</f>
        <v>Voorlopige GvO-waarde 2026</v>
      </c>
      <c r="C166" s="211">
        <f>IF(C15&gt;0,_xlfn.XLOOKUP(C15,Correcties!A7:A7,Correcties!D7:D7,0), _xlfn.XLOOKUP(C12,Correcties!A7:A7,Correcties!D7:D7,0))</f>
        <v>2E-3</v>
      </c>
      <c r="D166" s="229" t="str">
        <f t="shared" si="32"/>
        <v>Euro/kWh</v>
      </c>
    </row>
    <row r="167" spans="2:44" s="6" customFormat="1" x14ac:dyDescent="0.2">
      <c r="B167" s="50"/>
      <c r="C167" s="222"/>
      <c r="D167" s="219"/>
      <c r="F167" s="37"/>
      <c r="G167" s="37"/>
      <c r="H167" s="37"/>
      <c r="I167" s="37"/>
      <c r="J167" s="37"/>
      <c r="K167" s="37"/>
      <c r="L167" s="37"/>
      <c r="M167" s="37"/>
      <c r="N167" s="37"/>
      <c r="O167" s="37"/>
      <c r="P167" s="37"/>
    </row>
    <row r="168" spans="2:44" s="6" customFormat="1" x14ac:dyDescent="0.2">
      <c r="B168" s="58" t="s">
        <v>30</v>
      </c>
      <c r="C168" s="223">
        <f>_xlfn.XLOOKUP($C$13,Correcties!A14:A14,Correcties!D14:D14,"foutmelding")</f>
        <v>0</v>
      </c>
      <c r="D168" s="230" t="str">
        <f t="shared" si="32"/>
        <v>Euro/kWh</v>
      </c>
      <c r="F168" s="37"/>
      <c r="G168" s="37"/>
      <c r="H168" s="37"/>
      <c r="I168" s="37"/>
      <c r="J168" s="37"/>
      <c r="K168" s="37"/>
      <c r="L168" s="37"/>
      <c r="M168" s="37"/>
      <c r="N168" s="37"/>
      <c r="O168" s="37"/>
      <c r="P168" s="37"/>
    </row>
    <row r="169" spans="2:44" s="6" customFormat="1" ht="13.5" customHeight="1" x14ac:dyDescent="0.2">
      <c r="B169" s="51" t="s">
        <v>243</v>
      </c>
      <c r="C169" s="212">
        <f>IF(C14="Nee",0,_xlfn.XLOOKUP($C$13,Correcties!A14:A14,Correcties!F14:F14,"foutmelding"))</f>
        <v>0</v>
      </c>
      <c r="D169" s="221" t="str">
        <f t="shared" si="32"/>
        <v>Euro/kWh</v>
      </c>
      <c r="F169" s="37"/>
      <c r="G169" s="37"/>
      <c r="H169" s="37"/>
      <c r="I169" s="37"/>
      <c r="J169" s="37"/>
      <c r="K169" s="37"/>
      <c r="L169" s="37"/>
      <c r="M169" s="37"/>
      <c r="N169" s="37"/>
      <c r="O169" s="37"/>
      <c r="P169" s="37"/>
    </row>
    <row r="170" spans="2:44" s="6" customFormat="1" x14ac:dyDescent="0.2">
      <c r="E170" s="37"/>
      <c r="F170" s="37"/>
      <c r="G170" s="37"/>
      <c r="H170" s="37"/>
      <c r="I170" s="37"/>
      <c r="J170" s="37"/>
      <c r="K170" s="37"/>
      <c r="L170" s="37"/>
      <c r="M170" s="37"/>
      <c r="N170" s="37"/>
      <c r="O170" s="37"/>
      <c r="P170" s="37"/>
    </row>
    <row r="171" spans="2:44" s="6" customFormat="1" x14ac:dyDescent="0.2">
      <c r="B171" s="56" t="s">
        <v>244</v>
      </c>
      <c r="C171" s="57" t="s">
        <v>37</v>
      </c>
      <c r="D171" s="136" t="s">
        <v>114</v>
      </c>
    </row>
    <row r="172" spans="2:44" s="6" customFormat="1" x14ac:dyDescent="0.2">
      <c r="B172" s="50" t="s">
        <v>245</v>
      </c>
      <c r="C172" s="220">
        <v>35.799999999999997</v>
      </c>
      <c r="D172" s="219" t="s">
        <v>246</v>
      </c>
    </row>
    <row r="173" spans="2:44" s="6" customFormat="1" x14ac:dyDescent="0.2">
      <c r="B173" s="50" t="s">
        <v>247</v>
      </c>
      <c r="C173" s="220">
        <v>31.65</v>
      </c>
      <c r="D173" s="219" t="s">
        <v>246</v>
      </c>
    </row>
    <row r="174" spans="2:44" s="6" customFormat="1" x14ac:dyDescent="0.2">
      <c r="B174" s="50" t="s">
        <v>248</v>
      </c>
      <c r="C174" s="220">
        <v>35.17</v>
      </c>
      <c r="D174" s="219" t="s">
        <v>246</v>
      </c>
    </row>
    <row r="175" spans="2:44" s="6" customFormat="1" x14ac:dyDescent="0.2">
      <c r="B175" s="51" t="s">
        <v>249</v>
      </c>
      <c r="C175" s="213">
        <v>3.6</v>
      </c>
      <c r="D175" s="221" t="s">
        <v>250</v>
      </c>
    </row>
    <row r="176" spans="2:44" s="6" customFormat="1" x14ac:dyDescent="0.2">
      <c r="E176" s="38"/>
    </row>
    <row r="177" spans="5:8" s="6" customFormat="1" x14ac:dyDescent="0.2"/>
    <row r="178" spans="5:8" x14ac:dyDescent="0.2">
      <c r="E178" s="6"/>
      <c r="F178" s="6"/>
      <c r="H178" s="6"/>
    </row>
    <row r="179" spans="5:8" x14ac:dyDescent="0.2">
      <c r="E179" s="6"/>
      <c r="F179" s="6"/>
      <c r="H179" s="6"/>
    </row>
    <row r="180" spans="5:8" x14ac:dyDescent="0.2">
      <c r="E180" s="6"/>
      <c r="F180" s="6"/>
      <c r="H180" s="6"/>
    </row>
    <row r="181" spans="5:8" x14ac:dyDescent="0.2">
      <c r="H181" s="6"/>
    </row>
    <row r="182" spans="5:8" x14ac:dyDescent="0.2">
      <c r="H182" s="6"/>
    </row>
    <row r="183" spans="5:8" x14ac:dyDescent="0.2">
      <c r="H183" s="6"/>
    </row>
    <row r="184" spans="5:8" x14ac:dyDescent="0.2">
      <c r="H184" s="6"/>
    </row>
    <row r="185" spans="5:8" x14ac:dyDescent="0.2">
      <c r="H185" s="6"/>
    </row>
    <row r="186" spans="5:8" x14ac:dyDescent="0.2">
      <c r="H186" s="6"/>
    </row>
    <row r="187" spans="5:8" x14ac:dyDescent="0.2">
      <c r="H187" s="6"/>
    </row>
    <row r="188" spans="5:8" x14ac:dyDescent="0.2">
      <c r="H188" s="6"/>
    </row>
    <row r="189" spans="5:8" x14ac:dyDescent="0.2">
      <c r="H189" s="6"/>
    </row>
    <row r="190" spans="5:8" x14ac:dyDescent="0.2">
      <c r="H190" s="6"/>
    </row>
  </sheetData>
  <mergeCells count="89">
    <mergeCell ref="E20:M20"/>
    <mergeCell ref="E4:M4"/>
    <mergeCell ref="E5:M5"/>
    <mergeCell ref="E6:M6"/>
    <mergeCell ref="E8:M8"/>
    <mergeCell ref="E11:M11"/>
    <mergeCell ref="E12:M12"/>
    <mergeCell ref="E13:M13"/>
    <mergeCell ref="E15:M15"/>
    <mergeCell ref="E16:M16"/>
    <mergeCell ref="E17:M17"/>
    <mergeCell ref="E18:M18"/>
    <mergeCell ref="E34:M34"/>
    <mergeCell ref="E21:M21"/>
    <mergeCell ref="E22:M22"/>
    <mergeCell ref="E24:M24"/>
    <mergeCell ref="E25:M25"/>
    <mergeCell ref="E26:M26"/>
    <mergeCell ref="E27:M27"/>
    <mergeCell ref="E28:M28"/>
    <mergeCell ref="E29:M29"/>
    <mergeCell ref="E30:M30"/>
    <mergeCell ref="E32:M32"/>
    <mergeCell ref="E33:M33"/>
    <mergeCell ref="E47:M47"/>
    <mergeCell ref="E35:M35"/>
    <mergeCell ref="E36:M36"/>
    <mergeCell ref="E38:M38"/>
    <mergeCell ref="E39:M39"/>
    <mergeCell ref="E40:M40"/>
    <mergeCell ref="E41:M41"/>
    <mergeCell ref="E42:M42"/>
    <mergeCell ref="E43:M43"/>
    <mergeCell ref="E44:M44"/>
    <mergeCell ref="E45:M45"/>
    <mergeCell ref="E46:M46"/>
    <mergeCell ref="E60:M60"/>
    <mergeCell ref="E48:M48"/>
    <mergeCell ref="E49:M49"/>
    <mergeCell ref="E51:M51"/>
    <mergeCell ref="E52:M52"/>
    <mergeCell ref="E53:M53"/>
    <mergeCell ref="E54:M54"/>
    <mergeCell ref="E55:M55"/>
    <mergeCell ref="E56:M56"/>
    <mergeCell ref="E57:M57"/>
    <mergeCell ref="E58:M58"/>
    <mergeCell ref="E59:M59"/>
    <mergeCell ref="E74:M74"/>
    <mergeCell ref="E62:M62"/>
    <mergeCell ref="E63:M63"/>
    <mergeCell ref="E64:M64"/>
    <mergeCell ref="E65:M65"/>
    <mergeCell ref="E66:M66"/>
    <mergeCell ref="E67:M67"/>
    <mergeCell ref="E68:M68"/>
    <mergeCell ref="E69:M69"/>
    <mergeCell ref="E70:M70"/>
    <mergeCell ref="E72:M72"/>
    <mergeCell ref="E73:M73"/>
    <mergeCell ref="E88:M88"/>
    <mergeCell ref="E75:M75"/>
    <mergeCell ref="E76:M76"/>
    <mergeCell ref="E77:M77"/>
    <mergeCell ref="E79:M79"/>
    <mergeCell ref="E80:M80"/>
    <mergeCell ref="E81:M81"/>
    <mergeCell ref="E82:M82"/>
    <mergeCell ref="E83:M83"/>
    <mergeCell ref="E84:M84"/>
    <mergeCell ref="E85:M85"/>
    <mergeCell ref="E86:M86"/>
    <mergeCell ref="E102:M102"/>
    <mergeCell ref="E89:M89"/>
    <mergeCell ref="E90:M90"/>
    <mergeCell ref="E91:M91"/>
    <mergeCell ref="E92:M92"/>
    <mergeCell ref="E93:M93"/>
    <mergeCell ref="E94:M94"/>
    <mergeCell ref="E96:M96"/>
    <mergeCell ref="E97:M97"/>
    <mergeCell ref="E98:M98"/>
    <mergeCell ref="E100:M100"/>
    <mergeCell ref="E101:M101"/>
    <mergeCell ref="E103:M103"/>
    <mergeCell ref="B106:C106"/>
    <mergeCell ref="B107:C107"/>
    <mergeCell ref="B110:M110"/>
    <mergeCell ref="C160:D160"/>
  </mergeCells>
  <conditionalFormatting sqref="G1:G3 G19 G109:G113 G148:G159 G163:G164 G166">
    <cfRule type="containsText" dxfId="2" priority="3" operator="containsText" text="Pas op">
      <formula>NOT(ISERROR(SEARCH("Pas op",G1)))</formula>
    </cfRule>
  </conditionalFormatting>
  <conditionalFormatting sqref="G104">
    <cfRule type="containsText" dxfId="1" priority="1" operator="containsText" text="Pas op">
      <formula>NOT(ISERROR(SEARCH("Pas op",G104)))</formula>
    </cfRule>
  </conditionalFormatting>
  <conditionalFormatting sqref="G176:G1048576">
    <cfRule type="containsText" dxfId="0" priority="2" operator="containsText" text="Pas op">
      <formula>NOT(ISERROR(SEARCH("Pas op",G176)))</formula>
    </cfRule>
  </conditionalFormatting>
  <dataValidations count="3">
    <dataValidation type="list" allowBlank="1" showInputMessage="1" showErrorMessage="1" sqref="C14" xr:uid="{A93D220B-A63E-47C4-9D5C-072C17591868}">
      <formula1>"Nee,Ja,Geen warmte"</formula1>
    </dataValidation>
    <dataValidation type="list" allowBlank="1" showInputMessage="1" showErrorMessage="1" sqref="C7" xr:uid="{EB485014-1022-4DF0-80EA-D2D8A7902248}">
      <formula1>"t CO2,kWh"</formula1>
    </dataValidation>
    <dataValidation type="list" allowBlank="1" showInputMessage="1" showErrorMessage="1" sqref="C37353 C102889 C168425 C233961 C299497 C365033 C430569 C496105 C561641 C627177 C692713 C758249 C823785 C889321 C954857" xr:uid="{7CCB4A09-679A-4ED9-A4C9-2DB21D72714F}">
      <formula1>"ja,nee"</formula1>
    </dataValidation>
  </dataValidations>
  <pageMargins left="0.7" right="0.7" top="0.75" bottom="0.75" header="0.3" footer="0.3"/>
  <pageSetup paperSize="9" scale="14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Colofon</vt:lpstr>
      <vt:lpstr>Correcties</vt:lpstr>
      <vt:lpstr>IJv-a</vt:lpstr>
      <vt:lpstr>IJv-b</vt:lpstr>
      <vt:lpstr>IJv-g (a)</vt:lpstr>
      <vt:lpstr>IJv-g (b)</vt:lpstr>
      <vt:lpstr>N1 (a)</vt:lpstr>
      <vt:lpstr>N1 (b)</vt:lpstr>
      <vt:lpstr>N2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Lensink, Sander</cp:lastModifiedBy>
  <dcterms:created xsi:type="dcterms:W3CDTF">2024-08-12T11:54:40Z</dcterms:created>
  <dcterms:modified xsi:type="dcterms:W3CDTF">2026-03-05T14:39:27Z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0x01010038A13979C982CE41BB9A7BED8F58D331</vt:lpwstr>
  </property>
  <property fmtid="{D5CDD505-2E9C-101B-9397-08002B2CF9AE}" pid="3" name="MediaServiceImageTags">
    <vt:lpwstr/>
  </property>
</Properties>
</file>