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codeName="ThisWorkbook" defaultThemeVersion="166925"/>
  <mc:AlternateContent xmlns:mc="http://schemas.openxmlformats.org/markup-compatibility/2006">
    <mc:Choice Requires="x15">
      <x15ac:absPath xmlns:x15ac="http://schemas.microsoft.com/office/spreadsheetml/2010/11/ac" url="C:\Users\henriquezc\Downloads\"/>
    </mc:Choice>
  </mc:AlternateContent>
  <xr:revisionPtr revIDLastSave="0" documentId="8_{A96DB0A0-2389-4331-BA86-A55566312DA3}" xr6:coauthVersionLast="47" xr6:coauthVersionMax="47" xr10:uidLastSave="{00000000-0000-0000-0000-000000000000}"/>
  <bookViews>
    <workbookView xWindow="28680" yWindow="-120" windowWidth="29040" windowHeight="15720" tabRatio="862" firstSheet="23" activeTab="23" xr2:uid="{1201415B-9CE0-4180-9814-A1E6E089401B}"/>
  </bookViews>
  <sheets>
    <sheet name="Colofon" sheetId="6" r:id="rId1"/>
    <sheet name="Overzicht" sheetId="65" r:id="rId2"/>
    <sheet name="Correcties" sheetId="5850" r:id="rId3"/>
    <sheet name="1" sheetId="5897" r:id="rId4"/>
    <sheet name="2" sheetId="5898" r:id="rId5"/>
    <sheet name="3" sheetId="5899" r:id="rId6"/>
    <sheet name="4" sheetId="5900" r:id="rId7"/>
    <sheet name="5" sheetId="5901" r:id="rId8"/>
    <sheet name="6" sheetId="5902" r:id="rId9"/>
    <sheet name="7" sheetId="5903" r:id="rId10"/>
    <sheet name="8" sheetId="5904" r:id="rId11"/>
    <sheet name="9" sheetId="5905" r:id="rId12"/>
    <sheet name="10" sheetId="5906" r:id="rId13"/>
    <sheet name="11" sheetId="5907" r:id="rId14"/>
    <sheet name="12" sheetId="5908" r:id="rId15"/>
    <sheet name="13" sheetId="5909" r:id="rId16"/>
    <sheet name="14" sheetId="5910" r:id="rId17"/>
    <sheet name="15" sheetId="5911" r:id="rId18"/>
    <sheet name="16" sheetId="5912" r:id="rId19"/>
    <sheet name="17" sheetId="5913" r:id="rId20"/>
    <sheet name="18" sheetId="5914" r:id="rId21"/>
    <sheet name="19" sheetId="5915" r:id="rId22"/>
    <sheet name="20" sheetId="5916" r:id="rId23"/>
    <sheet name="21" sheetId="5917" r:id="rId24"/>
  </sheets>
  <definedNames>
    <definedName name="decimalen">Colofon!$C$31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9" i="5917" l="1"/>
  <c r="C179" i="5917"/>
  <c r="D178" i="5917"/>
  <c r="C178" i="5917"/>
  <c r="D177" i="5917"/>
  <c r="C177" i="5917"/>
  <c r="B177" i="5917"/>
  <c r="D176" i="5917"/>
  <c r="C176" i="5917"/>
  <c r="B176" i="5917"/>
  <c r="D175" i="5917"/>
  <c r="C175" i="5917"/>
  <c r="B175" i="5917"/>
  <c r="D174" i="5917"/>
  <c r="C174" i="5917"/>
  <c r="B174" i="5917"/>
  <c r="D173" i="5917"/>
  <c r="B173" i="5917"/>
  <c r="D172" i="5917"/>
  <c r="C172" i="5917"/>
  <c r="C173" i="5917" s="1"/>
  <c r="B172" i="5917"/>
  <c r="D171" i="5917"/>
  <c r="C171" i="5917"/>
  <c r="D170" i="5917"/>
  <c r="C170" i="5917"/>
  <c r="D169" i="5917"/>
  <c r="C169" i="5917"/>
  <c r="D168" i="5917"/>
  <c r="C168" i="5917"/>
  <c r="D167" i="5917"/>
  <c r="C167" i="5917"/>
  <c r="D166" i="5917"/>
  <c r="C166" i="5917"/>
  <c r="D165" i="5917"/>
  <c r="D164" i="5917"/>
  <c r="C164" i="5917"/>
  <c r="C165" i="5917" s="1"/>
  <c r="D151" i="5917"/>
  <c r="AR147" i="5917"/>
  <c r="AQ147" i="5917"/>
  <c r="AP147" i="5917"/>
  <c r="AO147" i="5917"/>
  <c r="AN147" i="5917"/>
  <c r="AM147" i="5917"/>
  <c r="AL147" i="5917"/>
  <c r="AK147" i="5917"/>
  <c r="AJ147" i="5917"/>
  <c r="AI147" i="5917"/>
  <c r="AH147" i="5917"/>
  <c r="AG147" i="5917"/>
  <c r="AF147" i="5917"/>
  <c r="AE147" i="5917"/>
  <c r="AD147" i="5917"/>
  <c r="AC147" i="5917"/>
  <c r="AB147" i="5917"/>
  <c r="AA147" i="5917"/>
  <c r="Z147" i="5917"/>
  <c r="Y147" i="5917"/>
  <c r="X147" i="5917"/>
  <c r="W147" i="5917"/>
  <c r="V147" i="5917"/>
  <c r="U147" i="5917"/>
  <c r="T147" i="5917"/>
  <c r="AR145" i="5917"/>
  <c r="AQ145" i="5917"/>
  <c r="AP145" i="5917"/>
  <c r="AO145" i="5917"/>
  <c r="AN145" i="5917"/>
  <c r="AM145" i="5917"/>
  <c r="AL145" i="5917"/>
  <c r="AK145" i="5917"/>
  <c r="AJ145" i="5917"/>
  <c r="AI145" i="5917"/>
  <c r="AH145" i="5917"/>
  <c r="AG145" i="5917"/>
  <c r="AF145" i="5917"/>
  <c r="AE145" i="5917"/>
  <c r="AD145" i="5917"/>
  <c r="AC145" i="5917"/>
  <c r="AB145" i="5917"/>
  <c r="AA145" i="5917"/>
  <c r="Z145" i="5917"/>
  <c r="Y145" i="5917"/>
  <c r="X145" i="5917"/>
  <c r="W145" i="5917"/>
  <c r="V145" i="5917"/>
  <c r="U145" i="5917"/>
  <c r="T145" i="5917"/>
  <c r="C145" i="5917"/>
  <c r="AQ137" i="5917"/>
  <c r="AP137" i="5917"/>
  <c r="AO137" i="5917"/>
  <c r="AN137" i="5917"/>
  <c r="AD137" i="5917"/>
  <c r="AC137" i="5917"/>
  <c r="AB137" i="5917"/>
  <c r="T137" i="5917"/>
  <c r="AR136" i="5917"/>
  <c r="AR137" i="5917" s="1"/>
  <c r="AQ136" i="5917"/>
  <c r="AP136" i="5917"/>
  <c r="AO136" i="5917"/>
  <c r="AN136" i="5917"/>
  <c r="AM136" i="5917"/>
  <c r="AL136" i="5917"/>
  <c r="AK136" i="5917"/>
  <c r="AJ136" i="5917"/>
  <c r="AI136" i="5917"/>
  <c r="AH136" i="5917"/>
  <c r="AH137" i="5917" s="1"/>
  <c r="AG136" i="5917"/>
  <c r="AF136" i="5917"/>
  <c r="AF137" i="5917" s="1"/>
  <c r="AE136" i="5917"/>
  <c r="AE137" i="5917" s="1"/>
  <c r="AD136" i="5917"/>
  <c r="AC136" i="5917"/>
  <c r="AB136" i="5917"/>
  <c r="AA136" i="5917"/>
  <c r="Z136" i="5917"/>
  <c r="Y136" i="5917"/>
  <c r="X136" i="5917"/>
  <c r="W136" i="5917"/>
  <c r="V136" i="5917"/>
  <c r="V137" i="5917" s="1"/>
  <c r="U136" i="5917"/>
  <c r="T136" i="5917"/>
  <c r="AR135" i="5917"/>
  <c r="AQ135" i="5917"/>
  <c r="AP135" i="5917"/>
  <c r="AO135" i="5917"/>
  <c r="AN135" i="5917"/>
  <c r="AM135" i="5917"/>
  <c r="AM137" i="5917" s="1"/>
  <c r="AL135" i="5917"/>
  <c r="AK135" i="5917"/>
  <c r="AJ135" i="5917"/>
  <c r="AI135" i="5917"/>
  <c r="AH135" i="5917"/>
  <c r="AG135" i="5917"/>
  <c r="AF135" i="5917"/>
  <c r="AE135" i="5917"/>
  <c r="AD135" i="5917"/>
  <c r="AC135" i="5917"/>
  <c r="AB135" i="5917"/>
  <c r="AA135" i="5917"/>
  <c r="AA137" i="5917" s="1"/>
  <c r="Z135" i="5917"/>
  <c r="Y135" i="5917"/>
  <c r="X135" i="5917"/>
  <c r="W135" i="5917"/>
  <c r="V135" i="5917"/>
  <c r="U135" i="5917"/>
  <c r="T135" i="5917"/>
  <c r="AR134" i="5917"/>
  <c r="AQ134" i="5917"/>
  <c r="AP134" i="5917"/>
  <c r="AO134" i="5917"/>
  <c r="AN134" i="5917"/>
  <c r="AM134" i="5917"/>
  <c r="AL134" i="5917"/>
  <c r="AK134" i="5917"/>
  <c r="AJ134" i="5917"/>
  <c r="AI134" i="5917"/>
  <c r="AH134" i="5917"/>
  <c r="AG134" i="5917"/>
  <c r="AF134" i="5917"/>
  <c r="AE134" i="5917"/>
  <c r="AD134" i="5917"/>
  <c r="AC134" i="5917"/>
  <c r="AB134" i="5917"/>
  <c r="AA134" i="5917"/>
  <c r="Z134" i="5917"/>
  <c r="Y134" i="5917"/>
  <c r="X134" i="5917"/>
  <c r="W134" i="5917"/>
  <c r="V134" i="5917"/>
  <c r="U134" i="5917"/>
  <c r="T134" i="5917"/>
  <c r="I134" i="5917"/>
  <c r="AO131" i="5917"/>
  <c r="AN131" i="5917"/>
  <c r="AL131" i="5917"/>
  <c r="AK131" i="5917"/>
  <c r="AC131" i="5917"/>
  <c r="Y131" i="5917"/>
  <c r="U131" i="5917"/>
  <c r="AR125" i="5917"/>
  <c r="AJ125" i="5917"/>
  <c r="AI125" i="5917"/>
  <c r="AH125" i="5917"/>
  <c r="AG125" i="5917"/>
  <c r="AF125" i="5917"/>
  <c r="AE125" i="5917"/>
  <c r="X125" i="5917"/>
  <c r="V125" i="5917"/>
  <c r="U125" i="5917"/>
  <c r="S125" i="5917"/>
  <c r="L125" i="5917"/>
  <c r="K125" i="5917"/>
  <c r="J125" i="5917"/>
  <c r="I125" i="5917"/>
  <c r="G125" i="5917"/>
  <c r="E125" i="5917"/>
  <c r="C125" i="5917"/>
  <c r="AQ124" i="5917"/>
  <c r="AP124" i="5917"/>
  <c r="AO124" i="5917"/>
  <c r="AN124" i="5917"/>
  <c r="AE124" i="5917"/>
  <c r="AD124" i="5917"/>
  <c r="AC124" i="5917"/>
  <c r="AB124" i="5917"/>
  <c r="AA124" i="5917"/>
  <c r="V124" i="5917"/>
  <c r="P124" i="5917"/>
  <c r="L124" i="5917"/>
  <c r="G124" i="5917"/>
  <c r="F124" i="5917"/>
  <c r="E124" i="5917"/>
  <c r="C124" i="5917"/>
  <c r="AR123" i="5917"/>
  <c r="AQ123" i="5917"/>
  <c r="AP123" i="5917"/>
  <c r="AO123" i="5917"/>
  <c r="AN123" i="5917"/>
  <c r="AM123" i="5917"/>
  <c r="AL123" i="5917"/>
  <c r="AK123" i="5917"/>
  <c r="AJ123" i="5917"/>
  <c r="AI123" i="5917"/>
  <c r="AH123" i="5917"/>
  <c r="AG123" i="5917"/>
  <c r="AF123" i="5917"/>
  <c r="AE123" i="5917"/>
  <c r="AD123" i="5917"/>
  <c r="AC123" i="5917"/>
  <c r="AB123" i="5917"/>
  <c r="AA123" i="5917"/>
  <c r="Z123" i="5917"/>
  <c r="Y123" i="5917"/>
  <c r="X123" i="5917"/>
  <c r="W123" i="5917"/>
  <c r="V123" i="5917"/>
  <c r="U123" i="5917"/>
  <c r="T123" i="5917"/>
  <c r="S123" i="5917"/>
  <c r="R123" i="5917"/>
  <c r="Q123" i="5917"/>
  <c r="P123" i="5917"/>
  <c r="O123" i="5917"/>
  <c r="N123" i="5917"/>
  <c r="M123" i="5917"/>
  <c r="L123" i="5917"/>
  <c r="K123" i="5917"/>
  <c r="J123" i="5917"/>
  <c r="I123" i="5917"/>
  <c r="H123" i="5917"/>
  <c r="G123" i="5917"/>
  <c r="F123" i="5917"/>
  <c r="E123" i="5917"/>
  <c r="AR122" i="5917"/>
  <c r="AQ122" i="5917"/>
  <c r="AP122" i="5917"/>
  <c r="AO122" i="5917"/>
  <c r="AN122" i="5917"/>
  <c r="AM122" i="5917"/>
  <c r="AL122" i="5917"/>
  <c r="AK122" i="5917"/>
  <c r="AJ122" i="5917"/>
  <c r="AI122" i="5917"/>
  <c r="AH122" i="5917"/>
  <c r="AG122" i="5917"/>
  <c r="AF122" i="5917"/>
  <c r="AE122" i="5917"/>
  <c r="AD122" i="5917"/>
  <c r="AC122" i="5917"/>
  <c r="AB122" i="5917"/>
  <c r="AA122" i="5917"/>
  <c r="Z122" i="5917"/>
  <c r="Y122" i="5917"/>
  <c r="X122" i="5917"/>
  <c r="W122" i="5917"/>
  <c r="V122" i="5917"/>
  <c r="U122" i="5917"/>
  <c r="T122" i="5917"/>
  <c r="S122" i="5917"/>
  <c r="R122" i="5917"/>
  <c r="Q122" i="5917"/>
  <c r="P122" i="5917"/>
  <c r="O122" i="5917"/>
  <c r="N122" i="5917"/>
  <c r="M122" i="5917"/>
  <c r="L122" i="5917"/>
  <c r="K122" i="5917"/>
  <c r="J122" i="5917"/>
  <c r="I122" i="5917"/>
  <c r="H122" i="5917"/>
  <c r="G122" i="5917"/>
  <c r="F122" i="5917"/>
  <c r="E122" i="5917"/>
  <c r="AR121" i="5917"/>
  <c r="AQ121" i="5917"/>
  <c r="AP121" i="5917"/>
  <c r="AP131" i="5917" s="1"/>
  <c r="AO121" i="5917"/>
  <c r="AN121" i="5917"/>
  <c r="AM121" i="5917"/>
  <c r="AL121" i="5917"/>
  <c r="AK121" i="5917"/>
  <c r="AJ121" i="5917"/>
  <c r="AI121" i="5917"/>
  <c r="AH121" i="5917"/>
  <c r="AG121" i="5917"/>
  <c r="AF121" i="5917"/>
  <c r="AE121" i="5917"/>
  <c r="AD121" i="5917"/>
  <c r="AC121" i="5917"/>
  <c r="AB121" i="5917"/>
  <c r="AB131" i="5917" s="1"/>
  <c r="AA121" i="5917"/>
  <c r="Z121" i="5917"/>
  <c r="Z131" i="5917" s="1"/>
  <c r="Y121" i="5917"/>
  <c r="X121" i="5917"/>
  <c r="W121" i="5917"/>
  <c r="V121" i="5917"/>
  <c r="U121" i="5917"/>
  <c r="T121" i="5917"/>
  <c r="S121" i="5917"/>
  <c r="R121" i="5917"/>
  <c r="Q121" i="5917"/>
  <c r="P121" i="5917"/>
  <c r="O121" i="5917"/>
  <c r="N121" i="5917"/>
  <c r="M121" i="5917"/>
  <c r="L121" i="5917"/>
  <c r="K121" i="5917"/>
  <c r="J121" i="5917"/>
  <c r="I121" i="5917"/>
  <c r="H121" i="5917"/>
  <c r="G121" i="5917"/>
  <c r="F121" i="5917"/>
  <c r="E121" i="5917"/>
  <c r="AR120" i="5917"/>
  <c r="AQ120" i="5917"/>
  <c r="AP120" i="5917"/>
  <c r="AO120" i="5917"/>
  <c r="AN120" i="5917"/>
  <c r="AM120" i="5917"/>
  <c r="AM131" i="5917" s="1"/>
  <c r="AL120" i="5917"/>
  <c r="AK120" i="5917"/>
  <c r="AJ120" i="5917"/>
  <c r="AJ131" i="5917" s="1"/>
  <c r="AI120" i="5917"/>
  <c r="AH120" i="5917"/>
  <c r="AH131" i="5917" s="1"/>
  <c r="AG120" i="5917"/>
  <c r="AG131" i="5917" s="1"/>
  <c r="AF120" i="5917"/>
  <c r="AE120" i="5917"/>
  <c r="AD120" i="5917"/>
  <c r="AC120" i="5917"/>
  <c r="AB120" i="5917"/>
  <c r="AA120" i="5917"/>
  <c r="AA131" i="5917" s="1"/>
  <c r="Z120" i="5917"/>
  <c r="Y120" i="5917"/>
  <c r="X120" i="5917"/>
  <c r="X131" i="5917" s="1"/>
  <c r="W120" i="5917"/>
  <c r="V120" i="5917"/>
  <c r="V131" i="5917" s="1"/>
  <c r="U120" i="5917"/>
  <c r="T120" i="5917"/>
  <c r="C118" i="5917"/>
  <c r="AR117" i="5917"/>
  <c r="AQ117" i="5917"/>
  <c r="AP117" i="5917"/>
  <c r="AO117" i="5917"/>
  <c r="AN117" i="5917"/>
  <c r="AM117" i="5917"/>
  <c r="AL117" i="5917"/>
  <c r="AK117" i="5917"/>
  <c r="AJ117" i="5917"/>
  <c r="AI117" i="5917"/>
  <c r="AH117" i="5917"/>
  <c r="AG117" i="5917"/>
  <c r="AF117" i="5917"/>
  <c r="AE117" i="5917"/>
  <c r="AD117" i="5917"/>
  <c r="AC117" i="5917"/>
  <c r="AB117" i="5917"/>
  <c r="AA117" i="5917"/>
  <c r="Z117" i="5917"/>
  <c r="Y117" i="5917"/>
  <c r="X117" i="5917"/>
  <c r="W117" i="5917"/>
  <c r="V117" i="5917"/>
  <c r="U117" i="5917"/>
  <c r="T117" i="5917"/>
  <c r="S117" i="5917"/>
  <c r="R117" i="5917"/>
  <c r="Q117" i="5917"/>
  <c r="P117" i="5917"/>
  <c r="O117" i="5917"/>
  <c r="N117" i="5917"/>
  <c r="M117" i="5917"/>
  <c r="L117" i="5917"/>
  <c r="K117" i="5917"/>
  <c r="J117" i="5917"/>
  <c r="I117" i="5917"/>
  <c r="H117" i="5917"/>
  <c r="G117" i="5917"/>
  <c r="F117" i="5917"/>
  <c r="E117" i="5917"/>
  <c r="AR116" i="5917"/>
  <c r="AQ116" i="5917"/>
  <c r="AP116" i="5917"/>
  <c r="AO116" i="5917"/>
  <c r="AN116" i="5917"/>
  <c r="AM116" i="5917"/>
  <c r="AL116" i="5917"/>
  <c r="AK116" i="5917"/>
  <c r="AJ116" i="5917"/>
  <c r="AI116" i="5917"/>
  <c r="AH116" i="5917"/>
  <c r="AG116" i="5917"/>
  <c r="AF116" i="5917"/>
  <c r="AE116" i="5917"/>
  <c r="AD116" i="5917"/>
  <c r="AC116" i="5917"/>
  <c r="AB116" i="5917"/>
  <c r="AA116" i="5917"/>
  <c r="Z116" i="5917"/>
  <c r="Y116" i="5917"/>
  <c r="X116" i="5917"/>
  <c r="W116" i="5917"/>
  <c r="V116" i="5917"/>
  <c r="U116" i="5917"/>
  <c r="T116" i="5917"/>
  <c r="S116" i="5917"/>
  <c r="R116" i="5917"/>
  <c r="Q116" i="5917"/>
  <c r="P116" i="5917"/>
  <c r="O116" i="5917"/>
  <c r="N116" i="5917"/>
  <c r="M116" i="5917"/>
  <c r="L116" i="5917"/>
  <c r="K116" i="5917"/>
  <c r="J116" i="5917"/>
  <c r="I116" i="5917"/>
  <c r="H116" i="5917"/>
  <c r="G116" i="5917"/>
  <c r="F116" i="5917"/>
  <c r="E116" i="5917"/>
  <c r="C116" i="5917"/>
  <c r="C115" i="5917"/>
  <c r="AR109" i="5917"/>
  <c r="AQ109" i="5917"/>
  <c r="AP109" i="5917"/>
  <c r="AO109" i="5917"/>
  <c r="AN109" i="5917"/>
  <c r="AM109" i="5917"/>
  <c r="AL109" i="5917"/>
  <c r="AK109" i="5917"/>
  <c r="AJ109" i="5917"/>
  <c r="AI109" i="5917"/>
  <c r="AH109" i="5917"/>
  <c r="AG109" i="5917"/>
  <c r="AF109" i="5917"/>
  <c r="AE109" i="5917"/>
  <c r="AD109" i="5917"/>
  <c r="AC109" i="5917"/>
  <c r="AB109" i="5917"/>
  <c r="AA109" i="5917"/>
  <c r="Z109" i="5917"/>
  <c r="Y109" i="5917"/>
  <c r="X109" i="5917"/>
  <c r="W109" i="5917"/>
  <c r="V109" i="5917"/>
  <c r="U109" i="5917"/>
  <c r="T109" i="5917"/>
  <c r="S109" i="5917"/>
  <c r="S108" i="5917" s="1"/>
  <c r="R109" i="5917"/>
  <c r="R108" i="5917" s="1"/>
  <c r="R124" i="5917" s="1"/>
  <c r="Q109" i="5917"/>
  <c r="Q108" i="5917" s="1"/>
  <c r="Q124" i="5917" s="1"/>
  <c r="P109" i="5917"/>
  <c r="O109" i="5917"/>
  <c r="N109" i="5917"/>
  <c r="M109" i="5917"/>
  <c r="L109" i="5917"/>
  <c r="K109" i="5917"/>
  <c r="J109" i="5917"/>
  <c r="I109" i="5917"/>
  <c r="I108" i="5917" s="1"/>
  <c r="H109" i="5917"/>
  <c r="G109" i="5917"/>
  <c r="G108" i="5917" s="1"/>
  <c r="F109" i="5917"/>
  <c r="F108" i="5917" s="1"/>
  <c r="E109" i="5917"/>
  <c r="AR108" i="5917"/>
  <c r="AR124" i="5917" s="1"/>
  <c r="AQ108" i="5917"/>
  <c r="AP108" i="5917"/>
  <c r="AO108" i="5917"/>
  <c r="AN108" i="5917"/>
  <c r="AM108" i="5917"/>
  <c r="AL108" i="5917"/>
  <c r="AK108" i="5917"/>
  <c r="AJ108" i="5917"/>
  <c r="AI108" i="5917"/>
  <c r="AI124" i="5917" s="1"/>
  <c r="AH108" i="5917"/>
  <c r="AH124" i="5917" s="1"/>
  <c r="AG108" i="5917"/>
  <c r="AG124" i="5917" s="1"/>
  <c r="AF108" i="5917"/>
  <c r="AF124" i="5917" s="1"/>
  <c r="AE108" i="5917"/>
  <c r="AD108" i="5917"/>
  <c r="AC108" i="5917"/>
  <c r="AB108" i="5917"/>
  <c r="AA108" i="5917"/>
  <c r="Z108" i="5917"/>
  <c r="Y108" i="5917"/>
  <c r="X108" i="5917"/>
  <c r="W108" i="5917"/>
  <c r="W124" i="5917" s="1"/>
  <c r="V108" i="5917"/>
  <c r="U108" i="5917"/>
  <c r="U124" i="5917" s="1"/>
  <c r="T108" i="5917"/>
  <c r="T124" i="5917" s="1"/>
  <c r="P108" i="5917"/>
  <c r="O108" i="5917"/>
  <c r="O124" i="5917" s="1"/>
  <c r="N108" i="5917"/>
  <c r="M108" i="5917"/>
  <c r="M124" i="5917" s="1"/>
  <c r="L108" i="5917"/>
  <c r="K108" i="5917"/>
  <c r="D108" i="5917"/>
  <c r="AR107" i="5917"/>
  <c r="AQ107" i="5917"/>
  <c r="AQ125" i="5917" s="1"/>
  <c r="AP107" i="5917"/>
  <c r="AP125" i="5917" s="1"/>
  <c r="AO107" i="5917"/>
  <c r="AO125" i="5917" s="1"/>
  <c r="AN107" i="5917"/>
  <c r="AN125" i="5917" s="1"/>
  <c r="AM107" i="5917"/>
  <c r="AM125" i="5917" s="1"/>
  <c r="AL107" i="5917"/>
  <c r="AL125" i="5917" s="1"/>
  <c r="AK107" i="5917"/>
  <c r="AK125" i="5917" s="1"/>
  <c r="AJ107" i="5917"/>
  <c r="AI107" i="5917"/>
  <c r="AH107" i="5917"/>
  <c r="AG107" i="5917"/>
  <c r="AF107" i="5917"/>
  <c r="AE107" i="5917"/>
  <c r="AD107" i="5917"/>
  <c r="AD125" i="5917" s="1"/>
  <c r="AC107" i="5917"/>
  <c r="AC125" i="5917" s="1"/>
  <c r="AB107" i="5917"/>
  <c r="AB125" i="5917" s="1"/>
  <c r="AA107" i="5917"/>
  <c r="AA125" i="5917" s="1"/>
  <c r="Z107" i="5917"/>
  <c r="Z125" i="5917" s="1"/>
  <c r="Y107" i="5917"/>
  <c r="Y125" i="5917" s="1"/>
  <c r="X107" i="5917"/>
  <c r="W107" i="5917"/>
  <c r="W125" i="5917" s="1"/>
  <c r="V107" i="5917"/>
  <c r="U107" i="5917"/>
  <c r="T107" i="5917"/>
  <c r="T125" i="5917" s="1"/>
  <c r="S107" i="5917"/>
  <c r="R107" i="5917"/>
  <c r="R125" i="5917" s="1"/>
  <c r="Q107" i="5917"/>
  <c r="Q125" i="5917" s="1"/>
  <c r="P107" i="5917"/>
  <c r="P125" i="5917" s="1"/>
  <c r="O107" i="5917"/>
  <c r="O125" i="5917" s="1"/>
  <c r="N107" i="5917"/>
  <c r="N125" i="5917" s="1"/>
  <c r="M107" i="5917"/>
  <c r="M125" i="5917" s="1"/>
  <c r="L107" i="5917"/>
  <c r="K107" i="5917"/>
  <c r="J107" i="5917"/>
  <c r="I107" i="5917"/>
  <c r="H107" i="5917"/>
  <c r="H125" i="5917" s="1"/>
  <c r="G107" i="5917"/>
  <c r="F107" i="5917"/>
  <c r="F125" i="5917" s="1"/>
  <c r="D107" i="5917"/>
  <c r="L106" i="5917"/>
  <c r="M106" i="5917" s="1"/>
  <c r="N106" i="5917" s="1"/>
  <c r="O106" i="5917" s="1"/>
  <c r="P106" i="5917" s="1"/>
  <c r="Q106" i="5917" s="1"/>
  <c r="R106" i="5917" s="1"/>
  <c r="S106" i="5917" s="1"/>
  <c r="T106" i="5917" s="1"/>
  <c r="U106" i="5917" s="1"/>
  <c r="V106" i="5917" s="1"/>
  <c r="W106" i="5917" s="1"/>
  <c r="X106" i="5917" s="1"/>
  <c r="Y106" i="5917" s="1"/>
  <c r="Z106" i="5917" s="1"/>
  <c r="AA106" i="5917" s="1"/>
  <c r="AB106" i="5917" s="1"/>
  <c r="AC106" i="5917" s="1"/>
  <c r="AD106" i="5917" s="1"/>
  <c r="AE106" i="5917" s="1"/>
  <c r="AF106" i="5917" s="1"/>
  <c r="AG106" i="5917" s="1"/>
  <c r="AH106" i="5917" s="1"/>
  <c r="AI106" i="5917" s="1"/>
  <c r="AJ106" i="5917" s="1"/>
  <c r="AK106" i="5917" s="1"/>
  <c r="AL106" i="5917" s="1"/>
  <c r="AM106" i="5917" s="1"/>
  <c r="AN106" i="5917" s="1"/>
  <c r="AO106" i="5917" s="1"/>
  <c r="AP106" i="5917" s="1"/>
  <c r="AQ106" i="5917" s="1"/>
  <c r="AR106" i="5917" s="1"/>
  <c r="H106" i="5917"/>
  <c r="I106" i="5917" s="1"/>
  <c r="J106" i="5917" s="1"/>
  <c r="K106" i="5917" s="1"/>
  <c r="G106" i="5917"/>
  <c r="F106" i="5917"/>
  <c r="E106" i="5917"/>
  <c r="E102" i="5917" s="1"/>
  <c r="C92" i="5917"/>
  <c r="C154" i="5917" s="1"/>
  <c r="D85" i="5917"/>
  <c r="D84" i="5917"/>
  <c r="D70" i="5917"/>
  <c r="D65" i="5917"/>
  <c r="D64" i="5917"/>
  <c r="D63" i="5917"/>
  <c r="C60" i="5917"/>
  <c r="D59" i="5917"/>
  <c r="C58" i="5917"/>
  <c r="D57" i="5917"/>
  <c r="C56" i="5917"/>
  <c r="D55" i="5917"/>
  <c r="C53" i="5917"/>
  <c r="D49" i="5917"/>
  <c r="C49" i="5917"/>
  <c r="D48" i="5917"/>
  <c r="E47" i="5917"/>
  <c r="D47" i="5917"/>
  <c r="E46" i="5917"/>
  <c r="D46" i="5917"/>
  <c r="E45" i="5917"/>
  <c r="D45" i="5917"/>
  <c r="C44" i="5917"/>
  <c r="D43" i="5917"/>
  <c r="D42" i="5917"/>
  <c r="C41" i="5917"/>
  <c r="C152" i="5917" s="1"/>
  <c r="D40" i="5917"/>
  <c r="D39" i="5917"/>
  <c r="C35" i="5917"/>
  <c r="C34" i="5917"/>
  <c r="C33" i="5917"/>
  <c r="D28" i="5917"/>
  <c r="C27" i="5917"/>
  <c r="D26" i="5917"/>
  <c r="C25" i="5917"/>
  <c r="D21" i="5917"/>
  <c r="E16" i="5917"/>
  <c r="D16" i="5917"/>
  <c r="E15" i="5917"/>
  <c r="D15" i="5917"/>
  <c r="E13" i="5917"/>
  <c r="D13" i="5917"/>
  <c r="E12" i="5917"/>
  <c r="D12" i="5917"/>
  <c r="C8" i="5917"/>
  <c r="D5" i="5917"/>
  <c r="A1" i="5917"/>
  <c r="D179" i="5916"/>
  <c r="C179" i="5916"/>
  <c r="D178" i="5916"/>
  <c r="C178" i="5916"/>
  <c r="D177" i="5916"/>
  <c r="C177" i="5916"/>
  <c r="B177" i="5916"/>
  <c r="D176" i="5916"/>
  <c r="C176" i="5916"/>
  <c r="B176" i="5916"/>
  <c r="D175" i="5916"/>
  <c r="C175" i="5916"/>
  <c r="B175" i="5916"/>
  <c r="D174" i="5916"/>
  <c r="C174" i="5916"/>
  <c r="B174" i="5916"/>
  <c r="D173" i="5916"/>
  <c r="B173" i="5916"/>
  <c r="D172" i="5916"/>
  <c r="C172" i="5916"/>
  <c r="C173" i="5916" s="1"/>
  <c r="B172" i="5916"/>
  <c r="D171" i="5916"/>
  <c r="C171" i="5916"/>
  <c r="D170" i="5916"/>
  <c r="C170" i="5916"/>
  <c r="D169" i="5916"/>
  <c r="C169" i="5916"/>
  <c r="D168" i="5916"/>
  <c r="C168" i="5916"/>
  <c r="D167" i="5916"/>
  <c r="C167" i="5916"/>
  <c r="D166" i="5916"/>
  <c r="C166" i="5916"/>
  <c r="D165" i="5916"/>
  <c r="D164" i="5916"/>
  <c r="C164" i="5916"/>
  <c r="C165" i="5916" s="1"/>
  <c r="D151" i="5916"/>
  <c r="AR147" i="5916"/>
  <c r="AQ147" i="5916"/>
  <c r="AP147" i="5916"/>
  <c r="AO147" i="5916"/>
  <c r="AN147" i="5916"/>
  <c r="AM147" i="5916"/>
  <c r="AL147" i="5916"/>
  <c r="AK147" i="5916"/>
  <c r="AJ147" i="5916"/>
  <c r="AI147" i="5916"/>
  <c r="AH147" i="5916"/>
  <c r="AG147" i="5916"/>
  <c r="AF147" i="5916"/>
  <c r="AE147" i="5916"/>
  <c r="AD147" i="5916"/>
  <c r="AC147" i="5916"/>
  <c r="AB147" i="5916"/>
  <c r="AA147" i="5916"/>
  <c r="Z147" i="5916"/>
  <c r="Y147" i="5916"/>
  <c r="X147" i="5916"/>
  <c r="W147" i="5916"/>
  <c r="V147" i="5916"/>
  <c r="U147" i="5916"/>
  <c r="T147" i="5916"/>
  <c r="AR145" i="5916"/>
  <c r="AQ145" i="5916"/>
  <c r="AP145" i="5916"/>
  <c r="AO145" i="5916"/>
  <c r="AN145" i="5916"/>
  <c r="AM145" i="5916"/>
  <c r="AL145" i="5916"/>
  <c r="AK145" i="5916"/>
  <c r="AJ145" i="5916"/>
  <c r="AI145" i="5916"/>
  <c r="AH145" i="5916"/>
  <c r="AG145" i="5916"/>
  <c r="AF145" i="5916"/>
  <c r="AE145" i="5916"/>
  <c r="AD145" i="5916"/>
  <c r="AC145" i="5916"/>
  <c r="AB145" i="5916"/>
  <c r="AA145" i="5916"/>
  <c r="Z145" i="5916"/>
  <c r="Y145" i="5916"/>
  <c r="X145" i="5916"/>
  <c r="W145" i="5916"/>
  <c r="V145" i="5916"/>
  <c r="U145" i="5916"/>
  <c r="T145" i="5916"/>
  <c r="C145" i="5916"/>
  <c r="AM137" i="5916"/>
  <c r="AL137" i="5916"/>
  <c r="AJ137" i="5916"/>
  <c r="AB137" i="5916"/>
  <c r="AA137" i="5916"/>
  <c r="Z137" i="5916"/>
  <c r="X137" i="5916"/>
  <c r="AR136" i="5916"/>
  <c r="AQ136" i="5916"/>
  <c r="AQ137" i="5916" s="1"/>
  <c r="AP136" i="5916"/>
  <c r="AO136" i="5916"/>
  <c r="AN136" i="5916"/>
  <c r="AM136" i="5916"/>
  <c r="AL136" i="5916"/>
  <c r="AK136" i="5916"/>
  <c r="AJ136" i="5916"/>
  <c r="AI136" i="5916"/>
  <c r="AH136" i="5916"/>
  <c r="AG136" i="5916"/>
  <c r="AF136" i="5916"/>
  <c r="AE136" i="5916"/>
  <c r="AE137" i="5916" s="1"/>
  <c r="AD136" i="5916"/>
  <c r="AC136" i="5916"/>
  <c r="AB136" i="5916"/>
  <c r="AA136" i="5916"/>
  <c r="Z136" i="5916"/>
  <c r="Y136" i="5916"/>
  <c r="X136" i="5916"/>
  <c r="W136" i="5916"/>
  <c r="V136" i="5916"/>
  <c r="U136" i="5916"/>
  <c r="T136" i="5916"/>
  <c r="AR135" i="5916"/>
  <c r="AR137" i="5916" s="1"/>
  <c r="AQ135" i="5916"/>
  <c r="AP135" i="5916"/>
  <c r="AO135" i="5916"/>
  <c r="AN135" i="5916"/>
  <c r="AN137" i="5916" s="1"/>
  <c r="AM135" i="5916"/>
  <c r="AL135" i="5916"/>
  <c r="AK135" i="5916"/>
  <c r="AJ135" i="5916"/>
  <c r="AI135" i="5916"/>
  <c r="AH135" i="5916"/>
  <c r="AG135" i="5916"/>
  <c r="AG137" i="5916" s="1"/>
  <c r="AF135" i="5916"/>
  <c r="AF137" i="5916" s="1"/>
  <c r="AE135" i="5916"/>
  <c r="AD135" i="5916"/>
  <c r="AC135" i="5916"/>
  <c r="AB135" i="5916"/>
  <c r="AA135" i="5916"/>
  <c r="Z135" i="5916"/>
  <c r="Y135" i="5916"/>
  <c r="X135" i="5916"/>
  <c r="W135" i="5916"/>
  <c r="V135" i="5916"/>
  <c r="V137" i="5916" s="1"/>
  <c r="U135" i="5916"/>
  <c r="U137" i="5916" s="1"/>
  <c r="T135" i="5916"/>
  <c r="T137" i="5916" s="1"/>
  <c r="AR134" i="5916"/>
  <c r="AQ134" i="5916"/>
  <c r="AP134" i="5916"/>
  <c r="AO134" i="5916"/>
  <c r="AN134" i="5916"/>
  <c r="AM134" i="5916"/>
  <c r="AL134" i="5916"/>
  <c r="AK134" i="5916"/>
  <c r="AJ134" i="5916"/>
  <c r="AI134" i="5916"/>
  <c r="AH134" i="5916"/>
  <c r="AG134" i="5916"/>
  <c r="AF134" i="5916"/>
  <c r="AE134" i="5916"/>
  <c r="AD134" i="5916"/>
  <c r="AC134" i="5916"/>
  <c r="AB134" i="5916"/>
  <c r="AA134" i="5916"/>
  <c r="Z134" i="5916"/>
  <c r="Y134" i="5916"/>
  <c r="R134" i="5916"/>
  <c r="AK131" i="5916"/>
  <c r="AC131" i="5916"/>
  <c r="AO128" i="5916"/>
  <c r="AO127" i="5916"/>
  <c r="M127" i="5916"/>
  <c r="AR125" i="5916"/>
  <c r="AQ125" i="5916"/>
  <c r="AO125" i="5916"/>
  <c r="AN125" i="5916"/>
  <c r="AI125" i="5916"/>
  <c r="AG125" i="5916"/>
  <c r="AC125" i="5916"/>
  <c r="Z125" i="5916"/>
  <c r="Y125" i="5916"/>
  <c r="U125" i="5916"/>
  <c r="S125" i="5916"/>
  <c r="R125" i="5916"/>
  <c r="N125" i="5916"/>
  <c r="M125" i="5916"/>
  <c r="L125" i="5916"/>
  <c r="I125" i="5916"/>
  <c r="H125" i="5916"/>
  <c r="E125" i="5916"/>
  <c r="C125" i="5916"/>
  <c r="AQ124" i="5916"/>
  <c r="AO124" i="5916"/>
  <c r="AN124" i="5916"/>
  <c r="AJ124" i="5916"/>
  <c r="AG124" i="5916"/>
  <c r="AE124" i="5916"/>
  <c r="AD124" i="5916"/>
  <c r="AD128" i="5916" s="1"/>
  <c r="AC124" i="5916"/>
  <c r="S124" i="5916"/>
  <c r="P124" i="5916"/>
  <c r="G124" i="5916"/>
  <c r="E124" i="5916"/>
  <c r="C124" i="5916"/>
  <c r="AR123" i="5916"/>
  <c r="AQ123" i="5916"/>
  <c r="AP123" i="5916"/>
  <c r="AO123" i="5916"/>
  <c r="AN123" i="5916"/>
  <c r="AM123" i="5916"/>
  <c r="AL123" i="5916"/>
  <c r="AK123" i="5916"/>
  <c r="AJ123" i="5916"/>
  <c r="AI123" i="5916"/>
  <c r="AH123" i="5916"/>
  <c r="AG123" i="5916"/>
  <c r="AF123" i="5916"/>
  <c r="AE123" i="5916"/>
  <c r="AD123" i="5916"/>
  <c r="AC123" i="5916"/>
  <c r="AB123" i="5916"/>
  <c r="AA123" i="5916"/>
  <c r="Z123" i="5916"/>
  <c r="Y123" i="5916"/>
  <c r="X123" i="5916"/>
  <c r="W123" i="5916"/>
  <c r="V123" i="5916"/>
  <c r="U123" i="5916"/>
  <c r="T123" i="5916"/>
  <c r="S123" i="5916"/>
  <c r="R123" i="5916"/>
  <c r="Q123" i="5916"/>
  <c r="P123" i="5916"/>
  <c r="O123" i="5916"/>
  <c r="N123" i="5916"/>
  <c r="M123" i="5916"/>
  <c r="L123" i="5916"/>
  <c r="K123" i="5916"/>
  <c r="J123" i="5916"/>
  <c r="I123" i="5916"/>
  <c r="H123" i="5916"/>
  <c r="G123" i="5916"/>
  <c r="F123" i="5916"/>
  <c r="F127" i="5916" s="1"/>
  <c r="E123" i="5916"/>
  <c r="AR122" i="5916"/>
  <c r="AQ122" i="5916"/>
  <c r="AP122" i="5916"/>
  <c r="AO122" i="5916"/>
  <c r="AN122" i="5916"/>
  <c r="AM122" i="5916"/>
  <c r="AL122" i="5916"/>
  <c r="AK122" i="5916"/>
  <c r="AJ122" i="5916"/>
  <c r="AI122" i="5916"/>
  <c r="AH122" i="5916"/>
  <c r="AG122" i="5916"/>
  <c r="AF122" i="5916"/>
  <c r="AE122" i="5916"/>
  <c r="AD122" i="5916"/>
  <c r="AC122" i="5916"/>
  <c r="AB122" i="5916"/>
  <c r="AA122" i="5916"/>
  <c r="Z122" i="5916"/>
  <c r="Y122" i="5916"/>
  <c r="V122" i="5916"/>
  <c r="S122" i="5916"/>
  <c r="R122" i="5916"/>
  <c r="Q122" i="5916"/>
  <c r="P122" i="5916"/>
  <c r="O122" i="5916"/>
  <c r="N122" i="5916"/>
  <c r="M122" i="5916"/>
  <c r="L122" i="5916"/>
  <c r="K122" i="5916"/>
  <c r="J122" i="5916"/>
  <c r="I122" i="5916"/>
  <c r="H122" i="5916"/>
  <c r="G122" i="5916"/>
  <c r="F122" i="5916"/>
  <c r="E122" i="5916"/>
  <c r="AR121" i="5916"/>
  <c r="AQ121" i="5916"/>
  <c r="AP121" i="5916"/>
  <c r="AO121" i="5916"/>
  <c r="AN121" i="5916"/>
  <c r="AM121" i="5916"/>
  <c r="AM131" i="5916" s="1"/>
  <c r="AL121" i="5916"/>
  <c r="AK121" i="5916"/>
  <c r="AJ121" i="5916"/>
  <c r="AI121" i="5916"/>
  <c r="AH121" i="5916"/>
  <c r="AG121" i="5916"/>
  <c r="AF121" i="5916"/>
  <c r="AE121" i="5916"/>
  <c r="AD121" i="5916"/>
  <c r="AC121" i="5916"/>
  <c r="AB121" i="5916"/>
  <c r="AB131" i="5916" s="1"/>
  <c r="AA121" i="5916"/>
  <c r="AA131" i="5916" s="1"/>
  <c r="Z121" i="5916"/>
  <c r="Y121" i="5916"/>
  <c r="Y131" i="5916" s="1"/>
  <c r="X121" i="5916"/>
  <c r="W121" i="5916"/>
  <c r="V121" i="5916"/>
  <c r="U121" i="5916"/>
  <c r="T121" i="5916"/>
  <c r="S121" i="5916"/>
  <c r="R121" i="5916"/>
  <c r="Q121" i="5916"/>
  <c r="P121" i="5916"/>
  <c r="O121" i="5916"/>
  <c r="N121" i="5916"/>
  <c r="M121" i="5916"/>
  <c r="L121" i="5916"/>
  <c r="K121" i="5916"/>
  <c r="J121" i="5916"/>
  <c r="I121" i="5916"/>
  <c r="H121" i="5916"/>
  <c r="G121" i="5916"/>
  <c r="F121" i="5916"/>
  <c r="E121" i="5916"/>
  <c r="AR120" i="5916"/>
  <c r="AR131" i="5916" s="1"/>
  <c r="AQ120" i="5916"/>
  <c r="AQ131" i="5916" s="1"/>
  <c r="AP120" i="5916"/>
  <c r="AP131" i="5916" s="1"/>
  <c r="AO120" i="5916"/>
  <c r="AO131" i="5916" s="1"/>
  <c r="AN120" i="5916"/>
  <c r="AN131" i="5916" s="1"/>
  <c r="AM120" i="5916"/>
  <c r="AL120" i="5916"/>
  <c r="AL131" i="5916" s="1"/>
  <c r="AK120" i="5916"/>
  <c r="AJ120" i="5916"/>
  <c r="AJ131" i="5916" s="1"/>
  <c r="AI120" i="5916"/>
  <c r="AI131" i="5916" s="1"/>
  <c r="AH120" i="5916"/>
  <c r="AG120" i="5916"/>
  <c r="AG131" i="5916" s="1"/>
  <c r="AF120" i="5916"/>
  <c r="AF131" i="5916" s="1"/>
  <c r="AE120" i="5916"/>
  <c r="AE131" i="5916" s="1"/>
  <c r="AD120" i="5916"/>
  <c r="AD131" i="5916" s="1"/>
  <c r="AC120" i="5916"/>
  <c r="AB120" i="5916"/>
  <c r="AA120" i="5916"/>
  <c r="Z120" i="5916"/>
  <c r="Z131" i="5916" s="1"/>
  <c r="Y120" i="5916"/>
  <c r="AK118" i="5916"/>
  <c r="AA118" i="5916"/>
  <c r="F118" i="5916"/>
  <c r="C118" i="5916"/>
  <c r="AR117" i="5916"/>
  <c r="AQ117" i="5916"/>
  <c r="AP117" i="5916"/>
  <c r="AO117" i="5916"/>
  <c r="AN117" i="5916"/>
  <c r="AM117" i="5916"/>
  <c r="AL117" i="5916"/>
  <c r="AK117" i="5916"/>
  <c r="AJ117" i="5916"/>
  <c r="AI117" i="5916"/>
  <c r="AH117" i="5916"/>
  <c r="AG117" i="5916"/>
  <c r="AF117" i="5916"/>
  <c r="AE117" i="5916"/>
  <c r="AD117" i="5916"/>
  <c r="AC117" i="5916"/>
  <c r="AB117" i="5916"/>
  <c r="AA117" i="5916"/>
  <c r="Z117" i="5916"/>
  <c r="Y117" i="5916"/>
  <c r="X117" i="5916"/>
  <c r="W117" i="5916"/>
  <c r="V117" i="5916"/>
  <c r="U117" i="5916"/>
  <c r="T117" i="5916"/>
  <c r="S117" i="5916"/>
  <c r="R117" i="5916"/>
  <c r="Q117" i="5916"/>
  <c r="P117" i="5916"/>
  <c r="O117" i="5916"/>
  <c r="N117" i="5916"/>
  <c r="M117" i="5916"/>
  <c r="L117" i="5916"/>
  <c r="K117" i="5916"/>
  <c r="J117" i="5916"/>
  <c r="I117" i="5916"/>
  <c r="H117" i="5916"/>
  <c r="G117" i="5916"/>
  <c r="F117" i="5916"/>
  <c r="E117" i="5916"/>
  <c r="AR116" i="5916"/>
  <c r="AQ116" i="5916"/>
  <c r="AP116" i="5916"/>
  <c r="AO116" i="5916"/>
  <c r="AN116" i="5916"/>
  <c r="AM116" i="5916"/>
  <c r="AL116" i="5916"/>
  <c r="AK116" i="5916"/>
  <c r="AJ116" i="5916"/>
  <c r="AI116" i="5916"/>
  <c r="AH116" i="5916"/>
  <c r="AG116" i="5916"/>
  <c r="AF116" i="5916"/>
  <c r="AE116" i="5916"/>
  <c r="AD116" i="5916"/>
  <c r="AC116" i="5916"/>
  <c r="AB116" i="5916"/>
  <c r="AA116" i="5916"/>
  <c r="Z116" i="5916"/>
  <c r="Y116" i="5916"/>
  <c r="X116" i="5916"/>
  <c r="W116" i="5916"/>
  <c r="V116" i="5916"/>
  <c r="U116" i="5916"/>
  <c r="T116" i="5916"/>
  <c r="S116" i="5916"/>
  <c r="R116" i="5916"/>
  <c r="Q116" i="5916"/>
  <c r="P116" i="5916"/>
  <c r="O116" i="5916"/>
  <c r="N116" i="5916"/>
  <c r="M116" i="5916"/>
  <c r="L116" i="5916"/>
  <c r="K116" i="5916"/>
  <c r="J116" i="5916"/>
  <c r="I116" i="5916"/>
  <c r="H116" i="5916"/>
  <c r="G116" i="5916"/>
  <c r="F116" i="5916"/>
  <c r="E116" i="5916"/>
  <c r="C116" i="5916"/>
  <c r="AR115" i="5916"/>
  <c r="AR118" i="5916" s="1"/>
  <c r="AP115" i="5916"/>
  <c r="AP118" i="5916" s="1"/>
  <c r="AK115" i="5916"/>
  <c r="AF115" i="5916"/>
  <c r="AD115" i="5916"/>
  <c r="AD118" i="5916" s="1"/>
  <c r="AA115" i="5916"/>
  <c r="Z115" i="5916"/>
  <c r="Z118" i="5916" s="1"/>
  <c r="Y115" i="5916"/>
  <c r="Y118" i="5916" s="1"/>
  <c r="X115" i="5916"/>
  <c r="X118" i="5916" s="1"/>
  <c r="O115" i="5916"/>
  <c r="O118" i="5916" s="1"/>
  <c r="O145" i="5916" s="1"/>
  <c r="M115" i="5916"/>
  <c r="M118" i="5916" s="1"/>
  <c r="M145" i="5916" s="1"/>
  <c r="L115" i="5916"/>
  <c r="L118" i="5916" s="1"/>
  <c r="F115" i="5916"/>
  <c r="E115" i="5916"/>
  <c r="C115" i="5916"/>
  <c r="AR109" i="5916"/>
  <c r="AQ109" i="5916"/>
  <c r="AP109" i="5916"/>
  <c r="AO109" i="5916"/>
  <c r="AN109" i="5916"/>
  <c r="AM109" i="5916"/>
  <c r="AL109" i="5916"/>
  <c r="AK109" i="5916"/>
  <c r="AJ109" i="5916"/>
  <c r="AI109" i="5916"/>
  <c r="AH109" i="5916"/>
  <c r="AG109" i="5916"/>
  <c r="AF109" i="5916"/>
  <c r="AE109" i="5916"/>
  <c r="AD109" i="5916"/>
  <c r="AC109" i="5916"/>
  <c r="AB109" i="5916"/>
  <c r="AA109" i="5916"/>
  <c r="Z109" i="5916"/>
  <c r="Y109" i="5916"/>
  <c r="X109" i="5916"/>
  <c r="W109" i="5916"/>
  <c r="V109" i="5916"/>
  <c r="U109" i="5916"/>
  <c r="T109" i="5916"/>
  <c r="S109" i="5916"/>
  <c r="S108" i="5916" s="1"/>
  <c r="R109" i="5916"/>
  <c r="Q109" i="5916"/>
  <c r="Q108" i="5916" s="1"/>
  <c r="P109" i="5916"/>
  <c r="O109" i="5916"/>
  <c r="N109" i="5916"/>
  <c r="M109" i="5916"/>
  <c r="L109" i="5916"/>
  <c r="K109" i="5916"/>
  <c r="K108" i="5916" s="1"/>
  <c r="K124" i="5916" s="1"/>
  <c r="J109" i="5916"/>
  <c r="I109" i="5916"/>
  <c r="I108" i="5916" s="1"/>
  <c r="I124" i="5916" s="1"/>
  <c r="H109" i="5916"/>
  <c r="H108" i="5916" s="1"/>
  <c r="G109" i="5916"/>
  <c r="G108" i="5916" s="1"/>
  <c r="F109" i="5916"/>
  <c r="E109" i="5916"/>
  <c r="AR108" i="5916"/>
  <c r="AR124" i="5916" s="1"/>
  <c r="AQ108" i="5916"/>
  <c r="AP108" i="5916"/>
  <c r="AO108" i="5916"/>
  <c r="AN108" i="5916"/>
  <c r="AM108" i="5916"/>
  <c r="AL108" i="5916"/>
  <c r="AL124" i="5916" s="1"/>
  <c r="AK108" i="5916"/>
  <c r="AJ108" i="5916"/>
  <c r="AI108" i="5916"/>
  <c r="AI124" i="5916" s="1"/>
  <c r="AH108" i="5916"/>
  <c r="AG108" i="5916"/>
  <c r="AF108" i="5916"/>
  <c r="AF124" i="5916" s="1"/>
  <c r="AE108" i="5916"/>
  <c r="AD108" i="5916"/>
  <c r="AC108" i="5916"/>
  <c r="AB108" i="5916"/>
  <c r="AB124" i="5916" s="1"/>
  <c r="AA108" i="5916"/>
  <c r="Z108" i="5916"/>
  <c r="Y108" i="5916"/>
  <c r="R108" i="5916"/>
  <c r="R124" i="5916" s="1"/>
  <c r="P108" i="5916"/>
  <c r="O108" i="5916"/>
  <c r="M108" i="5916"/>
  <c r="M124" i="5916" s="1"/>
  <c r="M128" i="5916" s="1"/>
  <c r="L108" i="5916"/>
  <c r="F108" i="5916"/>
  <c r="F124" i="5916" s="1"/>
  <c r="D108" i="5916"/>
  <c r="AR107" i="5916"/>
  <c r="AQ107" i="5916"/>
  <c r="AP107" i="5916"/>
  <c r="AP125" i="5916" s="1"/>
  <c r="AO107" i="5916"/>
  <c r="AN107" i="5916"/>
  <c r="AM107" i="5916"/>
  <c r="AM125" i="5916" s="1"/>
  <c r="AL107" i="5916"/>
  <c r="AL125" i="5916" s="1"/>
  <c r="AK107" i="5916"/>
  <c r="AK125" i="5916" s="1"/>
  <c r="AJ107" i="5916"/>
  <c r="AJ125" i="5916" s="1"/>
  <c r="AI107" i="5916"/>
  <c r="AH107" i="5916"/>
  <c r="AH125" i="5916" s="1"/>
  <c r="AG107" i="5916"/>
  <c r="AF107" i="5916"/>
  <c r="AF125" i="5916" s="1"/>
  <c r="AE107" i="5916"/>
  <c r="AE125" i="5916" s="1"/>
  <c r="AD107" i="5916"/>
  <c r="AD125" i="5916" s="1"/>
  <c r="AC107" i="5916"/>
  <c r="AB107" i="5916"/>
  <c r="AB125" i="5916" s="1"/>
  <c r="AA107" i="5916"/>
  <c r="AA125" i="5916" s="1"/>
  <c r="Z107" i="5916"/>
  <c r="Y107" i="5916"/>
  <c r="X107" i="5916"/>
  <c r="X125" i="5916" s="1"/>
  <c r="W107" i="5916"/>
  <c r="W125" i="5916" s="1"/>
  <c r="V107" i="5916"/>
  <c r="V125" i="5916" s="1"/>
  <c r="U107" i="5916"/>
  <c r="T107" i="5916"/>
  <c r="T125" i="5916" s="1"/>
  <c r="S107" i="5916"/>
  <c r="R107" i="5916"/>
  <c r="Q107" i="5916"/>
  <c r="Q125" i="5916" s="1"/>
  <c r="P107" i="5916"/>
  <c r="P125" i="5916" s="1"/>
  <c r="O107" i="5916"/>
  <c r="O125" i="5916" s="1"/>
  <c r="N107" i="5916"/>
  <c r="M107" i="5916"/>
  <c r="L107" i="5916"/>
  <c r="K107" i="5916"/>
  <c r="K125" i="5916" s="1"/>
  <c r="J107" i="5916"/>
  <c r="J125" i="5916" s="1"/>
  <c r="I107" i="5916"/>
  <c r="H107" i="5916"/>
  <c r="G107" i="5916"/>
  <c r="G125" i="5916" s="1"/>
  <c r="F107" i="5916"/>
  <c r="F125" i="5916" s="1"/>
  <c r="D107" i="5916"/>
  <c r="AJ106" i="5916"/>
  <c r="AK106" i="5916" s="1"/>
  <c r="AL106" i="5916" s="1"/>
  <c r="AM106" i="5916" s="1"/>
  <c r="AN106" i="5916" s="1"/>
  <c r="AO106" i="5916" s="1"/>
  <c r="AP106" i="5916" s="1"/>
  <c r="AQ106" i="5916" s="1"/>
  <c r="AR106" i="5916" s="1"/>
  <c r="W106" i="5916"/>
  <c r="X106" i="5916" s="1"/>
  <c r="Y106" i="5916" s="1"/>
  <c r="Z106" i="5916" s="1"/>
  <c r="AA106" i="5916" s="1"/>
  <c r="AB106" i="5916" s="1"/>
  <c r="AC106" i="5916" s="1"/>
  <c r="AD106" i="5916" s="1"/>
  <c r="AE106" i="5916" s="1"/>
  <c r="AF106" i="5916" s="1"/>
  <c r="AG106" i="5916" s="1"/>
  <c r="AH106" i="5916" s="1"/>
  <c r="AI106" i="5916" s="1"/>
  <c r="R106" i="5916"/>
  <c r="S106" i="5916" s="1"/>
  <c r="T106" i="5916" s="1"/>
  <c r="U106" i="5916" s="1"/>
  <c r="V106" i="5916" s="1"/>
  <c r="G106" i="5916"/>
  <c r="H106" i="5916" s="1"/>
  <c r="I106" i="5916" s="1"/>
  <c r="J106" i="5916" s="1"/>
  <c r="K106" i="5916" s="1"/>
  <c r="L106" i="5916" s="1"/>
  <c r="M106" i="5916" s="1"/>
  <c r="N106" i="5916" s="1"/>
  <c r="O106" i="5916" s="1"/>
  <c r="P106" i="5916" s="1"/>
  <c r="Q106" i="5916" s="1"/>
  <c r="F106" i="5916"/>
  <c r="E106" i="5916"/>
  <c r="E102" i="5916" s="1"/>
  <c r="C92" i="5916"/>
  <c r="C154" i="5916" s="1"/>
  <c r="D85" i="5916"/>
  <c r="D84" i="5916"/>
  <c r="D70" i="5916"/>
  <c r="D65" i="5916"/>
  <c r="D64" i="5916"/>
  <c r="D63" i="5916"/>
  <c r="C60" i="5916"/>
  <c r="D59" i="5916"/>
  <c r="C58" i="5916"/>
  <c r="D57" i="5916"/>
  <c r="C56" i="5916"/>
  <c r="D55" i="5916"/>
  <c r="C53" i="5916"/>
  <c r="D49" i="5916"/>
  <c r="C49" i="5916"/>
  <c r="D48" i="5916"/>
  <c r="E47" i="5916"/>
  <c r="D47" i="5916"/>
  <c r="E46" i="5916"/>
  <c r="D46" i="5916"/>
  <c r="E45" i="5916"/>
  <c r="D45" i="5916"/>
  <c r="C44" i="5916"/>
  <c r="C41" i="5916"/>
  <c r="C152" i="5916" s="1"/>
  <c r="D39" i="5916"/>
  <c r="C35" i="5916"/>
  <c r="C34" i="5916"/>
  <c r="AO115" i="5916" s="1"/>
  <c r="AO118" i="5916" s="1"/>
  <c r="C33" i="5916"/>
  <c r="AQ115" i="5916" s="1"/>
  <c r="C27" i="5916"/>
  <c r="C25" i="5916"/>
  <c r="D21" i="5916"/>
  <c r="E16" i="5916"/>
  <c r="D16" i="5916"/>
  <c r="E15" i="5916"/>
  <c r="D15" i="5916"/>
  <c r="E13" i="5916"/>
  <c r="D13" i="5916"/>
  <c r="E12" i="5916"/>
  <c r="D12" i="5916"/>
  <c r="C8" i="5916"/>
  <c r="D5" i="5916"/>
  <c r="A1" i="5916"/>
  <c r="D179" i="5915"/>
  <c r="C179" i="5915"/>
  <c r="D178" i="5915"/>
  <c r="C178" i="5915"/>
  <c r="D177" i="5915"/>
  <c r="C177" i="5915"/>
  <c r="B177" i="5915"/>
  <c r="D176" i="5915"/>
  <c r="C176" i="5915"/>
  <c r="B176" i="5915"/>
  <c r="D175" i="5915"/>
  <c r="C175" i="5915"/>
  <c r="B175" i="5915"/>
  <c r="D174" i="5915"/>
  <c r="C174" i="5915"/>
  <c r="B174" i="5915"/>
  <c r="D173" i="5915"/>
  <c r="C173" i="5915"/>
  <c r="B173" i="5915"/>
  <c r="D172" i="5915"/>
  <c r="C172" i="5915"/>
  <c r="B172" i="5915"/>
  <c r="D171" i="5915"/>
  <c r="C171" i="5915"/>
  <c r="D170" i="5915"/>
  <c r="C170" i="5915"/>
  <c r="D169" i="5915"/>
  <c r="C169" i="5915"/>
  <c r="D168" i="5915"/>
  <c r="C168" i="5915"/>
  <c r="D167" i="5915"/>
  <c r="C167" i="5915"/>
  <c r="D166" i="5915"/>
  <c r="C166" i="5915"/>
  <c r="D165" i="5915"/>
  <c r="C165" i="5915"/>
  <c r="D164" i="5915"/>
  <c r="C164" i="5915"/>
  <c r="C154" i="5915"/>
  <c r="D151" i="5915"/>
  <c r="AR147" i="5915"/>
  <c r="AQ147" i="5915"/>
  <c r="AP147" i="5915"/>
  <c r="AO147" i="5915"/>
  <c r="AN147" i="5915"/>
  <c r="AM147" i="5915"/>
  <c r="AL147" i="5915"/>
  <c r="AK147" i="5915"/>
  <c r="AJ147" i="5915"/>
  <c r="AI147" i="5915"/>
  <c r="AH147" i="5915"/>
  <c r="AG147" i="5915"/>
  <c r="AF147" i="5915"/>
  <c r="AE147" i="5915"/>
  <c r="AD147" i="5915"/>
  <c r="AC147" i="5915"/>
  <c r="AB147" i="5915"/>
  <c r="AA147" i="5915"/>
  <c r="Z147" i="5915"/>
  <c r="Y147" i="5915"/>
  <c r="X147" i="5915"/>
  <c r="W147" i="5915"/>
  <c r="V147" i="5915"/>
  <c r="U147" i="5915"/>
  <c r="T147" i="5915"/>
  <c r="AR145" i="5915"/>
  <c r="AQ145" i="5915"/>
  <c r="AP145" i="5915"/>
  <c r="AO145" i="5915"/>
  <c r="AN145" i="5915"/>
  <c r="AM145" i="5915"/>
  <c r="AL145" i="5915"/>
  <c r="AK145" i="5915"/>
  <c r="AJ145" i="5915"/>
  <c r="AI145" i="5915"/>
  <c r="AH145" i="5915"/>
  <c r="AG145" i="5915"/>
  <c r="AF145" i="5915"/>
  <c r="AE145" i="5915"/>
  <c r="AD145" i="5915"/>
  <c r="AC145" i="5915"/>
  <c r="AB145" i="5915"/>
  <c r="AA145" i="5915"/>
  <c r="Z145" i="5915"/>
  <c r="Y145" i="5915"/>
  <c r="X145" i="5915"/>
  <c r="W145" i="5915"/>
  <c r="V145" i="5915"/>
  <c r="U145" i="5915"/>
  <c r="T145" i="5915"/>
  <c r="C145" i="5915"/>
  <c r="AQ137" i="5915"/>
  <c r="AP137" i="5915"/>
  <c r="AO137" i="5915"/>
  <c r="AK137" i="5915"/>
  <c r="AJ137" i="5915"/>
  <c r="AF137" i="5915"/>
  <c r="AD137" i="5915"/>
  <c r="Y137" i="5915"/>
  <c r="X137" i="5915"/>
  <c r="W137" i="5915"/>
  <c r="AR136" i="5915"/>
  <c r="AQ136" i="5915"/>
  <c r="AP136" i="5915"/>
  <c r="AO136" i="5915"/>
  <c r="AN136" i="5915"/>
  <c r="AM136" i="5915"/>
  <c r="AL136" i="5915"/>
  <c r="AK136" i="5915"/>
  <c r="AJ136" i="5915"/>
  <c r="AI136" i="5915"/>
  <c r="AI137" i="5915" s="1"/>
  <c r="AH136" i="5915"/>
  <c r="AG136" i="5915"/>
  <c r="AF136" i="5915"/>
  <c r="AE136" i="5915"/>
  <c r="AD136" i="5915"/>
  <c r="AC136" i="5915"/>
  <c r="AC137" i="5915" s="1"/>
  <c r="AB136" i="5915"/>
  <c r="AA136" i="5915"/>
  <c r="Z136" i="5915"/>
  <c r="Y136" i="5915"/>
  <c r="X136" i="5915"/>
  <c r="W136" i="5915"/>
  <c r="V136" i="5915"/>
  <c r="U136" i="5915"/>
  <c r="T136" i="5915"/>
  <c r="AR135" i="5915"/>
  <c r="AR137" i="5915" s="1"/>
  <c r="AQ135" i="5915"/>
  <c r="AP135" i="5915"/>
  <c r="AO135" i="5915"/>
  <c r="AN135" i="5915"/>
  <c r="AN137" i="5915" s="1"/>
  <c r="AM135" i="5915"/>
  <c r="AL135" i="5915"/>
  <c r="AL137" i="5915" s="1"/>
  <c r="AK135" i="5915"/>
  <c r="AJ135" i="5915"/>
  <c r="AI135" i="5915"/>
  <c r="AH135" i="5915"/>
  <c r="AG135" i="5915"/>
  <c r="AG137" i="5915" s="1"/>
  <c r="AF135" i="5915"/>
  <c r="AE135" i="5915"/>
  <c r="AE137" i="5915" s="1"/>
  <c r="AD135" i="5915"/>
  <c r="AC135" i="5915"/>
  <c r="AB135" i="5915"/>
  <c r="AB137" i="5915" s="1"/>
  <c r="AA135" i="5915"/>
  <c r="Z135" i="5915"/>
  <c r="Z137" i="5915" s="1"/>
  <c r="Y135" i="5915"/>
  <c r="X135" i="5915"/>
  <c r="W135" i="5915"/>
  <c r="V135" i="5915"/>
  <c r="U135" i="5915"/>
  <c r="U137" i="5915" s="1"/>
  <c r="T135" i="5915"/>
  <c r="T137" i="5915" s="1"/>
  <c r="AR134" i="5915"/>
  <c r="AQ134" i="5915"/>
  <c r="AP134" i="5915"/>
  <c r="AO134" i="5915"/>
  <c r="AN134" i="5915"/>
  <c r="AM134" i="5915"/>
  <c r="AL134" i="5915"/>
  <c r="AK134" i="5915"/>
  <c r="AJ134" i="5915"/>
  <c r="AI134" i="5915"/>
  <c r="AH134" i="5915"/>
  <c r="AG134" i="5915"/>
  <c r="AF134" i="5915"/>
  <c r="AE134" i="5915"/>
  <c r="AD134" i="5915"/>
  <c r="AC134" i="5915"/>
  <c r="AB134" i="5915"/>
  <c r="AA134" i="5915"/>
  <c r="Z134" i="5915"/>
  <c r="Y134" i="5915"/>
  <c r="J134" i="5915"/>
  <c r="AN131" i="5915"/>
  <c r="AK131" i="5915"/>
  <c r="AE131" i="5915"/>
  <c r="AC131" i="5915"/>
  <c r="AO125" i="5915"/>
  <c r="AN125" i="5915"/>
  <c r="AL125" i="5915"/>
  <c r="AJ125" i="5915"/>
  <c r="AI125" i="5915"/>
  <c r="AC125" i="5915"/>
  <c r="AA125" i="5915"/>
  <c r="Z125" i="5915"/>
  <c r="X125" i="5915"/>
  <c r="W125" i="5915"/>
  <c r="M125" i="5915"/>
  <c r="J125" i="5915"/>
  <c r="F125" i="5915"/>
  <c r="E125" i="5915"/>
  <c r="C125" i="5915"/>
  <c r="AQ124" i="5915"/>
  <c r="AN124" i="5915"/>
  <c r="AL124" i="5915"/>
  <c r="AK124" i="5915"/>
  <c r="AI124" i="5915"/>
  <c r="AH124" i="5915"/>
  <c r="Z124" i="5915"/>
  <c r="Y124" i="5915"/>
  <c r="U124" i="5915"/>
  <c r="I124" i="5915"/>
  <c r="E124" i="5915"/>
  <c r="C124" i="5915"/>
  <c r="AR123" i="5915"/>
  <c r="AQ123" i="5915"/>
  <c r="AP123" i="5915"/>
  <c r="AO123" i="5915"/>
  <c r="AN123" i="5915"/>
  <c r="AM123" i="5915"/>
  <c r="AL123" i="5915"/>
  <c r="AK123" i="5915"/>
  <c r="AJ123" i="5915"/>
  <c r="AI123" i="5915"/>
  <c r="AH123" i="5915"/>
  <c r="AG123" i="5915"/>
  <c r="AF123" i="5915"/>
  <c r="AE123" i="5915"/>
  <c r="AD123" i="5915"/>
  <c r="AC123" i="5915"/>
  <c r="AB123" i="5915"/>
  <c r="AA123" i="5915"/>
  <c r="Z123" i="5915"/>
  <c r="Y123" i="5915"/>
  <c r="X123" i="5915"/>
  <c r="W123" i="5915"/>
  <c r="V123" i="5915"/>
  <c r="U123" i="5915"/>
  <c r="T123" i="5915"/>
  <c r="S123" i="5915"/>
  <c r="R123" i="5915"/>
  <c r="Q123" i="5915"/>
  <c r="P123" i="5915"/>
  <c r="O123" i="5915"/>
  <c r="N123" i="5915"/>
  <c r="M123" i="5915"/>
  <c r="L123" i="5915"/>
  <c r="K123" i="5915"/>
  <c r="J123" i="5915"/>
  <c r="I123" i="5915"/>
  <c r="H123" i="5915"/>
  <c r="G123" i="5915"/>
  <c r="F123" i="5915"/>
  <c r="E123" i="5915"/>
  <c r="AR122" i="5915"/>
  <c r="AQ122" i="5915"/>
  <c r="AP122" i="5915"/>
  <c r="AO122" i="5915"/>
  <c r="AN122" i="5915"/>
  <c r="AM122" i="5915"/>
  <c r="AL122" i="5915"/>
  <c r="AK122" i="5915"/>
  <c r="AJ122" i="5915"/>
  <c r="AI122" i="5915"/>
  <c r="AH122" i="5915"/>
  <c r="AG122" i="5915"/>
  <c r="AF122" i="5915"/>
  <c r="AE122" i="5915"/>
  <c r="AD122" i="5915"/>
  <c r="AC122" i="5915"/>
  <c r="AB122" i="5915"/>
  <c r="AA122" i="5915"/>
  <c r="Z122" i="5915"/>
  <c r="Y122" i="5915"/>
  <c r="V122" i="5915"/>
  <c r="S122" i="5915"/>
  <c r="R122" i="5915"/>
  <c r="Q122" i="5915"/>
  <c r="P122" i="5915"/>
  <c r="O122" i="5915"/>
  <c r="N122" i="5915"/>
  <c r="M122" i="5915"/>
  <c r="L122" i="5915"/>
  <c r="K122" i="5915"/>
  <c r="J122" i="5915"/>
  <c r="I122" i="5915"/>
  <c r="H122" i="5915"/>
  <c r="G122" i="5915"/>
  <c r="F122" i="5915"/>
  <c r="E122" i="5915"/>
  <c r="AR121" i="5915"/>
  <c r="AQ121" i="5915"/>
  <c r="AP121" i="5915"/>
  <c r="AO121" i="5915"/>
  <c r="AO131" i="5915" s="1"/>
  <c r="AN121" i="5915"/>
  <c r="AM121" i="5915"/>
  <c r="AL121" i="5915"/>
  <c r="AK121" i="5915"/>
  <c r="AJ121" i="5915"/>
  <c r="AI121" i="5915"/>
  <c r="AH121" i="5915"/>
  <c r="AG121" i="5915"/>
  <c r="AF121" i="5915"/>
  <c r="AE121" i="5915"/>
  <c r="AD121" i="5915"/>
  <c r="AC121" i="5915"/>
  <c r="AB121" i="5915"/>
  <c r="AA121" i="5915"/>
  <c r="Z121" i="5915"/>
  <c r="Y121" i="5915"/>
  <c r="X121" i="5915"/>
  <c r="W121" i="5915"/>
  <c r="V121" i="5915"/>
  <c r="U121" i="5915"/>
  <c r="T121" i="5915"/>
  <c r="S121" i="5915"/>
  <c r="R121" i="5915"/>
  <c r="Q121" i="5915"/>
  <c r="P121" i="5915"/>
  <c r="O121" i="5915"/>
  <c r="N121" i="5915"/>
  <c r="M121" i="5915"/>
  <c r="L121" i="5915"/>
  <c r="K121" i="5915"/>
  <c r="J121" i="5915"/>
  <c r="I121" i="5915"/>
  <c r="H121" i="5915"/>
  <c r="G121" i="5915"/>
  <c r="F121" i="5915"/>
  <c r="E121" i="5915"/>
  <c r="AR120" i="5915"/>
  <c r="AR131" i="5915" s="1"/>
  <c r="AQ120" i="5915"/>
  <c r="AQ131" i="5915" s="1"/>
  <c r="AP120" i="5915"/>
  <c r="AP131" i="5915" s="1"/>
  <c r="AO120" i="5915"/>
  <c r="AN120" i="5915"/>
  <c r="AM120" i="5915"/>
  <c r="AM131" i="5915" s="1"/>
  <c r="AL120" i="5915"/>
  <c r="AL131" i="5915" s="1"/>
  <c r="AK120" i="5915"/>
  <c r="AJ120" i="5915"/>
  <c r="AJ131" i="5915" s="1"/>
  <c r="AI120" i="5915"/>
  <c r="AH120" i="5915"/>
  <c r="AH131" i="5915" s="1"/>
  <c r="AG120" i="5915"/>
  <c r="AG131" i="5915" s="1"/>
  <c r="AF120" i="5915"/>
  <c r="AE120" i="5915"/>
  <c r="AD120" i="5915"/>
  <c r="AC120" i="5915"/>
  <c r="AB120" i="5915"/>
  <c r="AA120" i="5915"/>
  <c r="AA131" i="5915" s="1"/>
  <c r="Z120" i="5915"/>
  <c r="Z131" i="5915" s="1"/>
  <c r="Y120" i="5915"/>
  <c r="Y131" i="5915" s="1"/>
  <c r="C118" i="5915"/>
  <c r="AR117" i="5915"/>
  <c r="AQ117" i="5915"/>
  <c r="AP117" i="5915"/>
  <c r="AO117" i="5915"/>
  <c r="AN117" i="5915"/>
  <c r="AM117" i="5915"/>
  <c r="AL117" i="5915"/>
  <c r="AK117" i="5915"/>
  <c r="AJ117" i="5915"/>
  <c r="AI117" i="5915"/>
  <c r="AH117" i="5915"/>
  <c r="AG117" i="5915"/>
  <c r="AF117" i="5915"/>
  <c r="AE117" i="5915"/>
  <c r="AD117" i="5915"/>
  <c r="AC117" i="5915"/>
  <c r="AB117" i="5915"/>
  <c r="AA117" i="5915"/>
  <c r="Z117" i="5915"/>
  <c r="Y117" i="5915"/>
  <c r="X117" i="5915"/>
  <c r="W117" i="5915"/>
  <c r="V117" i="5915"/>
  <c r="U117" i="5915"/>
  <c r="T117" i="5915"/>
  <c r="S117" i="5915"/>
  <c r="R117" i="5915"/>
  <c r="Q117" i="5915"/>
  <c r="P117" i="5915"/>
  <c r="O117" i="5915"/>
  <c r="N117" i="5915"/>
  <c r="M117" i="5915"/>
  <c r="L117" i="5915"/>
  <c r="K117" i="5915"/>
  <c r="J117" i="5915"/>
  <c r="I117" i="5915"/>
  <c r="H117" i="5915"/>
  <c r="G117" i="5915"/>
  <c r="F117" i="5915"/>
  <c r="E117" i="5915"/>
  <c r="AR116" i="5915"/>
  <c r="AQ116" i="5915"/>
  <c r="AP116" i="5915"/>
  <c r="AO116" i="5915"/>
  <c r="AN116" i="5915"/>
  <c r="AM116" i="5915"/>
  <c r="AL116" i="5915"/>
  <c r="AK116" i="5915"/>
  <c r="AJ116" i="5915"/>
  <c r="AI116" i="5915"/>
  <c r="AH116" i="5915"/>
  <c r="AG116" i="5915"/>
  <c r="AF116" i="5915"/>
  <c r="AE116" i="5915"/>
  <c r="AD116" i="5915"/>
  <c r="AC116" i="5915"/>
  <c r="AB116" i="5915"/>
  <c r="AA116" i="5915"/>
  <c r="Z116" i="5915"/>
  <c r="Y116" i="5915"/>
  <c r="X116" i="5915"/>
  <c r="W116" i="5915"/>
  <c r="V116" i="5915"/>
  <c r="U116" i="5915"/>
  <c r="T116" i="5915"/>
  <c r="S116" i="5915"/>
  <c r="R116" i="5915"/>
  <c r="Q116" i="5915"/>
  <c r="P116" i="5915"/>
  <c r="O116" i="5915"/>
  <c r="N116" i="5915"/>
  <c r="M116" i="5915"/>
  <c r="L116" i="5915"/>
  <c r="K116" i="5915"/>
  <c r="J116" i="5915"/>
  <c r="I116" i="5915"/>
  <c r="H116" i="5915"/>
  <c r="G116" i="5915"/>
  <c r="F116" i="5915"/>
  <c r="E116" i="5915"/>
  <c r="C116" i="5915"/>
  <c r="C115" i="5915"/>
  <c r="AR109" i="5915"/>
  <c r="AQ109" i="5915"/>
  <c r="AP109" i="5915"/>
  <c r="AO109" i="5915"/>
  <c r="AN109" i="5915"/>
  <c r="AM109" i="5915"/>
  <c r="AL109" i="5915"/>
  <c r="AK109" i="5915"/>
  <c r="AJ109" i="5915"/>
  <c r="AI109" i="5915"/>
  <c r="AH109" i="5915"/>
  <c r="AG109" i="5915"/>
  <c r="AF109" i="5915"/>
  <c r="AE109" i="5915"/>
  <c r="AD109" i="5915"/>
  <c r="AC109" i="5915"/>
  <c r="AB109" i="5915"/>
  <c r="AA109" i="5915"/>
  <c r="Z109" i="5915"/>
  <c r="Y109" i="5915"/>
  <c r="X109" i="5915"/>
  <c r="W109" i="5915"/>
  <c r="W108" i="5915" s="1"/>
  <c r="V109" i="5915"/>
  <c r="V108" i="5915" s="1"/>
  <c r="V124" i="5915" s="1"/>
  <c r="U109" i="5915"/>
  <c r="U122" i="5915" s="1"/>
  <c r="T109" i="5915"/>
  <c r="T122" i="5915" s="1"/>
  <c r="S109" i="5915"/>
  <c r="R109" i="5915"/>
  <c r="Q109" i="5915"/>
  <c r="P109" i="5915"/>
  <c r="P108" i="5915" s="1"/>
  <c r="O109" i="5915"/>
  <c r="N109" i="5915"/>
  <c r="M109" i="5915"/>
  <c r="M108" i="5915" s="1"/>
  <c r="M124" i="5915" s="1"/>
  <c r="L109" i="5915"/>
  <c r="L108" i="5915" s="1"/>
  <c r="L124" i="5915" s="1"/>
  <c r="K109" i="5915"/>
  <c r="J109" i="5915"/>
  <c r="I109" i="5915"/>
  <c r="H109" i="5915"/>
  <c r="G109" i="5915"/>
  <c r="G108" i="5915" s="1"/>
  <c r="G124" i="5915" s="1"/>
  <c r="F109" i="5915"/>
  <c r="E109" i="5915"/>
  <c r="AR108" i="5915"/>
  <c r="AR124" i="5915" s="1"/>
  <c r="AQ108" i="5915"/>
  <c r="AP108" i="5915"/>
  <c r="AO108" i="5915"/>
  <c r="AN108" i="5915"/>
  <c r="AM108" i="5915"/>
  <c r="AL108" i="5915"/>
  <c r="AK108" i="5915"/>
  <c r="AJ108" i="5915"/>
  <c r="AJ124" i="5915" s="1"/>
  <c r="AI108" i="5915"/>
  <c r="AH108" i="5915"/>
  <c r="AG108" i="5915"/>
  <c r="AF108" i="5915"/>
  <c r="AE108" i="5915"/>
  <c r="AE124" i="5915" s="1"/>
  <c r="AD108" i="5915"/>
  <c r="AC108" i="5915"/>
  <c r="AC124" i="5915" s="1"/>
  <c r="AB108" i="5915"/>
  <c r="AB124" i="5915" s="1"/>
  <c r="AA108" i="5915"/>
  <c r="Z108" i="5915"/>
  <c r="Y108" i="5915"/>
  <c r="U108" i="5915"/>
  <c r="T108" i="5915"/>
  <c r="T124" i="5915" s="1"/>
  <c r="R108" i="5915"/>
  <c r="R124" i="5915" s="1"/>
  <c r="O108" i="5915"/>
  <c r="I108" i="5915"/>
  <c r="H108" i="5915"/>
  <c r="F108" i="5915"/>
  <c r="D108" i="5915"/>
  <c r="AR107" i="5915"/>
  <c r="AR125" i="5915" s="1"/>
  <c r="AQ107" i="5915"/>
  <c r="AQ125" i="5915" s="1"/>
  <c r="AP107" i="5915"/>
  <c r="AP125" i="5915" s="1"/>
  <c r="AO107" i="5915"/>
  <c r="AN107" i="5915"/>
  <c r="AM107" i="5915"/>
  <c r="AM125" i="5915" s="1"/>
  <c r="AL107" i="5915"/>
  <c r="AK107" i="5915"/>
  <c r="AK125" i="5915" s="1"/>
  <c r="AJ107" i="5915"/>
  <c r="AI107" i="5915"/>
  <c r="AH107" i="5915"/>
  <c r="AH125" i="5915" s="1"/>
  <c r="AG107" i="5915"/>
  <c r="AG125" i="5915" s="1"/>
  <c r="AF107" i="5915"/>
  <c r="AF125" i="5915" s="1"/>
  <c r="AE107" i="5915"/>
  <c r="AE125" i="5915" s="1"/>
  <c r="AD107" i="5915"/>
  <c r="AD125" i="5915" s="1"/>
  <c r="AC107" i="5915"/>
  <c r="AB107" i="5915"/>
  <c r="AB125" i="5915" s="1"/>
  <c r="AA107" i="5915"/>
  <c r="Z107" i="5915"/>
  <c r="Y107" i="5915"/>
  <c r="Y125" i="5915" s="1"/>
  <c r="X107" i="5915"/>
  <c r="W107" i="5915"/>
  <c r="V107" i="5915"/>
  <c r="V125" i="5915" s="1"/>
  <c r="U107" i="5915"/>
  <c r="U125" i="5915" s="1"/>
  <c r="T107" i="5915"/>
  <c r="T125" i="5915" s="1"/>
  <c r="S107" i="5915"/>
  <c r="S125" i="5915" s="1"/>
  <c r="R107" i="5915"/>
  <c r="R125" i="5915" s="1"/>
  <c r="Q107" i="5915"/>
  <c r="Q125" i="5915" s="1"/>
  <c r="P107" i="5915"/>
  <c r="P125" i="5915" s="1"/>
  <c r="O107" i="5915"/>
  <c r="O125" i="5915" s="1"/>
  <c r="N107" i="5915"/>
  <c r="N125" i="5915" s="1"/>
  <c r="M107" i="5915"/>
  <c r="L107" i="5915"/>
  <c r="L125" i="5915" s="1"/>
  <c r="K107" i="5915"/>
  <c r="K125" i="5915" s="1"/>
  <c r="J107" i="5915"/>
  <c r="I107" i="5915"/>
  <c r="I125" i="5915" s="1"/>
  <c r="H107" i="5915"/>
  <c r="H125" i="5915" s="1"/>
  <c r="G107" i="5915"/>
  <c r="G125" i="5915" s="1"/>
  <c r="F107" i="5915"/>
  <c r="D107" i="5915"/>
  <c r="E106" i="5915"/>
  <c r="F106" i="5915" s="1"/>
  <c r="G106" i="5915" s="1"/>
  <c r="H106" i="5915" s="1"/>
  <c r="I106" i="5915" s="1"/>
  <c r="J106" i="5915" s="1"/>
  <c r="K106" i="5915" s="1"/>
  <c r="L106" i="5915" s="1"/>
  <c r="M106" i="5915" s="1"/>
  <c r="N106" i="5915" s="1"/>
  <c r="O106" i="5915" s="1"/>
  <c r="P106" i="5915" s="1"/>
  <c r="Q106" i="5915" s="1"/>
  <c r="R106" i="5915" s="1"/>
  <c r="S106" i="5915" s="1"/>
  <c r="T106" i="5915" s="1"/>
  <c r="U106" i="5915" s="1"/>
  <c r="V106" i="5915" s="1"/>
  <c r="W106" i="5915" s="1"/>
  <c r="X106" i="5915" s="1"/>
  <c r="Y106" i="5915" s="1"/>
  <c r="Z106" i="5915" s="1"/>
  <c r="AA106" i="5915" s="1"/>
  <c r="AB106" i="5915" s="1"/>
  <c r="AC106" i="5915" s="1"/>
  <c r="AD106" i="5915" s="1"/>
  <c r="AE106" i="5915" s="1"/>
  <c r="AF106" i="5915" s="1"/>
  <c r="AG106" i="5915" s="1"/>
  <c r="AH106" i="5915" s="1"/>
  <c r="AI106" i="5915" s="1"/>
  <c r="AJ106" i="5915" s="1"/>
  <c r="AK106" i="5915" s="1"/>
  <c r="AL106" i="5915" s="1"/>
  <c r="AM106" i="5915" s="1"/>
  <c r="AN106" i="5915" s="1"/>
  <c r="AO106" i="5915" s="1"/>
  <c r="AP106" i="5915" s="1"/>
  <c r="AQ106" i="5915" s="1"/>
  <c r="AR106" i="5915" s="1"/>
  <c r="E102" i="5915"/>
  <c r="C92" i="5915"/>
  <c r="C41" i="5915" s="1"/>
  <c r="C152" i="5915" s="1"/>
  <c r="D85" i="5915"/>
  <c r="D84" i="5915"/>
  <c r="D70" i="5915"/>
  <c r="D65" i="5915"/>
  <c r="D64" i="5915"/>
  <c r="D63" i="5915"/>
  <c r="C60" i="5915"/>
  <c r="D59" i="5915"/>
  <c r="C58" i="5915"/>
  <c r="D57" i="5915"/>
  <c r="C56" i="5915"/>
  <c r="D55" i="5915"/>
  <c r="C53" i="5915"/>
  <c r="D49" i="5915"/>
  <c r="C49" i="5915"/>
  <c r="D48" i="5915"/>
  <c r="E47" i="5915"/>
  <c r="D47" i="5915"/>
  <c r="E46" i="5915"/>
  <c r="D46" i="5915"/>
  <c r="E45" i="5915"/>
  <c r="D45" i="5915"/>
  <c r="C44" i="5915"/>
  <c r="D39" i="5915"/>
  <c r="C35" i="5915"/>
  <c r="C34" i="5915"/>
  <c r="C33" i="5915"/>
  <c r="C27" i="5915"/>
  <c r="D26" i="5915"/>
  <c r="C25" i="5915"/>
  <c r="D21" i="5915"/>
  <c r="E16" i="5915"/>
  <c r="D16" i="5915"/>
  <c r="E15" i="5915"/>
  <c r="D15" i="5915"/>
  <c r="E13" i="5915"/>
  <c r="D13" i="5915"/>
  <c r="E12" i="5915"/>
  <c r="D12" i="5915"/>
  <c r="C8" i="5915"/>
  <c r="D43" i="5915" s="1"/>
  <c r="D5" i="5915"/>
  <c r="A1" i="5915"/>
  <c r="D179" i="5914"/>
  <c r="C179" i="5914"/>
  <c r="D178" i="5914"/>
  <c r="C178" i="5914"/>
  <c r="D177" i="5914"/>
  <c r="C177" i="5914"/>
  <c r="B177" i="5914"/>
  <c r="D176" i="5914"/>
  <c r="C176" i="5914"/>
  <c r="B176" i="5914"/>
  <c r="D175" i="5914"/>
  <c r="C175" i="5914"/>
  <c r="B175" i="5914"/>
  <c r="D174" i="5914"/>
  <c r="C174" i="5914"/>
  <c r="B174" i="5914"/>
  <c r="D173" i="5914"/>
  <c r="B173" i="5914"/>
  <c r="D172" i="5914"/>
  <c r="C172" i="5914"/>
  <c r="C173" i="5914" s="1"/>
  <c r="B172" i="5914"/>
  <c r="D171" i="5914"/>
  <c r="C171" i="5914"/>
  <c r="D170" i="5914"/>
  <c r="C170" i="5914"/>
  <c r="D169" i="5914"/>
  <c r="D168" i="5914"/>
  <c r="C168" i="5914"/>
  <c r="C169" i="5914" s="1"/>
  <c r="D167" i="5914"/>
  <c r="C167" i="5914"/>
  <c r="D166" i="5914"/>
  <c r="C166" i="5914"/>
  <c r="D165" i="5914"/>
  <c r="C165" i="5914"/>
  <c r="D164" i="5914"/>
  <c r="C164" i="5914"/>
  <c r="C158" i="5914"/>
  <c r="D144" i="5914" s="1"/>
  <c r="C154" i="5914"/>
  <c r="D151" i="5914"/>
  <c r="AR147" i="5914"/>
  <c r="AQ147" i="5914"/>
  <c r="AP147" i="5914"/>
  <c r="AO147" i="5914"/>
  <c r="AN147" i="5914"/>
  <c r="AM147" i="5914"/>
  <c r="AL147" i="5914"/>
  <c r="AK147" i="5914"/>
  <c r="AJ147" i="5914"/>
  <c r="AI147" i="5914"/>
  <c r="AH147" i="5914"/>
  <c r="AG147" i="5914"/>
  <c r="AF147" i="5914"/>
  <c r="AE147" i="5914"/>
  <c r="AD147" i="5914"/>
  <c r="AC147" i="5914"/>
  <c r="AB147" i="5914"/>
  <c r="AA147" i="5914"/>
  <c r="Z147" i="5914"/>
  <c r="Y147" i="5914"/>
  <c r="X147" i="5914"/>
  <c r="W147" i="5914"/>
  <c r="V147" i="5914"/>
  <c r="U147" i="5914"/>
  <c r="T147" i="5914"/>
  <c r="AR145" i="5914"/>
  <c r="AQ145" i="5914"/>
  <c r="AP145" i="5914"/>
  <c r="AO145" i="5914"/>
  <c r="AN145" i="5914"/>
  <c r="AM145" i="5914"/>
  <c r="AL145" i="5914"/>
  <c r="AK145" i="5914"/>
  <c r="AJ145" i="5914"/>
  <c r="AI145" i="5914"/>
  <c r="AH145" i="5914"/>
  <c r="AG145" i="5914"/>
  <c r="AF145" i="5914"/>
  <c r="AE145" i="5914"/>
  <c r="AD145" i="5914"/>
  <c r="AC145" i="5914"/>
  <c r="AB145" i="5914"/>
  <c r="AA145" i="5914"/>
  <c r="Z145" i="5914"/>
  <c r="Y145" i="5914"/>
  <c r="X145" i="5914"/>
  <c r="W145" i="5914"/>
  <c r="V145" i="5914"/>
  <c r="U145" i="5914"/>
  <c r="T145" i="5914"/>
  <c r="C145" i="5914"/>
  <c r="AP137" i="5914"/>
  <c r="AN137" i="5914"/>
  <c r="AK137" i="5914"/>
  <c r="AG137" i="5914"/>
  <c r="AD137" i="5914"/>
  <c r="AB137" i="5914"/>
  <c r="U137" i="5914"/>
  <c r="AR136" i="5914"/>
  <c r="AQ136" i="5914"/>
  <c r="AQ137" i="5914" s="1"/>
  <c r="AP136" i="5914"/>
  <c r="AO136" i="5914"/>
  <c r="AN136" i="5914"/>
  <c r="AM136" i="5914"/>
  <c r="AL136" i="5914"/>
  <c r="AK136" i="5914"/>
  <c r="AJ136" i="5914"/>
  <c r="AI136" i="5914"/>
  <c r="AH136" i="5914"/>
  <c r="AG136" i="5914"/>
  <c r="AF136" i="5914"/>
  <c r="AE136" i="5914"/>
  <c r="AE137" i="5914" s="1"/>
  <c r="AD136" i="5914"/>
  <c r="AC136" i="5914"/>
  <c r="AB136" i="5914"/>
  <c r="AA136" i="5914"/>
  <c r="Z136" i="5914"/>
  <c r="Y136" i="5914"/>
  <c r="X136" i="5914"/>
  <c r="W136" i="5914"/>
  <c r="V136" i="5914"/>
  <c r="U136" i="5914"/>
  <c r="T136" i="5914"/>
  <c r="AR135" i="5914"/>
  <c r="AR137" i="5914" s="1"/>
  <c r="AQ135" i="5914"/>
  <c r="AP135" i="5914"/>
  <c r="AO135" i="5914"/>
  <c r="AO137" i="5914" s="1"/>
  <c r="AN135" i="5914"/>
  <c r="AM135" i="5914"/>
  <c r="AM137" i="5914" s="1"/>
  <c r="AL135" i="5914"/>
  <c r="AL137" i="5914" s="1"/>
  <c r="AK135" i="5914"/>
  <c r="AJ135" i="5914"/>
  <c r="AJ137" i="5914" s="1"/>
  <c r="AI135" i="5914"/>
  <c r="AI137" i="5914" s="1"/>
  <c r="AH135" i="5914"/>
  <c r="AH137" i="5914" s="1"/>
  <c r="AG135" i="5914"/>
  <c r="AF135" i="5914"/>
  <c r="AF137" i="5914" s="1"/>
  <c r="AE135" i="5914"/>
  <c r="AD135" i="5914"/>
  <c r="AC135" i="5914"/>
  <c r="AC137" i="5914" s="1"/>
  <c r="AB135" i="5914"/>
  <c r="AA135" i="5914"/>
  <c r="AA137" i="5914" s="1"/>
  <c r="Z135" i="5914"/>
  <c r="Z137" i="5914" s="1"/>
  <c r="Y135" i="5914"/>
  <c r="Y137" i="5914" s="1"/>
  <c r="X135" i="5914"/>
  <c r="X137" i="5914" s="1"/>
  <c r="W135" i="5914"/>
  <c r="W137" i="5914" s="1"/>
  <c r="V135" i="5914"/>
  <c r="V137" i="5914" s="1"/>
  <c r="U135" i="5914"/>
  <c r="T135" i="5914"/>
  <c r="T137" i="5914" s="1"/>
  <c r="AR134" i="5914"/>
  <c r="AQ134" i="5914"/>
  <c r="AP134" i="5914"/>
  <c r="AO134" i="5914"/>
  <c r="AN134" i="5914"/>
  <c r="AM134" i="5914"/>
  <c r="AL134" i="5914"/>
  <c r="AK134" i="5914"/>
  <c r="AJ134" i="5914"/>
  <c r="AI134" i="5914"/>
  <c r="AH134" i="5914"/>
  <c r="AG134" i="5914"/>
  <c r="AF134" i="5914"/>
  <c r="AE134" i="5914"/>
  <c r="AD134" i="5914"/>
  <c r="AC134" i="5914"/>
  <c r="AB134" i="5914"/>
  <c r="AA134" i="5914"/>
  <c r="Z134" i="5914"/>
  <c r="Y134" i="5914"/>
  <c r="U134" i="5914"/>
  <c r="P134" i="5914"/>
  <c r="N134" i="5914"/>
  <c r="M134" i="5914"/>
  <c r="G134" i="5914"/>
  <c r="E134" i="5914"/>
  <c r="AL131" i="5914"/>
  <c r="AK131" i="5914"/>
  <c r="AH131" i="5914"/>
  <c r="K127" i="5914"/>
  <c r="I127" i="5914"/>
  <c r="AR125" i="5914"/>
  <c r="AP125" i="5914"/>
  <c r="AO125" i="5914"/>
  <c r="AI125" i="5914"/>
  <c r="AH125" i="5914"/>
  <c r="AG125" i="5914"/>
  <c r="AF125" i="5914"/>
  <c r="AD125" i="5914"/>
  <c r="V125" i="5914"/>
  <c r="U125" i="5914"/>
  <c r="T125" i="5914"/>
  <c r="S125" i="5914"/>
  <c r="R125" i="5914"/>
  <c r="Q125" i="5914"/>
  <c r="J125" i="5914"/>
  <c r="I125" i="5914"/>
  <c r="H125" i="5914"/>
  <c r="F125" i="5914"/>
  <c r="E125" i="5914"/>
  <c r="C125" i="5914"/>
  <c r="AP124" i="5914"/>
  <c r="AN124" i="5914"/>
  <c r="AM124" i="5914"/>
  <c r="AL124" i="5914"/>
  <c r="AH124" i="5914"/>
  <c r="AD124" i="5914"/>
  <c r="AB124" i="5914"/>
  <c r="AA124" i="5914"/>
  <c r="Z124" i="5914"/>
  <c r="Y124" i="5914"/>
  <c r="X124" i="5914"/>
  <c r="V124" i="5914"/>
  <c r="L124" i="5914"/>
  <c r="K124" i="5914"/>
  <c r="F124" i="5914"/>
  <c r="E124" i="5914"/>
  <c r="C124" i="5914"/>
  <c r="AR123" i="5914"/>
  <c r="AQ123" i="5914"/>
  <c r="AP123" i="5914"/>
  <c r="AO123" i="5914"/>
  <c r="AN123" i="5914"/>
  <c r="AM123" i="5914"/>
  <c r="AL123" i="5914"/>
  <c r="AK123" i="5914"/>
  <c r="AJ123" i="5914"/>
  <c r="AI123" i="5914"/>
  <c r="AH123" i="5914"/>
  <c r="AG123" i="5914"/>
  <c r="AF123" i="5914"/>
  <c r="AE123" i="5914"/>
  <c r="AD123" i="5914"/>
  <c r="AC123" i="5914"/>
  <c r="AB123" i="5914"/>
  <c r="AA123" i="5914"/>
  <c r="Z123" i="5914"/>
  <c r="Y123" i="5914"/>
  <c r="X123" i="5914"/>
  <c r="W123" i="5914"/>
  <c r="V123" i="5914"/>
  <c r="U123" i="5914"/>
  <c r="T123" i="5914"/>
  <c r="S123" i="5914"/>
  <c r="R123" i="5914"/>
  <c r="Q123" i="5914"/>
  <c r="P123" i="5914"/>
  <c r="O123" i="5914"/>
  <c r="N123" i="5914"/>
  <c r="M123" i="5914"/>
  <c r="L123" i="5914"/>
  <c r="K123" i="5914"/>
  <c r="J123" i="5914"/>
  <c r="I123" i="5914"/>
  <c r="H123" i="5914"/>
  <c r="G123" i="5914"/>
  <c r="F123" i="5914"/>
  <c r="E123" i="5914"/>
  <c r="AR122" i="5914"/>
  <c r="AQ122" i="5914"/>
  <c r="AP122" i="5914"/>
  <c r="AO122" i="5914"/>
  <c r="AN122" i="5914"/>
  <c r="AM122" i="5914"/>
  <c r="AL122" i="5914"/>
  <c r="AK122" i="5914"/>
  <c r="AJ122" i="5914"/>
  <c r="AI122" i="5914"/>
  <c r="AH122" i="5914"/>
  <c r="AG122" i="5914"/>
  <c r="AF122" i="5914"/>
  <c r="AE122" i="5914"/>
  <c r="AD122" i="5914"/>
  <c r="AC122" i="5914"/>
  <c r="AB122" i="5914"/>
  <c r="AA122" i="5914"/>
  <c r="AA127" i="5914" s="1"/>
  <c r="Z122" i="5914"/>
  <c r="Y122" i="5914"/>
  <c r="X122" i="5914"/>
  <c r="V122" i="5914"/>
  <c r="T122" i="5914"/>
  <c r="S122" i="5914"/>
  <c r="R122" i="5914"/>
  <c r="Q122" i="5914"/>
  <c r="P122" i="5914"/>
  <c r="O122" i="5914"/>
  <c r="N122" i="5914"/>
  <c r="M122" i="5914"/>
  <c r="L122" i="5914"/>
  <c r="K122" i="5914"/>
  <c r="J122" i="5914"/>
  <c r="I122" i="5914"/>
  <c r="H122" i="5914"/>
  <c r="G122" i="5914"/>
  <c r="F122" i="5914"/>
  <c r="E122" i="5914"/>
  <c r="AR121" i="5914"/>
  <c r="AQ121" i="5914"/>
  <c r="AP121" i="5914"/>
  <c r="AO121" i="5914"/>
  <c r="AO131" i="5914" s="1"/>
  <c r="AN121" i="5914"/>
  <c r="AM121" i="5914"/>
  <c r="AL121" i="5914"/>
  <c r="AK121" i="5914"/>
  <c r="AJ121" i="5914"/>
  <c r="AJ131" i="5914" s="1"/>
  <c r="AI121" i="5914"/>
  <c r="AH121" i="5914"/>
  <c r="AG121" i="5914"/>
  <c r="AF121" i="5914"/>
  <c r="AE121" i="5914"/>
  <c r="AD121" i="5914"/>
  <c r="AC121" i="5914"/>
  <c r="AC131" i="5914" s="1"/>
  <c r="AB121" i="5914"/>
  <c r="AA121" i="5914"/>
  <c r="Z121" i="5914"/>
  <c r="Z131" i="5914" s="1"/>
  <c r="Y121" i="5914"/>
  <c r="Y131" i="5914" s="1"/>
  <c r="X121" i="5914"/>
  <c r="W121" i="5914"/>
  <c r="V121" i="5914"/>
  <c r="U121" i="5914"/>
  <c r="T121" i="5914"/>
  <c r="S121" i="5914"/>
  <c r="R121" i="5914"/>
  <c r="Q121" i="5914"/>
  <c r="P121" i="5914"/>
  <c r="O121" i="5914"/>
  <c r="N121" i="5914"/>
  <c r="M121" i="5914"/>
  <c r="L121" i="5914"/>
  <c r="K121" i="5914"/>
  <c r="J121" i="5914"/>
  <c r="I121" i="5914"/>
  <c r="H121" i="5914"/>
  <c r="G121" i="5914"/>
  <c r="F121" i="5914"/>
  <c r="E121" i="5914"/>
  <c r="AR120" i="5914"/>
  <c r="AR131" i="5914" s="1"/>
  <c r="AQ120" i="5914"/>
  <c r="AP120" i="5914"/>
  <c r="AP131" i="5914" s="1"/>
  <c r="AO120" i="5914"/>
  <c r="AN120" i="5914"/>
  <c r="AN131" i="5914" s="1"/>
  <c r="AM120" i="5914"/>
  <c r="AM131" i="5914" s="1"/>
  <c r="AL120" i="5914"/>
  <c r="AK120" i="5914"/>
  <c r="AJ120" i="5914"/>
  <c r="AI120" i="5914"/>
  <c r="AI131" i="5914" s="1"/>
  <c r="AH120" i="5914"/>
  <c r="AG120" i="5914"/>
  <c r="AG131" i="5914" s="1"/>
  <c r="AF120" i="5914"/>
  <c r="AF131" i="5914" s="1"/>
  <c r="AE120" i="5914"/>
  <c r="AD120" i="5914"/>
  <c r="AD131" i="5914" s="1"/>
  <c r="AC120" i="5914"/>
  <c r="AB120" i="5914"/>
  <c r="AB131" i="5914" s="1"/>
  <c r="AA120" i="5914"/>
  <c r="AA131" i="5914" s="1"/>
  <c r="Z120" i="5914"/>
  <c r="Y120" i="5914"/>
  <c r="K120" i="5914"/>
  <c r="K131" i="5914" s="1"/>
  <c r="W118" i="5914"/>
  <c r="C118" i="5914"/>
  <c r="AR117" i="5914"/>
  <c r="AQ117" i="5914"/>
  <c r="AP117" i="5914"/>
  <c r="AO117" i="5914"/>
  <c r="AN117" i="5914"/>
  <c r="AM117" i="5914"/>
  <c r="AL117" i="5914"/>
  <c r="AK117" i="5914"/>
  <c r="AJ117" i="5914"/>
  <c r="AI117" i="5914"/>
  <c r="AH117" i="5914"/>
  <c r="AG117" i="5914"/>
  <c r="AF117" i="5914"/>
  <c r="AE117" i="5914"/>
  <c r="AD117" i="5914"/>
  <c r="AC117" i="5914"/>
  <c r="AB117" i="5914"/>
  <c r="AA117" i="5914"/>
  <c r="Z117" i="5914"/>
  <c r="Y117" i="5914"/>
  <c r="X117" i="5914"/>
  <c r="W117" i="5914"/>
  <c r="V117" i="5914"/>
  <c r="U117" i="5914"/>
  <c r="T117" i="5914"/>
  <c r="S117" i="5914"/>
  <c r="R117" i="5914"/>
  <c r="Q117" i="5914"/>
  <c r="P117" i="5914"/>
  <c r="O117" i="5914"/>
  <c r="N117" i="5914"/>
  <c r="N127" i="5914" s="1"/>
  <c r="M117" i="5914"/>
  <c r="L117" i="5914"/>
  <c r="K117" i="5914"/>
  <c r="J117" i="5914"/>
  <c r="I117" i="5914"/>
  <c r="H117" i="5914"/>
  <c r="G117" i="5914"/>
  <c r="F117" i="5914"/>
  <c r="E117" i="5914"/>
  <c r="AR116" i="5914"/>
  <c r="AQ116" i="5914"/>
  <c r="AP116" i="5914"/>
  <c r="AO116" i="5914"/>
  <c r="AN116" i="5914"/>
  <c r="AM116" i="5914"/>
  <c r="AL116" i="5914"/>
  <c r="AK116" i="5914"/>
  <c r="AJ116" i="5914"/>
  <c r="AI116" i="5914"/>
  <c r="AH116" i="5914"/>
  <c r="AG116" i="5914"/>
  <c r="AF116" i="5914"/>
  <c r="AE116" i="5914"/>
  <c r="AD116" i="5914"/>
  <c r="AC116" i="5914"/>
  <c r="AB116" i="5914"/>
  <c r="AA116" i="5914"/>
  <c r="Z116" i="5914"/>
  <c r="Y116" i="5914"/>
  <c r="X116" i="5914"/>
  <c r="W116" i="5914"/>
  <c r="V116" i="5914"/>
  <c r="U116" i="5914"/>
  <c r="T116" i="5914"/>
  <c r="S116" i="5914"/>
  <c r="R116" i="5914"/>
  <c r="Q116" i="5914"/>
  <c r="P116" i="5914"/>
  <c r="O116" i="5914"/>
  <c r="N116" i="5914"/>
  <c r="M116" i="5914"/>
  <c r="L116" i="5914"/>
  <c r="K116" i="5914"/>
  <c r="J116" i="5914"/>
  <c r="I116" i="5914"/>
  <c r="H116" i="5914"/>
  <c r="G116" i="5914"/>
  <c r="F116" i="5914"/>
  <c r="E116" i="5914"/>
  <c r="C116" i="5914"/>
  <c r="AH115" i="5914"/>
  <c r="AA115" i="5914"/>
  <c r="AA118" i="5914" s="1"/>
  <c r="Y115" i="5914"/>
  <c r="Y118" i="5914" s="1"/>
  <c r="W115" i="5914"/>
  <c r="V115" i="5914"/>
  <c r="V118" i="5914" s="1"/>
  <c r="N115" i="5914"/>
  <c r="L115" i="5914"/>
  <c r="L118" i="5914" s="1"/>
  <c r="L145" i="5914" s="1"/>
  <c r="K115" i="5914"/>
  <c r="K118" i="5914" s="1"/>
  <c r="K145" i="5914" s="1"/>
  <c r="I115" i="5914"/>
  <c r="I118" i="5914" s="1"/>
  <c r="I145" i="5914" s="1"/>
  <c r="C115" i="5914"/>
  <c r="D113" i="5914"/>
  <c r="D146" i="5914" s="1"/>
  <c r="AR109" i="5914"/>
  <c r="AQ109" i="5914"/>
  <c r="AP109" i="5914"/>
  <c r="AO109" i="5914"/>
  <c r="AN109" i="5914"/>
  <c r="AM109" i="5914"/>
  <c r="AL109" i="5914"/>
  <c r="AK109" i="5914"/>
  <c r="AJ109" i="5914"/>
  <c r="AI109" i="5914"/>
  <c r="AH109" i="5914"/>
  <c r="AG109" i="5914"/>
  <c r="AF109" i="5914"/>
  <c r="AE109" i="5914"/>
  <c r="AD109" i="5914"/>
  <c r="AC109" i="5914"/>
  <c r="AB109" i="5914"/>
  <c r="AA109" i="5914"/>
  <c r="Z109" i="5914"/>
  <c r="Y109" i="5914"/>
  <c r="X109" i="5914"/>
  <c r="W109" i="5914"/>
  <c r="V109" i="5914"/>
  <c r="U109" i="5914"/>
  <c r="U122" i="5914" s="1"/>
  <c r="T109" i="5914"/>
  <c r="T108" i="5914" s="1"/>
  <c r="S109" i="5914"/>
  <c r="R109" i="5914"/>
  <c r="R108" i="5914" s="1"/>
  <c r="Q109" i="5914"/>
  <c r="P109" i="5914"/>
  <c r="P108" i="5914" s="1"/>
  <c r="P124" i="5914" s="1"/>
  <c r="O109" i="5914"/>
  <c r="N109" i="5914"/>
  <c r="N108" i="5914" s="1"/>
  <c r="N124" i="5914" s="1"/>
  <c r="M109" i="5914"/>
  <c r="L109" i="5914"/>
  <c r="K109" i="5914"/>
  <c r="J109" i="5914"/>
  <c r="I109" i="5914"/>
  <c r="H109" i="5914"/>
  <c r="G109" i="5914"/>
  <c r="F109" i="5914"/>
  <c r="F108" i="5914" s="1"/>
  <c r="E109" i="5914"/>
  <c r="AR108" i="5914"/>
  <c r="AQ108" i="5914"/>
  <c r="AP108" i="5914"/>
  <c r="AO108" i="5914"/>
  <c r="AO124" i="5914" s="1"/>
  <c r="AN108" i="5914"/>
  <c r="AM108" i="5914"/>
  <c r="AL108" i="5914"/>
  <c r="AK108" i="5914"/>
  <c r="AJ108" i="5914"/>
  <c r="AJ124" i="5914" s="1"/>
  <c r="AI108" i="5914"/>
  <c r="AH108" i="5914"/>
  <c r="AG108" i="5914"/>
  <c r="AG124" i="5914" s="1"/>
  <c r="AF108" i="5914"/>
  <c r="AE108" i="5914"/>
  <c r="AD108" i="5914"/>
  <c r="AC108" i="5914"/>
  <c r="AC124" i="5914" s="1"/>
  <c r="AB108" i="5914"/>
  <c r="AA108" i="5914"/>
  <c r="Z108" i="5914"/>
  <c r="Y108" i="5914"/>
  <c r="X108" i="5914"/>
  <c r="V108" i="5914"/>
  <c r="U108" i="5914"/>
  <c r="S108" i="5914"/>
  <c r="M108" i="5914"/>
  <c r="M124" i="5914" s="1"/>
  <c r="L108" i="5914"/>
  <c r="K108" i="5914"/>
  <c r="J108" i="5914"/>
  <c r="I108" i="5914"/>
  <c r="I124" i="5914" s="1"/>
  <c r="H108" i="5914"/>
  <c r="G108" i="5914"/>
  <c r="D108" i="5914"/>
  <c r="AR107" i="5914"/>
  <c r="AQ107" i="5914"/>
  <c r="AQ125" i="5914" s="1"/>
  <c r="AP107" i="5914"/>
  <c r="AO107" i="5914"/>
  <c r="AN107" i="5914"/>
  <c r="AN125" i="5914" s="1"/>
  <c r="AM107" i="5914"/>
  <c r="AM125" i="5914" s="1"/>
  <c r="AL107" i="5914"/>
  <c r="AL125" i="5914" s="1"/>
  <c r="AK107" i="5914"/>
  <c r="AK125" i="5914" s="1"/>
  <c r="AJ107" i="5914"/>
  <c r="AJ125" i="5914" s="1"/>
  <c r="AI107" i="5914"/>
  <c r="AH107" i="5914"/>
  <c r="AG107" i="5914"/>
  <c r="AF107" i="5914"/>
  <c r="AE107" i="5914"/>
  <c r="AE125" i="5914" s="1"/>
  <c r="AD107" i="5914"/>
  <c r="AC107" i="5914"/>
  <c r="AC125" i="5914" s="1"/>
  <c r="AB107" i="5914"/>
  <c r="AB125" i="5914" s="1"/>
  <c r="AA107" i="5914"/>
  <c r="AA125" i="5914" s="1"/>
  <c r="Z107" i="5914"/>
  <c r="Z125" i="5914" s="1"/>
  <c r="Y107" i="5914"/>
  <c r="Y125" i="5914" s="1"/>
  <c r="Y126" i="5914" s="1"/>
  <c r="X107" i="5914"/>
  <c r="X125" i="5914" s="1"/>
  <c r="W107" i="5914"/>
  <c r="W125" i="5914" s="1"/>
  <c r="V107" i="5914"/>
  <c r="U107" i="5914"/>
  <c r="T107" i="5914"/>
  <c r="S107" i="5914"/>
  <c r="R107" i="5914"/>
  <c r="Q107" i="5914"/>
  <c r="P107" i="5914"/>
  <c r="P125" i="5914" s="1"/>
  <c r="O107" i="5914"/>
  <c r="O125" i="5914" s="1"/>
  <c r="N107" i="5914"/>
  <c r="N125" i="5914" s="1"/>
  <c r="M107" i="5914"/>
  <c r="M125" i="5914" s="1"/>
  <c r="L107" i="5914"/>
  <c r="L125" i="5914" s="1"/>
  <c r="K107" i="5914"/>
  <c r="K125" i="5914" s="1"/>
  <c r="J107" i="5914"/>
  <c r="I107" i="5914"/>
  <c r="H107" i="5914"/>
  <c r="G107" i="5914"/>
  <c r="G125" i="5914" s="1"/>
  <c r="F107" i="5914"/>
  <c r="D107" i="5914"/>
  <c r="G106" i="5914"/>
  <c r="H106" i="5914" s="1"/>
  <c r="I106" i="5914" s="1"/>
  <c r="J106" i="5914" s="1"/>
  <c r="K106" i="5914" s="1"/>
  <c r="L106" i="5914" s="1"/>
  <c r="M106" i="5914" s="1"/>
  <c r="N106" i="5914" s="1"/>
  <c r="O106" i="5914" s="1"/>
  <c r="P106" i="5914" s="1"/>
  <c r="Q106" i="5914" s="1"/>
  <c r="R106" i="5914" s="1"/>
  <c r="S106" i="5914" s="1"/>
  <c r="T106" i="5914" s="1"/>
  <c r="U106" i="5914" s="1"/>
  <c r="V106" i="5914" s="1"/>
  <c r="W106" i="5914" s="1"/>
  <c r="X106" i="5914" s="1"/>
  <c r="Y106" i="5914" s="1"/>
  <c r="Z106" i="5914" s="1"/>
  <c r="AA106" i="5914" s="1"/>
  <c r="AB106" i="5914" s="1"/>
  <c r="AC106" i="5914" s="1"/>
  <c r="AD106" i="5914" s="1"/>
  <c r="AE106" i="5914" s="1"/>
  <c r="AF106" i="5914" s="1"/>
  <c r="AG106" i="5914" s="1"/>
  <c r="AH106" i="5914" s="1"/>
  <c r="AI106" i="5914" s="1"/>
  <c r="AJ106" i="5914" s="1"/>
  <c r="AK106" i="5914" s="1"/>
  <c r="AL106" i="5914" s="1"/>
  <c r="AM106" i="5914" s="1"/>
  <c r="AN106" i="5914" s="1"/>
  <c r="AO106" i="5914" s="1"/>
  <c r="AP106" i="5914" s="1"/>
  <c r="AQ106" i="5914" s="1"/>
  <c r="AR106" i="5914" s="1"/>
  <c r="E106" i="5914"/>
  <c r="F106" i="5914" s="1"/>
  <c r="E102" i="5914"/>
  <c r="C92" i="5914"/>
  <c r="D85" i="5914"/>
  <c r="D84" i="5914"/>
  <c r="D70" i="5914"/>
  <c r="D65" i="5914"/>
  <c r="D64" i="5914"/>
  <c r="D63" i="5914"/>
  <c r="C60" i="5914"/>
  <c r="D59" i="5914"/>
  <c r="C58" i="5914"/>
  <c r="D57" i="5914"/>
  <c r="C56" i="5914"/>
  <c r="D55" i="5914"/>
  <c r="C53" i="5914"/>
  <c r="D49" i="5914"/>
  <c r="C49" i="5914"/>
  <c r="D48" i="5914"/>
  <c r="E47" i="5914"/>
  <c r="D47" i="5914"/>
  <c r="E46" i="5914"/>
  <c r="D46" i="5914"/>
  <c r="E45" i="5914"/>
  <c r="D45" i="5914"/>
  <c r="C44" i="5914"/>
  <c r="C41" i="5914"/>
  <c r="C152" i="5914" s="1"/>
  <c r="D40" i="5914"/>
  <c r="C35" i="5914"/>
  <c r="C34" i="5914"/>
  <c r="C33" i="5914"/>
  <c r="AK115" i="5914" s="1"/>
  <c r="AK118" i="5914" s="1"/>
  <c r="C27" i="5914"/>
  <c r="C25" i="5914"/>
  <c r="D21" i="5914"/>
  <c r="E16" i="5914"/>
  <c r="D16" i="5914"/>
  <c r="E15" i="5914"/>
  <c r="D15" i="5914"/>
  <c r="E13" i="5914"/>
  <c r="D13" i="5914"/>
  <c r="E12" i="5914"/>
  <c r="D12" i="5914"/>
  <c r="C8" i="5914"/>
  <c r="D5" i="5914"/>
  <c r="A1" i="5914"/>
  <c r="D179" i="5913"/>
  <c r="C179" i="5913"/>
  <c r="D178" i="5913"/>
  <c r="C178" i="5913"/>
  <c r="D177" i="5913"/>
  <c r="C177" i="5913"/>
  <c r="B177" i="5913"/>
  <c r="D176" i="5913"/>
  <c r="C176" i="5913"/>
  <c r="B176" i="5913"/>
  <c r="D175" i="5913"/>
  <c r="C175" i="5913"/>
  <c r="B175" i="5913"/>
  <c r="D174" i="5913"/>
  <c r="C174" i="5913"/>
  <c r="B174" i="5913"/>
  <c r="D173" i="5913"/>
  <c r="C173" i="5913"/>
  <c r="B173" i="5913"/>
  <c r="D172" i="5913"/>
  <c r="C172" i="5913"/>
  <c r="B172" i="5913"/>
  <c r="D171" i="5913"/>
  <c r="C171" i="5913"/>
  <c r="D170" i="5913"/>
  <c r="C170" i="5913"/>
  <c r="D169" i="5913"/>
  <c r="C169" i="5913"/>
  <c r="D168" i="5913"/>
  <c r="C168" i="5913"/>
  <c r="D167" i="5913"/>
  <c r="C167" i="5913"/>
  <c r="D166" i="5913"/>
  <c r="C166" i="5913"/>
  <c r="D165" i="5913"/>
  <c r="D164" i="5913"/>
  <c r="C164" i="5913"/>
  <c r="C165" i="5913" s="1"/>
  <c r="D151" i="5913"/>
  <c r="AR147" i="5913"/>
  <c r="AQ147" i="5913"/>
  <c r="AP147" i="5913"/>
  <c r="AO147" i="5913"/>
  <c r="AN147" i="5913"/>
  <c r="AM147" i="5913"/>
  <c r="AL147" i="5913"/>
  <c r="AK147" i="5913"/>
  <c r="AJ147" i="5913"/>
  <c r="AI147" i="5913"/>
  <c r="AH147" i="5913"/>
  <c r="AG147" i="5913"/>
  <c r="AF147" i="5913"/>
  <c r="AE147" i="5913"/>
  <c r="AD147" i="5913"/>
  <c r="AC147" i="5913"/>
  <c r="AB147" i="5913"/>
  <c r="AA147" i="5913"/>
  <c r="Z147" i="5913"/>
  <c r="Y147" i="5913"/>
  <c r="X147" i="5913"/>
  <c r="W147" i="5913"/>
  <c r="V147" i="5913"/>
  <c r="U147" i="5913"/>
  <c r="T147" i="5913"/>
  <c r="AR145" i="5913"/>
  <c r="AQ145" i="5913"/>
  <c r="AP145" i="5913"/>
  <c r="AO145" i="5913"/>
  <c r="AN145" i="5913"/>
  <c r="AM145" i="5913"/>
  <c r="AL145" i="5913"/>
  <c r="AK145" i="5913"/>
  <c r="AJ145" i="5913"/>
  <c r="AI145" i="5913"/>
  <c r="AH145" i="5913"/>
  <c r="AG145" i="5913"/>
  <c r="AF145" i="5913"/>
  <c r="AE145" i="5913"/>
  <c r="AD145" i="5913"/>
  <c r="AC145" i="5913"/>
  <c r="AB145" i="5913"/>
  <c r="AA145" i="5913"/>
  <c r="Z145" i="5913"/>
  <c r="Y145" i="5913"/>
  <c r="X145" i="5913"/>
  <c r="W145" i="5913"/>
  <c r="V145" i="5913"/>
  <c r="U145" i="5913"/>
  <c r="T145" i="5913"/>
  <c r="C145" i="5913"/>
  <c r="AQ137" i="5913"/>
  <c r="AP137" i="5913"/>
  <c r="AE137" i="5913"/>
  <c r="AD137" i="5913"/>
  <c r="AC137" i="5913"/>
  <c r="AB137" i="5913"/>
  <c r="X137" i="5913"/>
  <c r="V137" i="5913"/>
  <c r="U137" i="5913"/>
  <c r="AR136" i="5913"/>
  <c r="AQ136" i="5913"/>
  <c r="AP136" i="5913"/>
  <c r="AO136" i="5913"/>
  <c r="AN136" i="5913"/>
  <c r="AN137" i="5913" s="1"/>
  <c r="AM136" i="5913"/>
  <c r="AL136" i="5913"/>
  <c r="AK136" i="5913"/>
  <c r="AJ136" i="5913"/>
  <c r="AI136" i="5913"/>
  <c r="AH136" i="5913"/>
  <c r="AH137" i="5913" s="1"/>
  <c r="AG136" i="5913"/>
  <c r="AG137" i="5913" s="1"/>
  <c r="AF136" i="5913"/>
  <c r="AE136" i="5913"/>
  <c r="AD136" i="5913"/>
  <c r="AC136" i="5913"/>
  <c r="AB136" i="5913"/>
  <c r="AA136" i="5913"/>
  <c r="Z136" i="5913"/>
  <c r="Y136" i="5913"/>
  <c r="X136" i="5913"/>
  <c r="W136" i="5913"/>
  <c r="V136" i="5913"/>
  <c r="U136" i="5913"/>
  <c r="T136" i="5913"/>
  <c r="AR135" i="5913"/>
  <c r="AR137" i="5913" s="1"/>
  <c r="AQ135" i="5913"/>
  <c r="AP135" i="5913"/>
  <c r="AO135" i="5913"/>
  <c r="AO137" i="5913" s="1"/>
  <c r="AN135" i="5913"/>
  <c r="AM135" i="5913"/>
  <c r="AM137" i="5913" s="1"/>
  <c r="AL135" i="5913"/>
  <c r="AL137" i="5913" s="1"/>
  <c r="AK135" i="5913"/>
  <c r="AJ135" i="5913"/>
  <c r="AJ137" i="5913" s="1"/>
  <c r="AI135" i="5913"/>
  <c r="AI137" i="5913" s="1"/>
  <c r="AH135" i="5913"/>
  <c r="AG135" i="5913"/>
  <c r="AF135" i="5913"/>
  <c r="AF137" i="5913" s="1"/>
  <c r="AE135" i="5913"/>
  <c r="AD135" i="5913"/>
  <c r="AC135" i="5913"/>
  <c r="AB135" i="5913"/>
  <c r="AA135" i="5913"/>
  <c r="AA137" i="5913" s="1"/>
  <c r="Z135" i="5913"/>
  <c r="Z137" i="5913" s="1"/>
  <c r="Y135" i="5913"/>
  <c r="X135" i="5913"/>
  <c r="W135" i="5913"/>
  <c r="W137" i="5913" s="1"/>
  <c r="V135" i="5913"/>
  <c r="U135" i="5913"/>
  <c r="T135" i="5913"/>
  <c r="T137" i="5913" s="1"/>
  <c r="AR134" i="5913"/>
  <c r="AQ134" i="5913"/>
  <c r="AP134" i="5913"/>
  <c r="AO134" i="5913"/>
  <c r="AN134" i="5913"/>
  <c r="AM134" i="5913"/>
  <c r="AL134" i="5913"/>
  <c r="AK134" i="5913"/>
  <c r="AJ134" i="5913"/>
  <c r="AI134" i="5913"/>
  <c r="AH134" i="5913"/>
  <c r="AG134" i="5913"/>
  <c r="AF134" i="5913"/>
  <c r="AE134" i="5913"/>
  <c r="AD134" i="5913"/>
  <c r="AC134" i="5913"/>
  <c r="AB134" i="5913"/>
  <c r="AA134" i="5913"/>
  <c r="Z134" i="5913"/>
  <c r="Y134" i="5913"/>
  <c r="AP131" i="5913"/>
  <c r="AK131" i="5913"/>
  <c r="AF131" i="5913"/>
  <c r="AD131" i="5913"/>
  <c r="Z131" i="5913"/>
  <c r="Y131" i="5913"/>
  <c r="AR125" i="5913"/>
  <c r="AN125" i="5913"/>
  <c r="AK125" i="5913"/>
  <c r="AJ125" i="5913"/>
  <c r="AI125" i="5913"/>
  <c r="AG125" i="5913"/>
  <c r="X125" i="5913"/>
  <c r="W125" i="5913"/>
  <c r="U125" i="5913"/>
  <c r="P125" i="5913"/>
  <c r="L125" i="5913"/>
  <c r="I125" i="5913"/>
  <c r="H125" i="5913"/>
  <c r="E125" i="5913"/>
  <c r="C125" i="5913"/>
  <c r="AQ124" i="5913"/>
  <c r="AO124" i="5913"/>
  <c r="AC124" i="5913"/>
  <c r="AA124" i="5913"/>
  <c r="P124" i="5913"/>
  <c r="M124" i="5913"/>
  <c r="G124" i="5913"/>
  <c r="E124" i="5913"/>
  <c r="C124" i="5913"/>
  <c r="AR123" i="5913"/>
  <c r="AQ123" i="5913"/>
  <c r="AP123" i="5913"/>
  <c r="AO123" i="5913"/>
  <c r="AN123" i="5913"/>
  <c r="AM123" i="5913"/>
  <c r="AL123" i="5913"/>
  <c r="AK123" i="5913"/>
  <c r="AJ123" i="5913"/>
  <c r="AI123" i="5913"/>
  <c r="AH123" i="5913"/>
  <c r="AG123" i="5913"/>
  <c r="AF123" i="5913"/>
  <c r="AE123" i="5913"/>
  <c r="AD123" i="5913"/>
  <c r="AC123" i="5913"/>
  <c r="AB123" i="5913"/>
  <c r="AA123" i="5913"/>
  <c r="Z123" i="5913"/>
  <c r="Y123" i="5913"/>
  <c r="X123" i="5913"/>
  <c r="W123" i="5913"/>
  <c r="V123" i="5913"/>
  <c r="U123" i="5913"/>
  <c r="T123" i="5913"/>
  <c r="S123" i="5913"/>
  <c r="R123" i="5913"/>
  <c r="Q123" i="5913"/>
  <c r="P123" i="5913"/>
  <c r="O123" i="5913"/>
  <c r="N123" i="5913"/>
  <c r="M123" i="5913"/>
  <c r="L123" i="5913"/>
  <c r="K123" i="5913"/>
  <c r="J123" i="5913"/>
  <c r="I123" i="5913"/>
  <c r="H123" i="5913"/>
  <c r="G123" i="5913"/>
  <c r="F123" i="5913"/>
  <c r="E123" i="5913"/>
  <c r="AR122" i="5913"/>
  <c r="AQ122" i="5913"/>
  <c r="AP122" i="5913"/>
  <c r="AO122" i="5913"/>
  <c r="AN122" i="5913"/>
  <c r="AM122" i="5913"/>
  <c r="AL122" i="5913"/>
  <c r="AK122" i="5913"/>
  <c r="AJ122" i="5913"/>
  <c r="AI122" i="5913"/>
  <c r="AH122" i="5913"/>
  <c r="AG122" i="5913"/>
  <c r="AF122" i="5913"/>
  <c r="AE122" i="5913"/>
  <c r="AD122" i="5913"/>
  <c r="AC122" i="5913"/>
  <c r="AB122" i="5913"/>
  <c r="AA122" i="5913"/>
  <c r="Z122" i="5913"/>
  <c r="Y122" i="5913"/>
  <c r="S122" i="5913"/>
  <c r="R122" i="5913"/>
  <c r="Q122" i="5913"/>
  <c r="P122" i="5913"/>
  <c r="O122" i="5913"/>
  <c r="N122" i="5913"/>
  <c r="M122" i="5913"/>
  <c r="L122" i="5913"/>
  <c r="K122" i="5913"/>
  <c r="J122" i="5913"/>
  <c r="I122" i="5913"/>
  <c r="H122" i="5913"/>
  <c r="G122" i="5913"/>
  <c r="F122" i="5913"/>
  <c r="E122" i="5913"/>
  <c r="AR121" i="5913"/>
  <c r="AQ121" i="5913"/>
  <c r="AP121" i="5913"/>
  <c r="AO121" i="5913"/>
  <c r="AO131" i="5913" s="1"/>
  <c r="AN121" i="5913"/>
  <c r="AN131" i="5913" s="1"/>
  <c r="AM121" i="5913"/>
  <c r="AM131" i="5913" s="1"/>
  <c r="AL121" i="5913"/>
  <c r="AL131" i="5913" s="1"/>
  <c r="AK121" i="5913"/>
  <c r="AJ121" i="5913"/>
  <c r="AI121" i="5913"/>
  <c r="AH121" i="5913"/>
  <c r="AG121" i="5913"/>
  <c r="AF121" i="5913"/>
  <c r="AE121" i="5913"/>
  <c r="AD121" i="5913"/>
  <c r="AC121" i="5913"/>
  <c r="AC131" i="5913" s="1"/>
  <c r="AB121" i="5913"/>
  <c r="AB131" i="5913" s="1"/>
  <c r="AA121" i="5913"/>
  <c r="AA131" i="5913" s="1"/>
  <c r="Z121" i="5913"/>
  <c r="Y121" i="5913"/>
  <c r="X121" i="5913"/>
  <c r="W121" i="5913"/>
  <c r="V121" i="5913"/>
  <c r="U121" i="5913"/>
  <c r="T121" i="5913"/>
  <c r="S121" i="5913"/>
  <c r="R121" i="5913"/>
  <c r="Q121" i="5913"/>
  <c r="P121" i="5913"/>
  <c r="O121" i="5913"/>
  <c r="N121" i="5913"/>
  <c r="M121" i="5913"/>
  <c r="L121" i="5913"/>
  <c r="K121" i="5913"/>
  <c r="J121" i="5913"/>
  <c r="I121" i="5913"/>
  <c r="H121" i="5913"/>
  <c r="G121" i="5913"/>
  <c r="F121" i="5913"/>
  <c r="E121" i="5913"/>
  <c r="AR120" i="5913"/>
  <c r="AR131" i="5913" s="1"/>
  <c r="AQ120" i="5913"/>
  <c r="AQ131" i="5913" s="1"/>
  <c r="AP120" i="5913"/>
  <c r="AO120" i="5913"/>
  <c r="AN120" i="5913"/>
  <c r="AM120" i="5913"/>
  <c r="AL120" i="5913"/>
  <c r="AK120" i="5913"/>
  <c r="AJ120" i="5913"/>
  <c r="AJ131" i="5913" s="1"/>
  <c r="AI120" i="5913"/>
  <c r="AI131" i="5913" s="1"/>
  <c r="AH120" i="5913"/>
  <c r="AH131" i="5913" s="1"/>
  <c r="AG120" i="5913"/>
  <c r="AG131" i="5913" s="1"/>
  <c r="AF120" i="5913"/>
  <c r="AE120" i="5913"/>
  <c r="AE131" i="5913" s="1"/>
  <c r="AD120" i="5913"/>
  <c r="AC120" i="5913"/>
  <c r="AB120" i="5913"/>
  <c r="AA120" i="5913"/>
  <c r="Z120" i="5913"/>
  <c r="Y120" i="5913"/>
  <c r="C118" i="5913"/>
  <c r="AR117" i="5913"/>
  <c r="AQ117" i="5913"/>
  <c r="AP117" i="5913"/>
  <c r="AO117" i="5913"/>
  <c r="AN117" i="5913"/>
  <c r="AM117" i="5913"/>
  <c r="AL117" i="5913"/>
  <c r="AK117" i="5913"/>
  <c r="AJ117" i="5913"/>
  <c r="AI117" i="5913"/>
  <c r="AH117" i="5913"/>
  <c r="AG117" i="5913"/>
  <c r="AF117" i="5913"/>
  <c r="AE117" i="5913"/>
  <c r="AD117" i="5913"/>
  <c r="AC117" i="5913"/>
  <c r="AB117" i="5913"/>
  <c r="AA117" i="5913"/>
  <c r="Z117" i="5913"/>
  <c r="Y117" i="5913"/>
  <c r="X117" i="5913"/>
  <c r="W117" i="5913"/>
  <c r="V117" i="5913"/>
  <c r="U117" i="5913"/>
  <c r="T117" i="5913"/>
  <c r="S117" i="5913"/>
  <c r="R117" i="5913"/>
  <c r="Q117" i="5913"/>
  <c r="P117" i="5913"/>
  <c r="O117" i="5913"/>
  <c r="N117" i="5913"/>
  <c r="M117" i="5913"/>
  <c r="L117" i="5913"/>
  <c r="K117" i="5913"/>
  <c r="J117" i="5913"/>
  <c r="I117" i="5913"/>
  <c r="H117" i="5913"/>
  <c r="G117" i="5913"/>
  <c r="F117" i="5913"/>
  <c r="E117" i="5913"/>
  <c r="AR116" i="5913"/>
  <c r="AQ116" i="5913"/>
  <c r="AP116" i="5913"/>
  <c r="AO116" i="5913"/>
  <c r="AN116" i="5913"/>
  <c r="AM116" i="5913"/>
  <c r="AL116" i="5913"/>
  <c r="AK116" i="5913"/>
  <c r="AJ116" i="5913"/>
  <c r="AI116" i="5913"/>
  <c r="AH116" i="5913"/>
  <c r="AG116" i="5913"/>
  <c r="AF116" i="5913"/>
  <c r="AE116" i="5913"/>
  <c r="AD116" i="5913"/>
  <c r="AC116" i="5913"/>
  <c r="AB116" i="5913"/>
  <c r="AA116" i="5913"/>
  <c r="Z116" i="5913"/>
  <c r="Y116" i="5913"/>
  <c r="X116" i="5913"/>
  <c r="W116" i="5913"/>
  <c r="V116" i="5913"/>
  <c r="U116" i="5913"/>
  <c r="T116" i="5913"/>
  <c r="S116" i="5913"/>
  <c r="R116" i="5913"/>
  <c r="Q116" i="5913"/>
  <c r="P116" i="5913"/>
  <c r="O116" i="5913"/>
  <c r="N116" i="5913"/>
  <c r="M116" i="5913"/>
  <c r="L116" i="5913"/>
  <c r="K116" i="5913"/>
  <c r="J116" i="5913"/>
  <c r="I116" i="5913"/>
  <c r="H116" i="5913"/>
  <c r="G116" i="5913"/>
  <c r="F116" i="5913"/>
  <c r="E116" i="5913"/>
  <c r="C116" i="5913"/>
  <c r="AO115" i="5913"/>
  <c r="AL115" i="5913"/>
  <c r="AL118" i="5913" s="1"/>
  <c r="AJ115" i="5913"/>
  <c r="AJ118" i="5913" s="1"/>
  <c r="AJ126" i="5913" s="1"/>
  <c r="AF115" i="5913"/>
  <c r="Y115" i="5913"/>
  <c r="Y118" i="5913" s="1"/>
  <c r="U115" i="5913"/>
  <c r="U118" i="5913" s="1"/>
  <c r="R115" i="5913"/>
  <c r="R118" i="5913" s="1"/>
  <c r="R145" i="5913" s="1"/>
  <c r="Q115" i="5913"/>
  <c r="Q118" i="5913" s="1"/>
  <c r="Q145" i="5913" s="1"/>
  <c r="M115" i="5913"/>
  <c r="M127" i="5913" s="1"/>
  <c r="I115" i="5913"/>
  <c r="I118" i="5913" s="1"/>
  <c r="I145" i="5913" s="1"/>
  <c r="F115" i="5913"/>
  <c r="C115" i="5913"/>
  <c r="AR109" i="5913"/>
  <c r="AQ109" i="5913"/>
  <c r="AP109" i="5913"/>
  <c r="AO109" i="5913"/>
  <c r="AN109" i="5913"/>
  <c r="AM109" i="5913"/>
  <c r="AL109" i="5913"/>
  <c r="AK109" i="5913"/>
  <c r="AJ109" i="5913"/>
  <c r="AI109" i="5913"/>
  <c r="AH109" i="5913"/>
  <c r="AG109" i="5913"/>
  <c r="AF109" i="5913"/>
  <c r="AE109" i="5913"/>
  <c r="AD109" i="5913"/>
  <c r="AC109" i="5913"/>
  <c r="AB109" i="5913"/>
  <c r="AA109" i="5913"/>
  <c r="Z109" i="5913"/>
  <c r="Y109" i="5913"/>
  <c r="X109" i="5913"/>
  <c r="W109" i="5913"/>
  <c r="V109" i="5913"/>
  <c r="U109" i="5913"/>
  <c r="U108" i="5913" s="1"/>
  <c r="T109" i="5913"/>
  <c r="S109" i="5913"/>
  <c r="S108" i="5913" s="1"/>
  <c r="R109" i="5913"/>
  <c r="Q109" i="5913"/>
  <c r="P109" i="5913"/>
  <c r="O109" i="5913"/>
  <c r="N109" i="5913"/>
  <c r="M109" i="5913"/>
  <c r="L109" i="5913"/>
  <c r="K109" i="5913"/>
  <c r="J109" i="5913"/>
  <c r="I109" i="5913"/>
  <c r="I108" i="5913" s="1"/>
  <c r="H109" i="5913"/>
  <c r="H108" i="5913" s="1"/>
  <c r="H124" i="5913" s="1"/>
  <c r="G109" i="5913"/>
  <c r="F109" i="5913"/>
  <c r="E109" i="5913"/>
  <c r="AR108" i="5913"/>
  <c r="AR124" i="5913" s="1"/>
  <c r="AQ108" i="5913"/>
  <c r="AP108" i="5913"/>
  <c r="AP124" i="5913" s="1"/>
  <c r="AO108" i="5913"/>
  <c r="AN108" i="5913"/>
  <c r="AM108" i="5913"/>
  <c r="AM124" i="5913" s="1"/>
  <c r="AL108" i="5913"/>
  <c r="AL124" i="5913" s="1"/>
  <c r="AL128" i="5913" s="1"/>
  <c r="AK108" i="5913"/>
  <c r="AJ108" i="5913"/>
  <c r="AJ124" i="5913" s="1"/>
  <c r="AI108" i="5913"/>
  <c r="AH108" i="5913"/>
  <c r="AG108" i="5913"/>
  <c r="AG124" i="5913" s="1"/>
  <c r="AF108" i="5913"/>
  <c r="AF124" i="5913" s="1"/>
  <c r="AE108" i="5913"/>
  <c r="AD108" i="5913"/>
  <c r="AD124" i="5913" s="1"/>
  <c r="AC108" i="5913"/>
  <c r="AB108" i="5913"/>
  <c r="AA108" i="5913"/>
  <c r="Z108" i="5913"/>
  <c r="Z124" i="5913" s="1"/>
  <c r="Y108" i="5913"/>
  <c r="R108" i="5913"/>
  <c r="P108" i="5913"/>
  <c r="M108" i="5913"/>
  <c r="K108" i="5913"/>
  <c r="G108" i="5913"/>
  <c r="F108" i="5913"/>
  <c r="F124" i="5913" s="1"/>
  <c r="D108" i="5913"/>
  <c r="AR107" i="5913"/>
  <c r="AQ107" i="5913"/>
  <c r="AQ125" i="5913" s="1"/>
  <c r="AP107" i="5913"/>
  <c r="AP125" i="5913" s="1"/>
  <c r="AO107" i="5913"/>
  <c r="AO125" i="5913" s="1"/>
  <c r="AN107" i="5913"/>
  <c r="AM107" i="5913"/>
  <c r="AM125" i="5913" s="1"/>
  <c r="AL107" i="5913"/>
  <c r="AL125" i="5913" s="1"/>
  <c r="AL126" i="5913" s="1"/>
  <c r="AK107" i="5913"/>
  <c r="AJ107" i="5913"/>
  <c r="AI107" i="5913"/>
  <c r="AH107" i="5913"/>
  <c r="AH125" i="5913" s="1"/>
  <c r="AG107" i="5913"/>
  <c r="AF107" i="5913"/>
  <c r="AF125" i="5913" s="1"/>
  <c r="AE107" i="5913"/>
  <c r="AE125" i="5913" s="1"/>
  <c r="AD107" i="5913"/>
  <c r="AD125" i="5913" s="1"/>
  <c r="AC107" i="5913"/>
  <c r="AC125" i="5913" s="1"/>
  <c r="AB107" i="5913"/>
  <c r="AB125" i="5913" s="1"/>
  <c r="AA107" i="5913"/>
  <c r="AA125" i="5913" s="1"/>
  <c r="Z107" i="5913"/>
  <c r="Z125" i="5913" s="1"/>
  <c r="Y107" i="5913"/>
  <c r="Y125" i="5913" s="1"/>
  <c r="X107" i="5913"/>
  <c r="W107" i="5913"/>
  <c r="V107" i="5913"/>
  <c r="V125" i="5913" s="1"/>
  <c r="U107" i="5913"/>
  <c r="T107" i="5913"/>
  <c r="T125" i="5913" s="1"/>
  <c r="S107" i="5913"/>
  <c r="S125" i="5913" s="1"/>
  <c r="R107" i="5913"/>
  <c r="R125" i="5913" s="1"/>
  <c r="Q107" i="5913"/>
  <c r="Q125" i="5913" s="1"/>
  <c r="P107" i="5913"/>
  <c r="O107" i="5913"/>
  <c r="O125" i="5913" s="1"/>
  <c r="N107" i="5913"/>
  <c r="N125" i="5913" s="1"/>
  <c r="M107" i="5913"/>
  <c r="M125" i="5913" s="1"/>
  <c r="L107" i="5913"/>
  <c r="K107" i="5913"/>
  <c r="K125" i="5913" s="1"/>
  <c r="J107" i="5913"/>
  <c r="J125" i="5913" s="1"/>
  <c r="I107" i="5913"/>
  <c r="H107" i="5913"/>
  <c r="G107" i="5913"/>
  <c r="G125" i="5913" s="1"/>
  <c r="F107" i="5913"/>
  <c r="F125" i="5913" s="1"/>
  <c r="D107" i="5913"/>
  <c r="E106" i="5913"/>
  <c r="C92" i="5913"/>
  <c r="C154" i="5913" s="1"/>
  <c r="D85" i="5913"/>
  <c r="D84" i="5913"/>
  <c r="D70" i="5913"/>
  <c r="D65" i="5913"/>
  <c r="D64" i="5913"/>
  <c r="D63" i="5913"/>
  <c r="C60" i="5913"/>
  <c r="D59" i="5913"/>
  <c r="C58" i="5913"/>
  <c r="D57" i="5913"/>
  <c r="C56" i="5913"/>
  <c r="D55" i="5913"/>
  <c r="C53" i="5913"/>
  <c r="D49" i="5913"/>
  <c r="C49" i="5913"/>
  <c r="D48" i="5913"/>
  <c r="E47" i="5913"/>
  <c r="D47" i="5913"/>
  <c r="E46" i="5913"/>
  <c r="D46" i="5913"/>
  <c r="E45" i="5913"/>
  <c r="D45" i="5913"/>
  <c r="C44" i="5913"/>
  <c r="D43" i="5913"/>
  <c r="D39" i="5913"/>
  <c r="C35" i="5913"/>
  <c r="C34" i="5913"/>
  <c r="C33" i="5913"/>
  <c r="AQ115" i="5913" s="1"/>
  <c r="AQ118" i="5913" s="1"/>
  <c r="C27" i="5913"/>
  <c r="C25" i="5913"/>
  <c r="D21" i="5913"/>
  <c r="E16" i="5913"/>
  <c r="D16" i="5913"/>
  <c r="E15" i="5913"/>
  <c r="D15" i="5913"/>
  <c r="E13" i="5913"/>
  <c r="D13" i="5913"/>
  <c r="E12" i="5913"/>
  <c r="D12" i="5913"/>
  <c r="C8" i="5913"/>
  <c r="D26" i="5913" s="1"/>
  <c r="D5" i="5913"/>
  <c r="A1" i="5913"/>
  <c r="D179" i="5912"/>
  <c r="C179" i="5912"/>
  <c r="D178" i="5912"/>
  <c r="C178" i="5912"/>
  <c r="D177" i="5912"/>
  <c r="C177" i="5912"/>
  <c r="B177" i="5912"/>
  <c r="D176" i="5912"/>
  <c r="C176" i="5912"/>
  <c r="B176" i="5912"/>
  <c r="D175" i="5912"/>
  <c r="C175" i="5912"/>
  <c r="B175" i="5912"/>
  <c r="D174" i="5912"/>
  <c r="C174" i="5912"/>
  <c r="B174" i="5912"/>
  <c r="D173" i="5912"/>
  <c r="C173" i="5912"/>
  <c r="B173" i="5912"/>
  <c r="D172" i="5912"/>
  <c r="C172" i="5912"/>
  <c r="B172" i="5912"/>
  <c r="D171" i="5912"/>
  <c r="C171" i="5912"/>
  <c r="D170" i="5912"/>
  <c r="C170" i="5912"/>
  <c r="D169" i="5912"/>
  <c r="C169" i="5912"/>
  <c r="D168" i="5912"/>
  <c r="C168" i="5912"/>
  <c r="D167" i="5912"/>
  <c r="C167" i="5912"/>
  <c r="D166" i="5912"/>
  <c r="C166" i="5912"/>
  <c r="D165" i="5912"/>
  <c r="C165" i="5912"/>
  <c r="D164" i="5912"/>
  <c r="C164" i="5912"/>
  <c r="D151" i="5912"/>
  <c r="AR147" i="5912"/>
  <c r="AQ147" i="5912"/>
  <c r="AP147" i="5912"/>
  <c r="AO147" i="5912"/>
  <c r="AN147" i="5912"/>
  <c r="AM147" i="5912"/>
  <c r="AL147" i="5912"/>
  <c r="AK147" i="5912"/>
  <c r="AJ147" i="5912"/>
  <c r="AI147" i="5912"/>
  <c r="AH147" i="5912"/>
  <c r="AG147" i="5912"/>
  <c r="AF147" i="5912"/>
  <c r="AE147" i="5912"/>
  <c r="AD147" i="5912"/>
  <c r="AC147" i="5912"/>
  <c r="AB147" i="5912"/>
  <c r="AA147" i="5912"/>
  <c r="Z147" i="5912"/>
  <c r="Y147" i="5912"/>
  <c r="X147" i="5912"/>
  <c r="W147" i="5912"/>
  <c r="V147" i="5912"/>
  <c r="U147" i="5912"/>
  <c r="T147" i="5912"/>
  <c r="AR145" i="5912"/>
  <c r="AQ145" i="5912"/>
  <c r="AP145" i="5912"/>
  <c r="AO145" i="5912"/>
  <c r="AN145" i="5912"/>
  <c r="AM145" i="5912"/>
  <c r="AL145" i="5912"/>
  <c r="AK145" i="5912"/>
  <c r="AJ145" i="5912"/>
  <c r="AI145" i="5912"/>
  <c r="AH145" i="5912"/>
  <c r="AG145" i="5912"/>
  <c r="AF145" i="5912"/>
  <c r="AE145" i="5912"/>
  <c r="AD145" i="5912"/>
  <c r="AC145" i="5912"/>
  <c r="AB145" i="5912"/>
  <c r="AA145" i="5912"/>
  <c r="Z145" i="5912"/>
  <c r="Y145" i="5912"/>
  <c r="X145" i="5912"/>
  <c r="W145" i="5912"/>
  <c r="V145" i="5912"/>
  <c r="U145" i="5912"/>
  <c r="T145" i="5912"/>
  <c r="C145" i="5912"/>
  <c r="AP137" i="5912"/>
  <c r="AO137" i="5912"/>
  <c r="AM137" i="5912"/>
  <c r="AK137" i="5912"/>
  <c r="AJ137" i="5912"/>
  <c r="AD137" i="5912"/>
  <c r="AA137" i="5912"/>
  <c r="Y137" i="5912"/>
  <c r="AR136" i="5912"/>
  <c r="AQ136" i="5912"/>
  <c r="AP136" i="5912"/>
  <c r="AO136" i="5912"/>
  <c r="AN136" i="5912"/>
  <c r="AM136" i="5912"/>
  <c r="AL136" i="5912"/>
  <c r="AK136" i="5912"/>
  <c r="AJ136" i="5912"/>
  <c r="AI136" i="5912"/>
  <c r="AH136" i="5912"/>
  <c r="AG136" i="5912"/>
  <c r="AF136" i="5912"/>
  <c r="AE136" i="5912"/>
  <c r="AD136" i="5912"/>
  <c r="AC136" i="5912"/>
  <c r="AC137" i="5912" s="1"/>
  <c r="AB136" i="5912"/>
  <c r="AA136" i="5912"/>
  <c r="Z136" i="5912"/>
  <c r="Y136" i="5912"/>
  <c r="X136" i="5912"/>
  <c r="X137" i="5912" s="1"/>
  <c r="W136" i="5912"/>
  <c r="V136" i="5912"/>
  <c r="U136" i="5912"/>
  <c r="T136" i="5912"/>
  <c r="AR135" i="5912"/>
  <c r="AR137" i="5912" s="1"/>
  <c r="AQ135" i="5912"/>
  <c r="AQ137" i="5912" s="1"/>
  <c r="AP135" i="5912"/>
  <c r="AO135" i="5912"/>
  <c r="AN135" i="5912"/>
  <c r="AN137" i="5912" s="1"/>
  <c r="AM135" i="5912"/>
  <c r="AL135" i="5912"/>
  <c r="AL137" i="5912" s="1"/>
  <c r="AK135" i="5912"/>
  <c r="AJ135" i="5912"/>
  <c r="AI135" i="5912"/>
  <c r="AI137" i="5912" s="1"/>
  <c r="AH135" i="5912"/>
  <c r="AG135" i="5912"/>
  <c r="AG137" i="5912" s="1"/>
  <c r="AF135" i="5912"/>
  <c r="AF137" i="5912" s="1"/>
  <c r="AE135" i="5912"/>
  <c r="AE137" i="5912" s="1"/>
  <c r="AD135" i="5912"/>
  <c r="AC135" i="5912"/>
  <c r="AB135" i="5912"/>
  <c r="AB137" i="5912" s="1"/>
  <c r="AA135" i="5912"/>
  <c r="Z135" i="5912"/>
  <c r="Z137" i="5912" s="1"/>
  <c r="Y135" i="5912"/>
  <c r="X135" i="5912"/>
  <c r="W135" i="5912"/>
  <c r="W137" i="5912" s="1"/>
  <c r="V135" i="5912"/>
  <c r="U135" i="5912"/>
  <c r="U137" i="5912" s="1"/>
  <c r="T135" i="5912"/>
  <c r="T137" i="5912" s="1"/>
  <c r="AR134" i="5912"/>
  <c r="AQ134" i="5912"/>
  <c r="AP134" i="5912"/>
  <c r="AO134" i="5912"/>
  <c r="AN134" i="5912"/>
  <c r="AM134" i="5912"/>
  <c r="AL134" i="5912"/>
  <c r="AK134" i="5912"/>
  <c r="AJ134" i="5912"/>
  <c r="AI134" i="5912"/>
  <c r="AH134" i="5912"/>
  <c r="AG134" i="5912"/>
  <c r="AF134" i="5912"/>
  <c r="AE134" i="5912"/>
  <c r="AD134" i="5912"/>
  <c r="AC134" i="5912"/>
  <c r="AB134" i="5912"/>
  <c r="AA134" i="5912"/>
  <c r="Z134" i="5912"/>
  <c r="Y134" i="5912"/>
  <c r="AL131" i="5912"/>
  <c r="AK131" i="5912"/>
  <c r="AG131" i="5912"/>
  <c r="AR125" i="5912"/>
  <c r="AP125" i="5912"/>
  <c r="AO125" i="5912"/>
  <c r="AJ125" i="5912"/>
  <c r="AG125" i="5912"/>
  <c r="AF125" i="5912"/>
  <c r="AC125" i="5912"/>
  <c r="V125" i="5912"/>
  <c r="U125" i="5912"/>
  <c r="T125" i="5912"/>
  <c r="S125" i="5912"/>
  <c r="Q125" i="5912"/>
  <c r="P125" i="5912"/>
  <c r="H125" i="5912"/>
  <c r="E125" i="5912"/>
  <c r="C125" i="5912"/>
  <c r="AO124" i="5912"/>
  <c r="AM124" i="5912"/>
  <c r="AL124" i="5912"/>
  <c r="AK124" i="5912"/>
  <c r="AG124" i="5912"/>
  <c r="AA124" i="5912"/>
  <c r="Y124" i="5912"/>
  <c r="U124" i="5912"/>
  <c r="K124" i="5912"/>
  <c r="E124" i="5912"/>
  <c r="C124" i="5912"/>
  <c r="AR123" i="5912"/>
  <c r="AQ123" i="5912"/>
  <c r="AP123" i="5912"/>
  <c r="AO123" i="5912"/>
  <c r="AN123" i="5912"/>
  <c r="AM123" i="5912"/>
  <c r="AL123" i="5912"/>
  <c r="AK123" i="5912"/>
  <c r="AJ123" i="5912"/>
  <c r="AI123" i="5912"/>
  <c r="AH123" i="5912"/>
  <c r="AG123" i="5912"/>
  <c r="AF123" i="5912"/>
  <c r="AE123" i="5912"/>
  <c r="AD123" i="5912"/>
  <c r="AC123" i="5912"/>
  <c r="AB123" i="5912"/>
  <c r="AA123" i="5912"/>
  <c r="Z123" i="5912"/>
  <c r="Y123" i="5912"/>
  <c r="X123" i="5912"/>
  <c r="W123" i="5912"/>
  <c r="V123" i="5912"/>
  <c r="U123" i="5912"/>
  <c r="T123" i="5912"/>
  <c r="S123" i="5912"/>
  <c r="R123" i="5912"/>
  <c r="Q123" i="5912"/>
  <c r="P123" i="5912"/>
  <c r="O123" i="5912"/>
  <c r="N123" i="5912"/>
  <c r="M123" i="5912"/>
  <c r="L123" i="5912"/>
  <c r="K123" i="5912"/>
  <c r="J123" i="5912"/>
  <c r="I123" i="5912"/>
  <c r="H123" i="5912"/>
  <c r="G123" i="5912"/>
  <c r="F123" i="5912"/>
  <c r="E123" i="5912"/>
  <c r="AR122" i="5912"/>
  <c r="AQ122" i="5912"/>
  <c r="AP122" i="5912"/>
  <c r="AO122" i="5912"/>
  <c r="AN122" i="5912"/>
  <c r="AM122" i="5912"/>
  <c r="AL122" i="5912"/>
  <c r="AK122" i="5912"/>
  <c r="AJ122" i="5912"/>
  <c r="AI122" i="5912"/>
  <c r="AH122" i="5912"/>
  <c r="AG122" i="5912"/>
  <c r="AF122" i="5912"/>
  <c r="AE122" i="5912"/>
  <c r="AD122" i="5912"/>
  <c r="AC122" i="5912"/>
  <c r="AB122" i="5912"/>
  <c r="AA122" i="5912"/>
  <c r="Z122" i="5912"/>
  <c r="Y122" i="5912"/>
  <c r="X122" i="5912"/>
  <c r="W122" i="5912"/>
  <c r="U122" i="5912"/>
  <c r="S122" i="5912"/>
  <c r="R122" i="5912"/>
  <c r="Q122" i="5912"/>
  <c r="P122" i="5912"/>
  <c r="O122" i="5912"/>
  <c r="N122" i="5912"/>
  <c r="M122" i="5912"/>
  <c r="L122" i="5912"/>
  <c r="K122" i="5912"/>
  <c r="K127" i="5912" s="1"/>
  <c r="J122" i="5912"/>
  <c r="I122" i="5912"/>
  <c r="H122" i="5912"/>
  <c r="G122" i="5912"/>
  <c r="F122" i="5912"/>
  <c r="E122" i="5912"/>
  <c r="AR121" i="5912"/>
  <c r="AQ121" i="5912"/>
  <c r="AP121" i="5912"/>
  <c r="AO121" i="5912"/>
  <c r="AN121" i="5912"/>
  <c r="AN131" i="5912" s="1"/>
  <c r="AM121" i="5912"/>
  <c r="AL121" i="5912"/>
  <c r="AK121" i="5912"/>
  <c r="AJ121" i="5912"/>
  <c r="AJ131" i="5912" s="1"/>
  <c r="AI121" i="5912"/>
  <c r="AI131" i="5912" s="1"/>
  <c r="AH121" i="5912"/>
  <c r="AG121" i="5912"/>
  <c r="AF121" i="5912"/>
  <c r="AE121" i="5912"/>
  <c r="AD121" i="5912"/>
  <c r="AC121" i="5912"/>
  <c r="AB121" i="5912"/>
  <c r="AB131" i="5912" s="1"/>
  <c r="AA121" i="5912"/>
  <c r="Z121" i="5912"/>
  <c r="Y121" i="5912"/>
  <c r="Y131" i="5912" s="1"/>
  <c r="X121" i="5912"/>
  <c r="W121" i="5912"/>
  <c r="V121" i="5912"/>
  <c r="U121" i="5912"/>
  <c r="T121" i="5912"/>
  <c r="S121" i="5912"/>
  <c r="R121" i="5912"/>
  <c r="Q121" i="5912"/>
  <c r="P121" i="5912"/>
  <c r="O121" i="5912"/>
  <c r="N121" i="5912"/>
  <c r="M121" i="5912"/>
  <c r="L121" i="5912"/>
  <c r="K121" i="5912"/>
  <c r="J121" i="5912"/>
  <c r="I121" i="5912"/>
  <c r="H121" i="5912"/>
  <c r="G121" i="5912"/>
  <c r="F121" i="5912"/>
  <c r="E121" i="5912"/>
  <c r="AR120" i="5912"/>
  <c r="AR131" i="5912" s="1"/>
  <c r="AQ120" i="5912"/>
  <c r="AQ131" i="5912" s="1"/>
  <c r="AP120" i="5912"/>
  <c r="AO120" i="5912"/>
  <c r="AO131" i="5912" s="1"/>
  <c r="AN120" i="5912"/>
  <c r="AM120" i="5912"/>
  <c r="AM131" i="5912" s="1"/>
  <c r="AL120" i="5912"/>
  <c r="AK120" i="5912"/>
  <c r="AJ120" i="5912"/>
  <c r="AI120" i="5912"/>
  <c r="AH120" i="5912"/>
  <c r="AH131" i="5912" s="1"/>
  <c r="AG120" i="5912"/>
  <c r="AF120" i="5912"/>
  <c r="AF131" i="5912" s="1"/>
  <c r="AE120" i="5912"/>
  <c r="AE131" i="5912" s="1"/>
  <c r="AD120" i="5912"/>
  <c r="AC120" i="5912"/>
  <c r="AC131" i="5912" s="1"/>
  <c r="AB120" i="5912"/>
  <c r="AA120" i="5912"/>
  <c r="AA131" i="5912" s="1"/>
  <c r="Z120" i="5912"/>
  <c r="Z131" i="5912" s="1"/>
  <c r="Y120" i="5912"/>
  <c r="C118" i="5912"/>
  <c r="AR117" i="5912"/>
  <c r="AQ117" i="5912"/>
  <c r="AP117" i="5912"/>
  <c r="AO117" i="5912"/>
  <c r="AN117" i="5912"/>
  <c r="AM117" i="5912"/>
  <c r="AL117" i="5912"/>
  <c r="AK117" i="5912"/>
  <c r="AJ117" i="5912"/>
  <c r="AI117" i="5912"/>
  <c r="AH117" i="5912"/>
  <c r="AG117" i="5912"/>
  <c r="AF117" i="5912"/>
  <c r="AE117" i="5912"/>
  <c r="AD117" i="5912"/>
  <c r="AC117" i="5912"/>
  <c r="AB117" i="5912"/>
  <c r="AA117" i="5912"/>
  <c r="Z117" i="5912"/>
  <c r="Y117" i="5912"/>
  <c r="X117" i="5912"/>
  <c r="W117" i="5912"/>
  <c r="V117" i="5912"/>
  <c r="U117" i="5912"/>
  <c r="T117" i="5912"/>
  <c r="S117" i="5912"/>
  <c r="R117" i="5912"/>
  <c r="Q117" i="5912"/>
  <c r="P117" i="5912"/>
  <c r="O117" i="5912"/>
  <c r="N117" i="5912"/>
  <c r="M117" i="5912"/>
  <c r="L117" i="5912"/>
  <c r="K117" i="5912"/>
  <c r="J117" i="5912"/>
  <c r="I117" i="5912"/>
  <c r="H117" i="5912"/>
  <c r="G117" i="5912"/>
  <c r="F117" i="5912"/>
  <c r="E117" i="5912"/>
  <c r="AR116" i="5912"/>
  <c r="AQ116" i="5912"/>
  <c r="AP116" i="5912"/>
  <c r="AO116" i="5912"/>
  <c r="AN116" i="5912"/>
  <c r="AM116" i="5912"/>
  <c r="AL116" i="5912"/>
  <c r="AK116" i="5912"/>
  <c r="AJ116" i="5912"/>
  <c r="AI116" i="5912"/>
  <c r="AH116" i="5912"/>
  <c r="AG116" i="5912"/>
  <c r="AF116" i="5912"/>
  <c r="AE116" i="5912"/>
  <c r="AD116" i="5912"/>
  <c r="AC116" i="5912"/>
  <c r="AB116" i="5912"/>
  <c r="AA116" i="5912"/>
  <c r="Z116" i="5912"/>
  <c r="Y116" i="5912"/>
  <c r="X116" i="5912"/>
  <c r="W116" i="5912"/>
  <c r="V116" i="5912"/>
  <c r="U116" i="5912"/>
  <c r="T116" i="5912"/>
  <c r="S116" i="5912"/>
  <c r="R116" i="5912"/>
  <c r="Q116" i="5912"/>
  <c r="P116" i="5912"/>
  <c r="O116" i="5912"/>
  <c r="N116" i="5912"/>
  <c r="M116" i="5912"/>
  <c r="L116" i="5912"/>
  <c r="K116" i="5912"/>
  <c r="J116" i="5912"/>
  <c r="I116" i="5912"/>
  <c r="H116" i="5912"/>
  <c r="G116" i="5912"/>
  <c r="F116" i="5912"/>
  <c r="E116" i="5912"/>
  <c r="C116" i="5912"/>
  <c r="AG115" i="5912"/>
  <c r="U115" i="5912"/>
  <c r="U118" i="5912" s="1"/>
  <c r="K115" i="5912"/>
  <c r="K118" i="5912" s="1"/>
  <c r="K145" i="5912" s="1"/>
  <c r="J115" i="5912"/>
  <c r="J118" i="5912" s="1"/>
  <c r="J145" i="5912" s="1"/>
  <c r="C115" i="5912"/>
  <c r="AR109" i="5912"/>
  <c r="AQ109" i="5912"/>
  <c r="AP109" i="5912"/>
  <c r="AO109" i="5912"/>
  <c r="AN109" i="5912"/>
  <c r="AM109" i="5912"/>
  <c r="AL109" i="5912"/>
  <c r="AK109" i="5912"/>
  <c r="AJ109" i="5912"/>
  <c r="AI109" i="5912"/>
  <c r="AH109" i="5912"/>
  <c r="AG109" i="5912"/>
  <c r="AF109" i="5912"/>
  <c r="AE109" i="5912"/>
  <c r="AD109" i="5912"/>
  <c r="AC109" i="5912"/>
  <c r="AB109" i="5912"/>
  <c r="AA109" i="5912"/>
  <c r="Z109" i="5912"/>
  <c r="Y109" i="5912"/>
  <c r="X109" i="5912"/>
  <c r="W109" i="5912"/>
  <c r="V109" i="5912"/>
  <c r="U109" i="5912"/>
  <c r="T109" i="5912"/>
  <c r="S109" i="5912"/>
  <c r="R109" i="5912"/>
  <c r="R108" i="5912" s="1"/>
  <c r="Q109" i="5912"/>
  <c r="P109" i="5912"/>
  <c r="P108" i="5912" s="1"/>
  <c r="P124" i="5912" s="1"/>
  <c r="O109" i="5912"/>
  <c r="N109" i="5912"/>
  <c r="M109" i="5912"/>
  <c r="M108" i="5912" s="1"/>
  <c r="M124" i="5912" s="1"/>
  <c r="L109" i="5912"/>
  <c r="K109" i="5912"/>
  <c r="J109" i="5912"/>
  <c r="I109" i="5912"/>
  <c r="H109" i="5912"/>
  <c r="H108" i="5912" s="1"/>
  <c r="H124" i="5912" s="1"/>
  <c r="G109" i="5912"/>
  <c r="F109" i="5912"/>
  <c r="E109" i="5912"/>
  <c r="AR108" i="5912"/>
  <c r="AR124" i="5912" s="1"/>
  <c r="AQ108" i="5912"/>
  <c r="AP108" i="5912"/>
  <c r="AO108" i="5912"/>
  <c r="AN108" i="5912"/>
  <c r="AN124" i="5912" s="1"/>
  <c r="AM108" i="5912"/>
  <c r="AL108" i="5912"/>
  <c r="AK108" i="5912"/>
  <c r="AJ108" i="5912"/>
  <c r="AI108" i="5912"/>
  <c r="AI124" i="5912" s="1"/>
  <c r="AH108" i="5912"/>
  <c r="AH124" i="5912" s="1"/>
  <c r="AG108" i="5912"/>
  <c r="AF108" i="5912"/>
  <c r="AF124" i="5912" s="1"/>
  <c r="AE108" i="5912"/>
  <c r="AD108" i="5912"/>
  <c r="AC108" i="5912"/>
  <c r="AB108" i="5912"/>
  <c r="AB124" i="5912" s="1"/>
  <c r="AA108" i="5912"/>
  <c r="Z108" i="5912"/>
  <c r="Z124" i="5912" s="1"/>
  <c r="Y108" i="5912"/>
  <c r="X108" i="5912"/>
  <c r="X124" i="5912" s="1"/>
  <c r="W108" i="5912"/>
  <c r="U108" i="5912"/>
  <c r="Q108" i="5912"/>
  <c r="O108" i="5912"/>
  <c r="N108" i="5912"/>
  <c r="N124" i="5912" s="1"/>
  <c r="L108" i="5912"/>
  <c r="K108" i="5912"/>
  <c r="J108" i="5912"/>
  <c r="J127" i="5912" s="1"/>
  <c r="I108" i="5912"/>
  <c r="I124" i="5912" s="1"/>
  <c r="F108" i="5912"/>
  <c r="D108" i="5912"/>
  <c r="AR107" i="5912"/>
  <c r="AQ107" i="5912"/>
  <c r="AQ125" i="5912" s="1"/>
  <c r="AP107" i="5912"/>
  <c r="AO107" i="5912"/>
  <c r="AN107" i="5912"/>
  <c r="AN125" i="5912" s="1"/>
  <c r="AM107" i="5912"/>
  <c r="AM125" i="5912" s="1"/>
  <c r="AL107" i="5912"/>
  <c r="AL125" i="5912" s="1"/>
  <c r="AK107" i="5912"/>
  <c r="AK125" i="5912" s="1"/>
  <c r="AJ107" i="5912"/>
  <c r="AI107" i="5912"/>
  <c r="AI125" i="5912" s="1"/>
  <c r="AH107" i="5912"/>
  <c r="AH125" i="5912" s="1"/>
  <c r="AG107" i="5912"/>
  <c r="AF107" i="5912"/>
  <c r="AE107" i="5912"/>
  <c r="AE125" i="5912" s="1"/>
  <c r="AD107" i="5912"/>
  <c r="AD125" i="5912" s="1"/>
  <c r="AC107" i="5912"/>
  <c r="AB107" i="5912"/>
  <c r="AB125" i="5912" s="1"/>
  <c r="AA107" i="5912"/>
  <c r="AA125" i="5912" s="1"/>
  <c r="Z107" i="5912"/>
  <c r="Z125" i="5912" s="1"/>
  <c r="Y107" i="5912"/>
  <c r="Y125" i="5912" s="1"/>
  <c r="X107" i="5912"/>
  <c r="X125" i="5912" s="1"/>
  <c r="W107" i="5912"/>
  <c r="W125" i="5912" s="1"/>
  <c r="V107" i="5912"/>
  <c r="U107" i="5912"/>
  <c r="T107" i="5912"/>
  <c r="S107" i="5912"/>
  <c r="R107" i="5912"/>
  <c r="R125" i="5912" s="1"/>
  <c r="Q107" i="5912"/>
  <c r="P107" i="5912"/>
  <c r="O107" i="5912"/>
  <c r="O125" i="5912" s="1"/>
  <c r="N107" i="5912"/>
  <c r="N125" i="5912" s="1"/>
  <c r="M107" i="5912"/>
  <c r="M125" i="5912" s="1"/>
  <c r="L107" i="5912"/>
  <c r="L125" i="5912" s="1"/>
  <c r="K107" i="5912"/>
  <c r="K125" i="5912" s="1"/>
  <c r="J107" i="5912"/>
  <c r="J125" i="5912" s="1"/>
  <c r="I107" i="5912"/>
  <c r="I125" i="5912" s="1"/>
  <c r="H107" i="5912"/>
  <c r="G107" i="5912"/>
  <c r="G125" i="5912" s="1"/>
  <c r="F107" i="5912"/>
  <c r="F125" i="5912" s="1"/>
  <c r="D107" i="5912"/>
  <c r="AA106" i="5912"/>
  <c r="AB106" i="5912" s="1"/>
  <c r="AC106" i="5912" s="1"/>
  <c r="AD106" i="5912" s="1"/>
  <c r="AE106" i="5912" s="1"/>
  <c r="AF106" i="5912" s="1"/>
  <c r="AG106" i="5912" s="1"/>
  <c r="AH106" i="5912" s="1"/>
  <c r="AI106" i="5912" s="1"/>
  <c r="AJ106" i="5912" s="1"/>
  <c r="AK106" i="5912" s="1"/>
  <c r="AL106" i="5912" s="1"/>
  <c r="AM106" i="5912" s="1"/>
  <c r="AN106" i="5912" s="1"/>
  <c r="AO106" i="5912" s="1"/>
  <c r="AP106" i="5912" s="1"/>
  <c r="AQ106" i="5912" s="1"/>
  <c r="AR106" i="5912" s="1"/>
  <c r="G106" i="5912"/>
  <c r="H106" i="5912" s="1"/>
  <c r="I106" i="5912" s="1"/>
  <c r="J106" i="5912" s="1"/>
  <c r="K106" i="5912" s="1"/>
  <c r="L106" i="5912" s="1"/>
  <c r="M106" i="5912" s="1"/>
  <c r="N106" i="5912" s="1"/>
  <c r="O106" i="5912" s="1"/>
  <c r="P106" i="5912" s="1"/>
  <c r="Q106" i="5912" s="1"/>
  <c r="R106" i="5912" s="1"/>
  <c r="S106" i="5912" s="1"/>
  <c r="T106" i="5912" s="1"/>
  <c r="U106" i="5912" s="1"/>
  <c r="V106" i="5912" s="1"/>
  <c r="W106" i="5912" s="1"/>
  <c r="X106" i="5912" s="1"/>
  <c r="Y106" i="5912" s="1"/>
  <c r="Z106" i="5912" s="1"/>
  <c r="E106" i="5912"/>
  <c r="F106" i="5912" s="1"/>
  <c r="C92" i="5912"/>
  <c r="D85" i="5912"/>
  <c r="D84" i="5912"/>
  <c r="D70" i="5912"/>
  <c r="D65" i="5912"/>
  <c r="D64" i="5912"/>
  <c r="D63" i="5912"/>
  <c r="C60" i="5912"/>
  <c r="D59" i="5912"/>
  <c r="C58" i="5912"/>
  <c r="D57" i="5912"/>
  <c r="C56" i="5912"/>
  <c r="D55" i="5912"/>
  <c r="C53" i="5912"/>
  <c r="D49" i="5912"/>
  <c r="C49" i="5912"/>
  <c r="D48" i="5912"/>
  <c r="E47" i="5912"/>
  <c r="D47" i="5912"/>
  <c r="E46" i="5912"/>
  <c r="D46" i="5912"/>
  <c r="E45" i="5912"/>
  <c r="D45" i="5912"/>
  <c r="C44" i="5912"/>
  <c r="D43" i="5912"/>
  <c r="C35" i="5912"/>
  <c r="C34" i="5912"/>
  <c r="V115" i="5912" s="1"/>
  <c r="V118" i="5912" s="1"/>
  <c r="V120" i="5912" s="1"/>
  <c r="V131" i="5912" s="1"/>
  <c r="C33" i="5912"/>
  <c r="D28" i="5912"/>
  <c r="C27" i="5912"/>
  <c r="C25" i="5912"/>
  <c r="E16" i="5912"/>
  <c r="D16" i="5912"/>
  <c r="E15" i="5912"/>
  <c r="D15" i="5912"/>
  <c r="E13" i="5912"/>
  <c r="D13" i="5912"/>
  <c r="E12" i="5912"/>
  <c r="D12" i="5912"/>
  <c r="C8" i="5912"/>
  <c r="D5" i="5912"/>
  <c r="A1" i="5912"/>
  <c r="D179" i="5911"/>
  <c r="C179" i="5911"/>
  <c r="D178" i="5911"/>
  <c r="C178" i="5911"/>
  <c r="D177" i="5911"/>
  <c r="C177" i="5911"/>
  <c r="B177" i="5911"/>
  <c r="D176" i="5911"/>
  <c r="C176" i="5911"/>
  <c r="B176" i="5911"/>
  <c r="D175" i="5911"/>
  <c r="C175" i="5911"/>
  <c r="B175" i="5911"/>
  <c r="D174" i="5911"/>
  <c r="C174" i="5911"/>
  <c r="B174" i="5911"/>
  <c r="D173" i="5911"/>
  <c r="B173" i="5911"/>
  <c r="D172" i="5911"/>
  <c r="C172" i="5911"/>
  <c r="C173" i="5911" s="1"/>
  <c r="B172" i="5911"/>
  <c r="D171" i="5911"/>
  <c r="C171" i="5911"/>
  <c r="D170" i="5911"/>
  <c r="C170" i="5911"/>
  <c r="D169" i="5911"/>
  <c r="C169" i="5911"/>
  <c r="D168" i="5911"/>
  <c r="C168" i="5911"/>
  <c r="D167" i="5911"/>
  <c r="C167" i="5911"/>
  <c r="D166" i="5911"/>
  <c r="C166" i="5911"/>
  <c r="D165" i="5911"/>
  <c r="C165" i="5911"/>
  <c r="D164" i="5911"/>
  <c r="C164" i="5911"/>
  <c r="C154" i="5911"/>
  <c r="C152" i="5911"/>
  <c r="D151" i="5911"/>
  <c r="AR147" i="5911"/>
  <c r="AQ147" i="5911"/>
  <c r="AP147" i="5911"/>
  <c r="AO147" i="5911"/>
  <c r="AN147" i="5911"/>
  <c r="AM147" i="5911"/>
  <c r="AL147" i="5911"/>
  <c r="AK147" i="5911"/>
  <c r="AJ147" i="5911"/>
  <c r="AI147" i="5911"/>
  <c r="AH147" i="5911"/>
  <c r="AG147" i="5911"/>
  <c r="AF147" i="5911"/>
  <c r="AE147" i="5911"/>
  <c r="AD147" i="5911"/>
  <c r="AC147" i="5911"/>
  <c r="AB147" i="5911"/>
  <c r="AA147" i="5911"/>
  <c r="Z147" i="5911"/>
  <c r="Y147" i="5911"/>
  <c r="X147" i="5911"/>
  <c r="W147" i="5911"/>
  <c r="V147" i="5911"/>
  <c r="U147" i="5911"/>
  <c r="T147" i="5911"/>
  <c r="AR145" i="5911"/>
  <c r="AQ145" i="5911"/>
  <c r="AP145" i="5911"/>
  <c r="AO145" i="5911"/>
  <c r="AN145" i="5911"/>
  <c r="AM145" i="5911"/>
  <c r="AL145" i="5911"/>
  <c r="AK145" i="5911"/>
  <c r="AJ145" i="5911"/>
  <c r="AI145" i="5911"/>
  <c r="AH145" i="5911"/>
  <c r="AG145" i="5911"/>
  <c r="AF145" i="5911"/>
  <c r="AE145" i="5911"/>
  <c r="AD145" i="5911"/>
  <c r="AC145" i="5911"/>
  <c r="AB145" i="5911"/>
  <c r="AA145" i="5911"/>
  <c r="Z145" i="5911"/>
  <c r="Y145" i="5911"/>
  <c r="X145" i="5911"/>
  <c r="W145" i="5911"/>
  <c r="V145" i="5911"/>
  <c r="U145" i="5911"/>
  <c r="T145" i="5911"/>
  <c r="C145" i="5911"/>
  <c r="AP137" i="5911"/>
  <c r="AN137" i="5911"/>
  <c r="AM137" i="5911"/>
  <c r="AI137" i="5911"/>
  <c r="AG137" i="5911"/>
  <c r="AD137" i="5911"/>
  <c r="AA137" i="5911"/>
  <c r="W137" i="5911"/>
  <c r="U137" i="5911"/>
  <c r="T137" i="5911"/>
  <c r="AR136" i="5911"/>
  <c r="AR137" i="5911" s="1"/>
  <c r="AQ136" i="5911"/>
  <c r="AP136" i="5911"/>
  <c r="AO136" i="5911"/>
  <c r="AN136" i="5911"/>
  <c r="AM136" i="5911"/>
  <c r="AL136" i="5911"/>
  <c r="AK136" i="5911"/>
  <c r="AK137" i="5911" s="1"/>
  <c r="AJ136" i="5911"/>
  <c r="AI136" i="5911"/>
  <c r="AH136" i="5911"/>
  <c r="AG136" i="5911"/>
  <c r="AF136" i="5911"/>
  <c r="AF137" i="5911" s="1"/>
  <c r="AE136" i="5911"/>
  <c r="AD136" i="5911"/>
  <c r="AC136" i="5911"/>
  <c r="AB136" i="5911"/>
  <c r="AA136" i="5911"/>
  <c r="Z136" i="5911"/>
  <c r="Y136" i="5911"/>
  <c r="Y137" i="5911" s="1"/>
  <c r="X136" i="5911"/>
  <c r="W136" i="5911"/>
  <c r="V136" i="5911"/>
  <c r="U136" i="5911"/>
  <c r="T136" i="5911"/>
  <c r="AR135" i="5911"/>
  <c r="AQ135" i="5911"/>
  <c r="AQ137" i="5911" s="1"/>
  <c r="AP135" i="5911"/>
  <c r="AO135" i="5911"/>
  <c r="AO137" i="5911" s="1"/>
  <c r="AN135" i="5911"/>
  <c r="AM135" i="5911"/>
  <c r="AL135" i="5911"/>
  <c r="AL137" i="5911" s="1"/>
  <c r="AK135" i="5911"/>
  <c r="AJ135" i="5911"/>
  <c r="AJ137" i="5911" s="1"/>
  <c r="AI135" i="5911"/>
  <c r="AH135" i="5911"/>
  <c r="AH137" i="5911" s="1"/>
  <c r="AG135" i="5911"/>
  <c r="AF135" i="5911"/>
  <c r="AE135" i="5911"/>
  <c r="AE137" i="5911" s="1"/>
  <c r="AD135" i="5911"/>
  <c r="AC135" i="5911"/>
  <c r="AC137" i="5911" s="1"/>
  <c r="AB135" i="5911"/>
  <c r="AB137" i="5911" s="1"/>
  <c r="AA135" i="5911"/>
  <c r="Z135" i="5911"/>
  <c r="Z137" i="5911" s="1"/>
  <c r="Y135" i="5911"/>
  <c r="X135" i="5911"/>
  <c r="X137" i="5911" s="1"/>
  <c r="W135" i="5911"/>
  <c r="V135" i="5911"/>
  <c r="V137" i="5911" s="1"/>
  <c r="U135" i="5911"/>
  <c r="T135" i="5911"/>
  <c r="AR134" i="5911"/>
  <c r="AQ134" i="5911"/>
  <c r="AP134" i="5911"/>
  <c r="AO134" i="5911"/>
  <c r="AN134" i="5911"/>
  <c r="AM134" i="5911"/>
  <c r="AL134" i="5911"/>
  <c r="AK134" i="5911"/>
  <c r="AJ134" i="5911"/>
  <c r="AI134" i="5911"/>
  <c r="AH134" i="5911"/>
  <c r="AG134" i="5911"/>
  <c r="AF134" i="5911"/>
  <c r="AE134" i="5911"/>
  <c r="AD134" i="5911"/>
  <c r="AC134" i="5911"/>
  <c r="AB134" i="5911"/>
  <c r="AA134" i="5911"/>
  <c r="Z134" i="5911"/>
  <c r="Y134" i="5911"/>
  <c r="K134" i="5911"/>
  <c r="AQ131" i="5911"/>
  <c r="AN131" i="5911"/>
  <c r="AM131" i="5911"/>
  <c r="AL131" i="5911"/>
  <c r="AJ131" i="5911"/>
  <c r="AB131" i="5911"/>
  <c r="AA131" i="5911"/>
  <c r="Z131" i="5911"/>
  <c r="AR125" i="5911"/>
  <c r="AM125" i="5911"/>
  <c r="AJ125" i="5911"/>
  <c r="AI125" i="5911"/>
  <c r="AH125" i="5911"/>
  <c r="AF125" i="5911"/>
  <c r="AE125" i="5911"/>
  <c r="AA125" i="5911"/>
  <c r="Y125" i="5911"/>
  <c r="X125" i="5911"/>
  <c r="W125" i="5911"/>
  <c r="V125" i="5911"/>
  <c r="T125" i="5911"/>
  <c r="S125" i="5911"/>
  <c r="O125" i="5911"/>
  <c r="M125" i="5911"/>
  <c r="L125" i="5911"/>
  <c r="K125" i="5911"/>
  <c r="J125" i="5911"/>
  <c r="H125" i="5911"/>
  <c r="G125" i="5911"/>
  <c r="E125" i="5911"/>
  <c r="C125" i="5911"/>
  <c r="AR124" i="5911"/>
  <c r="AP124" i="5911"/>
  <c r="AO124" i="5911"/>
  <c r="AN124" i="5911"/>
  <c r="AM124" i="5911"/>
  <c r="AF124" i="5911"/>
  <c r="AD124" i="5911"/>
  <c r="AC124" i="5911"/>
  <c r="AB124" i="5911"/>
  <c r="Q124" i="5911"/>
  <c r="P124" i="5911"/>
  <c r="O124" i="5911"/>
  <c r="M124" i="5911"/>
  <c r="E124" i="5911"/>
  <c r="C124" i="5911"/>
  <c r="AR123" i="5911"/>
  <c r="AQ123" i="5911"/>
  <c r="AP123" i="5911"/>
  <c r="AO123" i="5911"/>
  <c r="AN123" i="5911"/>
  <c r="AM123" i="5911"/>
  <c r="AL123" i="5911"/>
  <c r="AK123" i="5911"/>
  <c r="AJ123" i="5911"/>
  <c r="AI123" i="5911"/>
  <c r="AH123" i="5911"/>
  <c r="AG123" i="5911"/>
  <c r="AF123" i="5911"/>
  <c r="AE123" i="5911"/>
  <c r="AD123" i="5911"/>
  <c r="AC123" i="5911"/>
  <c r="AB123" i="5911"/>
  <c r="AA123" i="5911"/>
  <c r="Z123" i="5911"/>
  <c r="Y123" i="5911"/>
  <c r="X123" i="5911"/>
  <c r="W123" i="5911"/>
  <c r="V123" i="5911"/>
  <c r="U123" i="5911"/>
  <c r="T123" i="5911"/>
  <c r="S123" i="5911"/>
  <c r="R123" i="5911"/>
  <c r="Q123" i="5911"/>
  <c r="P123" i="5911"/>
  <c r="O123" i="5911"/>
  <c r="N123" i="5911"/>
  <c r="M123" i="5911"/>
  <c r="L123" i="5911"/>
  <c r="K123" i="5911"/>
  <c r="J123" i="5911"/>
  <c r="I123" i="5911"/>
  <c r="H123" i="5911"/>
  <c r="G123" i="5911"/>
  <c r="F123" i="5911"/>
  <c r="E123" i="5911"/>
  <c r="AR122" i="5911"/>
  <c r="AQ122" i="5911"/>
  <c r="AP122" i="5911"/>
  <c r="AO122" i="5911"/>
  <c r="AN122" i="5911"/>
  <c r="AM122" i="5911"/>
  <c r="AL122" i="5911"/>
  <c r="AK122" i="5911"/>
  <c r="AJ122" i="5911"/>
  <c r="AI122" i="5911"/>
  <c r="AH122" i="5911"/>
  <c r="AG122" i="5911"/>
  <c r="AF122" i="5911"/>
  <c r="AE122" i="5911"/>
  <c r="AD122" i="5911"/>
  <c r="AC122" i="5911"/>
  <c r="AB122" i="5911"/>
  <c r="AA122" i="5911"/>
  <c r="Z122" i="5911"/>
  <c r="Y122" i="5911"/>
  <c r="X122" i="5911"/>
  <c r="V122" i="5911"/>
  <c r="S122" i="5911"/>
  <c r="R122" i="5911"/>
  <c r="Q122" i="5911"/>
  <c r="P122" i="5911"/>
  <c r="O122" i="5911"/>
  <c r="N122" i="5911"/>
  <c r="M122" i="5911"/>
  <c r="L122" i="5911"/>
  <c r="K122" i="5911"/>
  <c r="J122" i="5911"/>
  <c r="I122" i="5911"/>
  <c r="H122" i="5911"/>
  <c r="G122" i="5911"/>
  <c r="F122" i="5911"/>
  <c r="E122" i="5911"/>
  <c r="AR121" i="5911"/>
  <c r="AQ121" i="5911"/>
  <c r="AP121" i="5911"/>
  <c r="AO121" i="5911"/>
  <c r="AN121" i="5911"/>
  <c r="AM121" i="5911"/>
  <c r="AL121" i="5911"/>
  <c r="AK121" i="5911"/>
  <c r="AJ121" i="5911"/>
  <c r="AI121" i="5911"/>
  <c r="AH121" i="5911"/>
  <c r="AG121" i="5911"/>
  <c r="AF121" i="5911"/>
  <c r="AE121" i="5911"/>
  <c r="AE131" i="5911" s="1"/>
  <c r="AD121" i="5911"/>
  <c r="AC121" i="5911"/>
  <c r="AB121" i="5911"/>
  <c r="AA121" i="5911"/>
  <c r="Z121" i="5911"/>
  <c r="Y121" i="5911"/>
  <c r="X121" i="5911"/>
  <c r="W121" i="5911"/>
  <c r="V121" i="5911"/>
  <c r="U121" i="5911"/>
  <c r="T121" i="5911"/>
  <c r="S121" i="5911"/>
  <c r="R121" i="5911"/>
  <c r="Q121" i="5911"/>
  <c r="P121" i="5911"/>
  <c r="O121" i="5911"/>
  <c r="N121" i="5911"/>
  <c r="M121" i="5911"/>
  <c r="L121" i="5911"/>
  <c r="K121" i="5911"/>
  <c r="J121" i="5911"/>
  <c r="I121" i="5911"/>
  <c r="H121" i="5911"/>
  <c r="G121" i="5911"/>
  <c r="F121" i="5911"/>
  <c r="E121" i="5911"/>
  <c r="AR120" i="5911"/>
  <c r="AR131" i="5911" s="1"/>
  <c r="AQ120" i="5911"/>
  <c r="AP120" i="5911"/>
  <c r="AO120" i="5911"/>
  <c r="AO131" i="5911" s="1"/>
  <c r="AN120" i="5911"/>
  <c r="AM120" i="5911"/>
  <c r="AL120" i="5911"/>
  <c r="AK120" i="5911"/>
  <c r="AJ120" i="5911"/>
  <c r="AI120" i="5911"/>
  <c r="AI131" i="5911" s="1"/>
  <c r="AH120" i="5911"/>
  <c r="AH131" i="5911" s="1"/>
  <c r="AG120" i="5911"/>
  <c r="AG131" i="5911" s="1"/>
  <c r="AF120" i="5911"/>
  <c r="AF131" i="5911" s="1"/>
  <c r="AE120" i="5911"/>
  <c r="AD120" i="5911"/>
  <c r="AC120" i="5911"/>
  <c r="AC131" i="5911" s="1"/>
  <c r="AB120" i="5911"/>
  <c r="AA120" i="5911"/>
  <c r="Z120" i="5911"/>
  <c r="Y120" i="5911"/>
  <c r="C118" i="5911"/>
  <c r="AR117" i="5911"/>
  <c r="AQ117" i="5911"/>
  <c r="AP117" i="5911"/>
  <c r="AO117" i="5911"/>
  <c r="AN117" i="5911"/>
  <c r="AM117" i="5911"/>
  <c r="AL117" i="5911"/>
  <c r="AK117" i="5911"/>
  <c r="AJ117" i="5911"/>
  <c r="AI117" i="5911"/>
  <c r="AH117" i="5911"/>
  <c r="AG117" i="5911"/>
  <c r="AF117" i="5911"/>
  <c r="AE117" i="5911"/>
  <c r="AD117" i="5911"/>
  <c r="AC117" i="5911"/>
  <c r="AB117" i="5911"/>
  <c r="AA117" i="5911"/>
  <c r="Z117" i="5911"/>
  <c r="Y117" i="5911"/>
  <c r="X117" i="5911"/>
  <c r="W117" i="5911"/>
  <c r="V117" i="5911"/>
  <c r="U117" i="5911"/>
  <c r="T117" i="5911"/>
  <c r="S117" i="5911"/>
  <c r="R117" i="5911"/>
  <c r="Q117" i="5911"/>
  <c r="P117" i="5911"/>
  <c r="O117" i="5911"/>
  <c r="N117" i="5911"/>
  <c r="M117" i="5911"/>
  <c r="L117" i="5911"/>
  <c r="K117" i="5911"/>
  <c r="J117" i="5911"/>
  <c r="I117" i="5911"/>
  <c r="H117" i="5911"/>
  <c r="G117" i="5911"/>
  <c r="F117" i="5911"/>
  <c r="E117" i="5911"/>
  <c r="AR116" i="5911"/>
  <c r="AQ116" i="5911"/>
  <c r="AP116" i="5911"/>
  <c r="AO116" i="5911"/>
  <c r="AN116" i="5911"/>
  <c r="AM116" i="5911"/>
  <c r="AL116" i="5911"/>
  <c r="AK116" i="5911"/>
  <c r="AJ116" i="5911"/>
  <c r="AI116" i="5911"/>
  <c r="AH116" i="5911"/>
  <c r="AG116" i="5911"/>
  <c r="AF116" i="5911"/>
  <c r="AE116" i="5911"/>
  <c r="AD116" i="5911"/>
  <c r="AC116" i="5911"/>
  <c r="AB116" i="5911"/>
  <c r="AA116" i="5911"/>
  <c r="Z116" i="5911"/>
  <c r="Y116" i="5911"/>
  <c r="X116" i="5911"/>
  <c r="W116" i="5911"/>
  <c r="V116" i="5911"/>
  <c r="U116" i="5911"/>
  <c r="T116" i="5911"/>
  <c r="S116" i="5911"/>
  <c r="R116" i="5911"/>
  <c r="Q116" i="5911"/>
  <c r="P116" i="5911"/>
  <c r="O116" i="5911"/>
  <c r="N116" i="5911"/>
  <c r="M116" i="5911"/>
  <c r="L116" i="5911"/>
  <c r="K116" i="5911"/>
  <c r="J116" i="5911"/>
  <c r="I116" i="5911"/>
  <c r="H116" i="5911"/>
  <c r="G116" i="5911"/>
  <c r="F116" i="5911"/>
  <c r="E116" i="5911"/>
  <c r="C116" i="5911"/>
  <c r="C115" i="5911"/>
  <c r="AR109" i="5911"/>
  <c r="AQ109" i="5911"/>
  <c r="AP109" i="5911"/>
  <c r="AO109" i="5911"/>
  <c r="AN109" i="5911"/>
  <c r="AM109" i="5911"/>
  <c r="AL109" i="5911"/>
  <c r="AK109" i="5911"/>
  <c r="AJ109" i="5911"/>
  <c r="AI109" i="5911"/>
  <c r="AH109" i="5911"/>
  <c r="AG109" i="5911"/>
  <c r="AF109" i="5911"/>
  <c r="AE109" i="5911"/>
  <c r="AD109" i="5911"/>
  <c r="AC109" i="5911"/>
  <c r="AB109" i="5911"/>
  <c r="AA109" i="5911"/>
  <c r="Z109" i="5911"/>
  <c r="Y109" i="5911"/>
  <c r="X109" i="5911"/>
  <c r="W109" i="5911"/>
  <c r="V109" i="5911"/>
  <c r="U109" i="5911"/>
  <c r="U122" i="5911" s="1"/>
  <c r="T109" i="5911"/>
  <c r="S109" i="5911"/>
  <c r="R109" i="5911"/>
  <c r="Q109" i="5911"/>
  <c r="P109" i="5911"/>
  <c r="O109" i="5911"/>
  <c r="N109" i="5911"/>
  <c r="M109" i="5911"/>
  <c r="L109" i="5911"/>
  <c r="K109" i="5911"/>
  <c r="K108" i="5911" s="1"/>
  <c r="J109" i="5911"/>
  <c r="I109" i="5911"/>
  <c r="H109" i="5911"/>
  <c r="G109" i="5911"/>
  <c r="F109" i="5911"/>
  <c r="E109" i="5911"/>
  <c r="AR108" i="5911"/>
  <c r="AQ108" i="5911"/>
  <c r="AQ124" i="5911" s="1"/>
  <c r="AP108" i="5911"/>
  <c r="AO108" i="5911"/>
  <c r="AN108" i="5911"/>
  <c r="AM108" i="5911"/>
  <c r="AL108" i="5911"/>
  <c r="AL124" i="5911" s="1"/>
  <c r="AK108" i="5911"/>
  <c r="AJ108" i="5911"/>
  <c r="AI108" i="5911"/>
  <c r="AI124" i="5911" s="1"/>
  <c r="AH108" i="5911"/>
  <c r="AG108" i="5911"/>
  <c r="AF108" i="5911"/>
  <c r="AE108" i="5911"/>
  <c r="AE124" i="5911" s="1"/>
  <c r="AD108" i="5911"/>
  <c r="AC108" i="5911"/>
  <c r="AB108" i="5911"/>
  <c r="AA108" i="5911"/>
  <c r="Z108" i="5911"/>
  <c r="Z124" i="5911" s="1"/>
  <c r="Y108" i="5911"/>
  <c r="X108" i="5911"/>
  <c r="X124" i="5911" s="1"/>
  <c r="V108" i="5911"/>
  <c r="U108" i="5911"/>
  <c r="S108" i="5911"/>
  <c r="S124" i="5911" s="1"/>
  <c r="Q108" i="5911"/>
  <c r="P108" i="5911"/>
  <c r="O108" i="5911"/>
  <c r="N108" i="5911"/>
  <c r="N124" i="5911" s="1"/>
  <c r="M108" i="5911"/>
  <c r="L108" i="5911"/>
  <c r="J108" i="5911"/>
  <c r="I108" i="5911"/>
  <c r="G108" i="5911"/>
  <c r="G124" i="5911" s="1"/>
  <c r="D108" i="5911"/>
  <c r="AR107" i="5911"/>
  <c r="AQ107" i="5911"/>
  <c r="AQ125" i="5911" s="1"/>
  <c r="AP107" i="5911"/>
  <c r="AP125" i="5911" s="1"/>
  <c r="AO107" i="5911"/>
  <c r="AO125" i="5911" s="1"/>
  <c r="AN107" i="5911"/>
  <c r="AN125" i="5911" s="1"/>
  <c r="AM107" i="5911"/>
  <c r="AL107" i="5911"/>
  <c r="AL125" i="5911" s="1"/>
  <c r="AK107" i="5911"/>
  <c r="AK125" i="5911" s="1"/>
  <c r="AJ107" i="5911"/>
  <c r="AI107" i="5911"/>
  <c r="AH107" i="5911"/>
  <c r="AG107" i="5911"/>
  <c r="AG125" i="5911" s="1"/>
  <c r="AF107" i="5911"/>
  <c r="AE107" i="5911"/>
  <c r="AD107" i="5911"/>
  <c r="AD125" i="5911" s="1"/>
  <c r="AC107" i="5911"/>
  <c r="AC125" i="5911" s="1"/>
  <c r="AB107" i="5911"/>
  <c r="AB125" i="5911" s="1"/>
  <c r="AA107" i="5911"/>
  <c r="Z107" i="5911"/>
  <c r="Z125" i="5911" s="1"/>
  <c r="Y107" i="5911"/>
  <c r="X107" i="5911"/>
  <c r="W107" i="5911"/>
  <c r="V107" i="5911"/>
  <c r="U107" i="5911"/>
  <c r="U125" i="5911" s="1"/>
  <c r="T107" i="5911"/>
  <c r="S107" i="5911"/>
  <c r="R107" i="5911"/>
  <c r="R125" i="5911" s="1"/>
  <c r="Q107" i="5911"/>
  <c r="Q125" i="5911" s="1"/>
  <c r="P107" i="5911"/>
  <c r="P125" i="5911" s="1"/>
  <c r="O107" i="5911"/>
  <c r="N107" i="5911"/>
  <c r="N125" i="5911" s="1"/>
  <c r="M107" i="5911"/>
  <c r="L107" i="5911"/>
  <c r="K107" i="5911"/>
  <c r="J107" i="5911"/>
  <c r="I107" i="5911"/>
  <c r="I125" i="5911" s="1"/>
  <c r="H107" i="5911"/>
  <c r="G107" i="5911"/>
  <c r="F107" i="5911"/>
  <c r="F125" i="5911" s="1"/>
  <c r="D107" i="5911"/>
  <c r="E106" i="5911"/>
  <c r="E102" i="5911" s="1"/>
  <c r="C92" i="5911"/>
  <c r="D85" i="5911"/>
  <c r="D84" i="5911"/>
  <c r="D70" i="5911"/>
  <c r="D65" i="5911"/>
  <c r="D64" i="5911"/>
  <c r="D63" i="5911"/>
  <c r="C60" i="5911"/>
  <c r="D59" i="5911"/>
  <c r="C58" i="5911"/>
  <c r="D57" i="5911"/>
  <c r="C56" i="5911"/>
  <c r="D55" i="5911"/>
  <c r="C53" i="5911"/>
  <c r="D49" i="5911"/>
  <c r="C49" i="5911"/>
  <c r="D48" i="5911"/>
  <c r="E47" i="5911"/>
  <c r="D47" i="5911"/>
  <c r="E46" i="5911"/>
  <c r="D46" i="5911"/>
  <c r="E45" i="5911"/>
  <c r="D45" i="5911"/>
  <c r="C44" i="5911"/>
  <c r="D43" i="5911"/>
  <c r="D42" i="5911"/>
  <c r="C41" i="5911"/>
  <c r="D40" i="5911"/>
  <c r="D39" i="5911"/>
  <c r="C35" i="5911"/>
  <c r="C34" i="5911"/>
  <c r="AM115" i="5911" s="1"/>
  <c r="AM118" i="5911" s="1"/>
  <c r="C33" i="5911"/>
  <c r="D28" i="5911"/>
  <c r="C27" i="5911"/>
  <c r="D26" i="5911"/>
  <c r="C25" i="5911"/>
  <c r="D21" i="5911"/>
  <c r="E16" i="5911"/>
  <c r="D16" i="5911"/>
  <c r="E15" i="5911"/>
  <c r="D15" i="5911"/>
  <c r="E13" i="5911"/>
  <c r="D13" i="5911"/>
  <c r="E12" i="5911"/>
  <c r="D12" i="5911"/>
  <c r="C8" i="5911"/>
  <c r="D5" i="5911"/>
  <c r="A1" i="5911"/>
  <c r="D179" i="5910"/>
  <c r="C179" i="5910"/>
  <c r="D178" i="5910"/>
  <c r="C178" i="5910"/>
  <c r="D177" i="5910"/>
  <c r="C177" i="5910"/>
  <c r="B177" i="5910"/>
  <c r="D176" i="5910"/>
  <c r="C176" i="5910"/>
  <c r="B176" i="5910"/>
  <c r="D175" i="5910"/>
  <c r="C175" i="5910"/>
  <c r="B175" i="5910"/>
  <c r="D174" i="5910"/>
  <c r="C174" i="5910"/>
  <c r="B174" i="5910"/>
  <c r="D173" i="5910"/>
  <c r="B173" i="5910"/>
  <c r="D172" i="5910"/>
  <c r="C172" i="5910"/>
  <c r="C173" i="5910" s="1"/>
  <c r="B172" i="5910"/>
  <c r="D171" i="5910"/>
  <c r="C171" i="5910"/>
  <c r="D170" i="5910"/>
  <c r="C170" i="5910"/>
  <c r="D169" i="5910"/>
  <c r="C169" i="5910"/>
  <c r="D168" i="5910"/>
  <c r="C168" i="5910"/>
  <c r="D167" i="5910"/>
  <c r="C167" i="5910"/>
  <c r="D166" i="5910"/>
  <c r="C166" i="5910"/>
  <c r="D165" i="5910"/>
  <c r="C165" i="5910"/>
  <c r="D164" i="5910"/>
  <c r="C164" i="5910"/>
  <c r="D151" i="5910"/>
  <c r="AR147" i="5910"/>
  <c r="AQ147" i="5910"/>
  <c r="AP147" i="5910"/>
  <c r="AO147" i="5910"/>
  <c r="AN147" i="5910"/>
  <c r="AM147" i="5910"/>
  <c r="AL147" i="5910"/>
  <c r="AK147" i="5910"/>
  <c r="AJ147" i="5910"/>
  <c r="AI147" i="5910"/>
  <c r="AH147" i="5910"/>
  <c r="AG147" i="5910"/>
  <c r="AF147" i="5910"/>
  <c r="AE147" i="5910"/>
  <c r="AD147" i="5910"/>
  <c r="AC147" i="5910"/>
  <c r="AB147" i="5910"/>
  <c r="AA147" i="5910"/>
  <c r="Z147" i="5910"/>
  <c r="Y147" i="5910"/>
  <c r="X147" i="5910"/>
  <c r="W147" i="5910"/>
  <c r="V147" i="5910"/>
  <c r="U147" i="5910"/>
  <c r="T147" i="5910"/>
  <c r="AR145" i="5910"/>
  <c r="AQ145" i="5910"/>
  <c r="AP145" i="5910"/>
  <c r="AO145" i="5910"/>
  <c r="AN145" i="5910"/>
  <c r="AM145" i="5910"/>
  <c r="AL145" i="5910"/>
  <c r="AK145" i="5910"/>
  <c r="AJ145" i="5910"/>
  <c r="AI145" i="5910"/>
  <c r="AH145" i="5910"/>
  <c r="AG145" i="5910"/>
  <c r="AF145" i="5910"/>
  <c r="AE145" i="5910"/>
  <c r="AD145" i="5910"/>
  <c r="AC145" i="5910"/>
  <c r="AB145" i="5910"/>
  <c r="AA145" i="5910"/>
  <c r="Z145" i="5910"/>
  <c r="Y145" i="5910"/>
  <c r="X145" i="5910"/>
  <c r="W145" i="5910"/>
  <c r="V145" i="5910"/>
  <c r="U145" i="5910"/>
  <c r="T145" i="5910"/>
  <c r="C145" i="5910"/>
  <c r="AP137" i="5910"/>
  <c r="AL137" i="5910"/>
  <c r="AJ137" i="5910"/>
  <c r="AI137" i="5910"/>
  <c r="AG137" i="5910"/>
  <c r="AE137" i="5910"/>
  <c r="AD137" i="5910"/>
  <c r="X137" i="5910"/>
  <c r="U137" i="5910"/>
  <c r="AR136" i="5910"/>
  <c r="AQ136" i="5910"/>
  <c r="AP136" i="5910"/>
  <c r="AO136" i="5910"/>
  <c r="AN136" i="5910"/>
  <c r="AM136" i="5910"/>
  <c r="AL136" i="5910"/>
  <c r="AK136" i="5910"/>
  <c r="AJ136" i="5910"/>
  <c r="AI136" i="5910"/>
  <c r="AH136" i="5910"/>
  <c r="AG136" i="5910"/>
  <c r="AF136" i="5910"/>
  <c r="AE136" i="5910"/>
  <c r="AD136" i="5910"/>
  <c r="AC136" i="5910"/>
  <c r="AB136" i="5910"/>
  <c r="AA136" i="5910"/>
  <c r="Z136" i="5910"/>
  <c r="Y136" i="5910"/>
  <c r="X136" i="5910"/>
  <c r="W136" i="5910"/>
  <c r="W137" i="5910" s="1"/>
  <c r="V136" i="5910"/>
  <c r="U136" i="5910"/>
  <c r="T136" i="5910"/>
  <c r="AR135" i="5910"/>
  <c r="AR137" i="5910" s="1"/>
  <c r="AQ135" i="5910"/>
  <c r="AQ137" i="5910" s="1"/>
  <c r="AP135" i="5910"/>
  <c r="AO135" i="5910"/>
  <c r="AO137" i="5910" s="1"/>
  <c r="AN135" i="5910"/>
  <c r="AN137" i="5910" s="1"/>
  <c r="AM135" i="5910"/>
  <c r="AL135" i="5910"/>
  <c r="AK135" i="5910"/>
  <c r="AK137" i="5910" s="1"/>
  <c r="AJ135" i="5910"/>
  <c r="AI135" i="5910"/>
  <c r="AH135" i="5910"/>
  <c r="AG135" i="5910"/>
  <c r="AF135" i="5910"/>
  <c r="AF137" i="5910" s="1"/>
  <c r="AE135" i="5910"/>
  <c r="AD135" i="5910"/>
  <c r="AC135" i="5910"/>
  <c r="AC137" i="5910" s="1"/>
  <c r="AB135" i="5910"/>
  <c r="AB137" i="5910" s="1"/>
  <c r="AA135" i="5910"/>
  <c r="Z135" i="5910"/>
  <c r="Z137" i="5910" s="1"/>
  <c r="Y135" i="5910"/>
  <c r="Y137" i="5910" s="1"/>
  <c r="X135" i="5910"/>
  <c r="W135" i="5910"/>
  <c r="V135" i="5910"/>
  <c r="U135" i="5910"/>
  <c r="T135" i="5910"/>
  <c r="T137" i="5910" s="1"/>
  <c r="AR134" i="5910"/>
  <c r="AQ134" i="5910"/>
  <c r="AP134" i="5910"/>
  <c r="AO134" i="5910"/>
  <c r="AN134" i="5910"/>
  <c r="AM134" i="5910"/>
  <c r="AL134" i="5910"/>
  <c r="AK134" i="5910"/>
  <c r="AJ134" i="5910"/>
  <c r="AI134" i="5910"/>
  <c r="AH134" i="5910"/>
  <c r="AG134" i="5910"/>
  <c r="AF134" i="5910"/>
  <c r="AE134" i="5910"/>
  <c r="AD134" i="5910"/>
  <c r="AC134" i="5910"/>
  <c r="AB134" i="5910"/>
  <c r="AA134" i="5910"/>
  <c r="Z134" i="5910"/>
  <c r="Y134" i="5910"/>
  <c r="U134" i="5910"/>
  <c r="N134" i="5910"/>
  <c r="K134" i="5910"/>
  <c r="F134" i="5910"/>
  <c r="AQ131" i="5910"/>
  <c r="AM131" i="5910"/>
  <c r="AA131" i="5910"/>
  <c r="AM125" i="5910"/>
  <c r="AL125" i="5910"/>
  <c r="AK125" i="5910"/>
  <c r="AI125" i="5910"/>
  <c r="AB125" i="5910"/>
  <c r="AA125" i="5910"/>
  <c r="Z125" i="5910"/>
  <c r="Y125" i="5910"/>
  <c r="W125" i="5910"/>
  <c r="P125" i="5910"/>
  <c r="O125" i="5910"/>
  <c r="N125" i="5910"/>
  <c r="M125" i="5910"/>
  <c r="K125" i="5910"/>
  <c r="E125" i="5910"/>
  <c r="C125" i="5910"/>
  <c r="AQ124" i="5910"/>
  <c r="AN124" i="5910"/>
  <c r="AI124" i="5910"/>
  <c r="AG124" i="5910"/>
  <c r="AE124" i="5910"/>
  <c r="AB124" i="5910"/>
  <c r="AA124" i="5910"/>
  <c r="S124" i="5910"/>
  <c r="K124" i="5910"/>
  <c r="I124" i="5910"/>
  <c r="G124" i="5910"/>
  <c r="F124" i="5910"/>
  <c r="E124" i="5910"/>
  <c r="C124" i="5910"/>
  <c r="AR123" i="5910"/>
  <c r="AQ123" i="5910"/>
  <c r="AP123" i="5910"/>
  <c r="AO123" i="5910"/>
  <c r="AN123" i="5910"/>
  <c r="AM123" i="5910"/>
  <c r="AL123" i="5910"/>
  <c r="AK123" i="5910"/>
  <c r="AJ123" i="5910"/>
  <c r="AI123" i="5910"/>
  <c r="AH123" i="5910"/>
  <c r="AG123" i="5910"/>
  <c r="AF123" i="5910"/>
  <c r="AE123" i="5910"/>
  <c r="AD123" i="5910"/>
  <c r="AC123" i="5910"/>
  <c r="AB123" i="5910"/>
  <c r="AA123" i="5910"/>
  <c r="Z123" i="5910"/>
  <c r="Y123" i="5910"/>
  <c r="X123" i="5910"/>
  <c r="W123" i="5910"/>
  <c r="V123" i="5910"/>
  <c r="U123" i="5910"/>
  <c r="T123" i="5910"/>
  <c r="S123" i="5910"/>
  <c r="R123" i="5910"/>
  <c r="Q123" i="5910"/>
  <c r="P123" i="5910"/>
  <c r="O123" i="5910"/>
  <c r="N123" i="5910"/>
  <c r="M123" i="5910"/>
  <c r="L123" i="5910"/>
  <c r="K123" i="5910"/>
  <c r="J123" i="5910"/>
  <c r="I123" i="5910"/>
  <c r="H123" i="5910"/>
  <c r="G123" i="5910"/>
  <c r="F123" i="5910"/>
  <c r="E123" i="5910"/>
  <c r="AR122" i="5910"/>
  <c r="AQ122" i="5910"/>
  <c r="AP122" i="5910"/>
  <c r="AO122" i="5910"/>
  <c r="AN122" i="5910"/>
  <c r="AM122" i="5910"/>
  <c r="AL122" i="5910"/>
  <c r="AK122" i="5910"/>
  <c r="AJ122" i="5910"/>
  <c r="AI122" i="5910"/>
  <c r="AH122" i="5910"/>
  <c r="AG122" i="5910"/>
  <c r="AF122" i="5910"/>
  <c r="AE122" i="5910"/>
  <c r="AD122" i="5910"/>
  <c r="AC122" i="5910"/>
  <c r="AB122" i="5910"/>
  <c r="AA122" i="5910"/>
  <c r="Z122" i="5910"/>
  <c r="Y122" i="5910"/>
  <c r="S122" i="5910"/>
  <c r="R122" i="5910"/>
  <c r="Q122" i="5910"/>
  <c r="P122" i="5910"/>
  <c r="O122" i="5910"/>
  <c r="N122" i="5910"/>
  <c r="M122" i="5910"/>
  <c r="L122" i="5910"/>
  <c r="K122" i="5910"/>
  <c r="J122" i="5910"/>
  <c r="I122" i="5910"/>
  <c r="H122" i="5910"/>
  <c r="G122" i="5910"/>
  <c r="F122" i="5910"/>
  <c r="E122" i="5910"/>
  <c r="AR121" i="5910"/>
  <c r="AQ121" i="5910"/>
  <c r="AP121" i="5910"/>
  <c r="AP131" i="5910" s="1"/>
  <c r="AO121" i="5910"/>
  <c r="AO131" i="5910" s="1"/>
  <c r="AN121" i="5910"/>
  <c r="AM121" i="5910"/>
  <c r="AL121" i="5910"/>
  <c r="AK121" i="5910"/>
  <c r="AJ121" i="5910"/>
  <c r="AI121" i="5910"/>
  <c r="AH121" i="5910"/>
  <c r="AH131" i="5910" s="1"/>
  <c r="AG121" i="5910"/>
  <c r="AF121" i="5910"/>
  <c r="AE121" i="5910"/>
  <c r="AE131" i="5910" s="1"/>
  <c r="AD121" i="5910"/>
  <c r="AD131" i="5910" s="1"/>
  <c r="AC121" i="5910"/>
  <c r="AC131" i="5910" s="1"/>
  <c r="AB121" i="5910"/>
  <c r="AA121" i="5910"/>
  <c r="Z121" i="5910"/>
  <c r="Y121" i="5910"/>
  <c r="X121" i="5910"/>
  <c r="W121" i="5910"/>
  <c r="V121" i="5910"/>
  <c r="U121" i="5910"/>
  <c r="T121" i="5910"/>
  <c r="S121" i="5910"/>
  <c r="R121" i="5910"/>
  <c r="Q121" i="5910"/>
  <c r="P121" i="5910"/>
  <c r="O121" i="5910"/>
  <c r="N121" i="5910"/>
  <c r="M121" i="5910"/>
  <c r="L121" i="5910"/>
  <c r="K121" i="5910"/>
  <c r="J121" i="5910"/>
  <c r="I121" i="5910"/>
  <c r="H121" i="5910"/>
  <c r="G121" i="5910"/>
  <c r="F121" i="5910"/>
  <c r="E121" i="5910"/>
  <c r="AR120" i="5910"/>
  <c r="AR131" i="5910" s="1"/>
  <c r="AQ120" i="5910"/>
  <c r="AP120" i="5910"/>
  <c r="AO120" i="5910"/>
  <c r="AN120" i="5910"/>
  <c r="AN131" i="5910" s="1"/>
  <c r="AM120" i="5910"/>
  <c r="AL120" i="5910"/>
  <c r="AL131" i="5910" s="1"/>
  <c r="AK120" i="5910"/>
  <c r="AK131" i="5910" s="1"/>
  <c r="AJ120" i="5910"/>
  <c r="AI120" i="5910"/>
  <c r="AI131" i="5910" s="1"/>
  <c r="AH120" i="5910"/>
  <c r="AG120" i="5910"/>
  <c r="AG131" i="5910" s="1"/>
  <c r="AF120" i="5910"/>
  <c r="AF131" i="5910" s="1"/>
  <c r="AE120" i="5910"/>
  <c r="AD120" i="5910"/>
  <c r="AC120" i="5910"/>
  <c r="AB120" i="5910"/>
  <c r="AB131" i="5910" s="1"/>
  <c r="AA120" i="5910"/>
  <c r="Z120" i="5910"/>
  <c r="Z131" i="5910" s="1"/>
  <c r="Y120" i="5910"/>
  <c r="Y131" i="5910" s="1"/>
  <c r="C118" i="5910"/>
  <c r="AR117" i="5910"/>
  <c r="AQ117" i="5910"/>
  <c r="AP117" i="5910"/>
  <c r="AO117" i="5910"/>
  <c r="AN117" i="5910"/>
  <c r="AM117" i="5910"/>
  <c r="AL117" i="5910"/>
  <c r="AK117" i="5910"/>
  <c r="AJ117" i="5910"/>
  <c r="AI117" i="5910"/>
  <c r="AH117" i="5910"/>
  <c r="AG117" i="5910"/>
  <c r="AF117" i="5910"/>
  <c r="AE117" i="5910"/>
  <c r="AD117" i="5910"/>
  <c r="AC117" i="5910"/>
  <c r="AB117" i="5910"/>
  <c r="AA117" i="5910"/>
  <c r="Z117" i="5910"/>
  <c r="Y117" i="5910"/>
  <c r="X117" i="5910"/>
  <c r="W117" i="5910"/>
  <c r="V117" i="5910"/>
  <c r="U117" i="5910"/>
  <c r="T117" i="5910"/>
  <c r="S117" i="5910"/>
  <c r="R117" i="5910"/>
  <c r="Q117" i="5910"/>
  <c r="P117" i="5910"/>
  <c r="O117" i="5910"/>
  <c r="N117" i="5910"/>
  <c r="M117" i="5910"/>
  <c r="L117" i="5910"/>
  <c r="K117" i="5910"/>
  <c r="J117" i="5910"/>
  <c r="I117" i="5910"/>
  <c r="H117" i="5910"/>
  <c r="G117" i="5910"/>
  <c r="F117" i="5910"/>
  <c r="E117" i="5910"/>
  <c r="AR116" i="5910"/>
  <c r="AQ116" i="5910"/>
  <c r="AP116" i="5910"/>
  <c r="AO116" i="5910"/>
  <c r="AN116" i="5910"/>
  <c r="AM116" i="5910"/>
  <c r="AL116" i="5910"/>
  <c r="AK116" i="5910"/>
  <c r="AJ116" i="5910"/>
  <c r="AI116" i="5910"/>
  <c r="AH116" i="5910"/>
  <c r="AG116" i="5910"/>
  <c r="AF116" i="5910"/>
  <c r="AE116" i="5910"/>
  <c r="AD116" i="5910"/>
  <c r="AC116" i="5910"/>
  <c r="AB116" i="5910"/>
  <c r="AA116" i="5910"/>
  <c r="Z116" i="5910"/>
  <c r="Y116" i="5910"/>
  <c r="X116" i="5910"/>
  <c r="W116" i="5910"/>
  <c r="V116" i="5910"/>
  <c r="U116" i="5910"/>
  <c r="T116" i="5910"/>
  <c r="S116" i="5910"/>
  <c r="R116" i="5910"/>
  <c r="Q116" i="5910"/>
  <c r="P116" i="5910"/>
  <c r="O116" i="5910"/>
  <c r="N116" i="5910"/>
  <c r="M116" i="5910"/>
  <c r="L116" i="5910"/>
  <c r="K116" i="5910"/>
  <c r="J116" i="5910"/>
  <c r="I116" i="5910"/>
  <c r="H116" i="5910"/>
  <c r="G116" i="5910"/>
  <c r="F116" i="5910"/>
  <c r="E116" i="5910"/>
  <c r="C116" i="5910"/>
  <c r="C115" i="5910"/>
  <c r="AR109" i="5910"/>
  <c r="AQ109" i="5910"/>
  <c r="AP109" i="5910"/>
  <c r="AO109" i="5910"/>
  <c r="AN109" i="5910"/>
  <c r="AM109" i="5910"/>
  <c r="AL109" i="5910"/>
  <c r="AK109" i="5910"/>
  <c r="AJ109" i="5910"/>
  <c r="AI109" i="5910"/>
  <c r="AH109" i="5910"/>
  <c r="AG109" i="5910"/>
  <c r="AF109" i="5910"/>
  <c r="AE109" i="5910"/>
  <c r="AD109" i="5910"/>
  <c r="AC109" i="5910"/>
  <c r="AB109" i="5910"/>
  <c r="AA109" i="5910"/>
  <c r="Z109" i="5910"/>
  <c r="Y109" i="5910"/>
  <c r="X109" i="5910"/>
  <c r="X122" i="5910" s="1"/>
  <c r="W109" i="5910"/>
  <c r="V109" i="5910"/>
  <c r="U109" i="5910"/>
  <c r="T109" i="5910"/>
  <c r="S109" i="5910"/>
  <c r="R109" i="5910"/>
  <c r="Q109" i="5910"/>
  <c r="P109" i="5910"/>
  <c r="O109" i="5910"/>
  <c r="N109" i="5910"/>
  <c r="N108" i="5910" s="1"/>
  <c r="N124" i="5910" s="1"/>
  <c r="M109" i="5910"/>
  <c r="L109" i="5910"/>
  <c r="L108" i="5910" s="1"/>
  <c r="K109" i="5910"/>
  <c r="K108" i="5910" s="1"/>
  <c r="J109" i="5910"/>
  <c r="I109" i="5910"/>
  <c r="I108" i="5910" s="1"/>
  <c r="H109" i="5910"/>
  <c r="H108" i="5910" s="1"/>
  <c r="G109" i="5910"/>
  <c r="F109" i="5910"/>
  <c r="E109" i="5910"/>
  <c r="AR108" i="5910"/>
  <c r="AQ108" i="5910"/>
  <c r="AP108" i="5910"/>
  <c r="AO108" i="5910"/>
  <c r="AO124" i="5910" s="1"/>
  <c r="AN108" i="5910"/>
  <c r="AM108" i="5910"/>
  <c r="AM124" i="5910" s="1"/>
  <c r="AL108" i="5910"/>
  <c r="AL124" i="5910" s="1"/>
  <c r="AK108" i="5910"/>
  <c r="AJ108" i="5910"/>
  <c r="AI108" i="5910"/>
  <c r="AH108" i="5910"/>
  <c r="AH124" i="5910" s="1"/>
  <c r="AG108" i="5910"/>
  <c r="AF108" i="5910"/>
  <c r="AF124" i="5910" s="1"/>
  <c r="AE108" i="5910"/>
  <c r="AD108" i="5910"/>
  <c r="AC108" i="5910"/>
  <c r="AC124" i="5910" s="1"/>
  <c r="AB108" i="5910"/>
  <c r="AA108" i="5910"/>
  <c r="Z108" i="5910"/>
  <c r="Z124" i="5910" s="1"/>
  <c r="Y108" i="5910"/>
  <c r="X108" i="5910"/>
  <c r="S108" i="5910"/>
  <c r="R108" i="5910"/>
  <c r="Q108" i="5910"/>
  <c r="Q124" i="5910" s="1"/>
  <c r="P108" i="5910"/>
  <c r="P124" i="5910" s="1"/>
  <c r="O108" i="5910"/>
  <c r="O124" i="5910" s="1"/>
  <c r="M108" i="5910"/>
  <c r="G108" i="5910"/>
  <c r="F108" i="5910"/>
  <c r="D108" i="5910"/>
  <c r="AR107" i="5910"/>
  <c r="AR125" i="5910" s="1"/>
  <c r="AQ107" i="5910"/>
  <c r="AQ125" i="5910" s="1"/>
  <c r="AP107" i="5910"/>
  <c r="AP125" i="5910" s="1"/>
  <c r="AO107" i="5910"/>
  <c r="AO125" i="5910" s="1"/>
  <c r="AN107" i="5910"/>
  <c r="AN125" i="5910" s="1"/>
  <c r="AM107" i="5910"/>
  <c r="AL107" i="5910"/>
  <c r="AK107" i="5910"/>
  <c r="AJ107" i="5910"/>
  <c r="AJ125" i="5910" s="1"/>
  <c r="AI107" i="5910"/>
  <c r="AH107" i="5910"/>
  <c r="AH125" i="5910" s="1"/>
  <c r="AG107" i="5910"/>
  <c r="AG125" i="5910" s="1"/>
  <c r="AF107" i="5910"/>
  <c r="AF125" i="5910" s="1"/>
  <c r="AE107" i="5910"/>
  <c r="AE125" i="5910" s="1"/>
  <c r="AD107" i="5910"/>
  <c r="AD125" i="5910" s="1"/>
  <c r="AC107" i="5910"/>
  <c r="AC125" i="5910" s="1"/>
  <c r="AB107" i="5910"/>
  <c r="AA107" i="5910"/>
  <c r="Z107" i="5910"/>
  <c r="Y107" i="5910"/>
  <c r="X107" i="5910"/>
  <c r="X125" i="5910" s="1"/>
  <c r="W107" i="5910"/>
  <c r="V107" i="5910"/>
  <c r="V125" i="5910" s="1"/>
  <c r="U107" i="5910"/>
  <c r="U125" i="5910" s="1"/>
  <c r="T107" i="5910"/>
  <c r="T125" i="5910" s="1"/>
  <c r="S107" i="5910"/>
  <c r="S125" i="5910" s="1"/>
  <c r="R107" i="5910"/>
  <c r="R125" i="5910" s="1"/>
  <c r="Q107" i="5910"/>
  <c r="Q125" i="5910" s="1"/>
  <c r="P107" i="5910"/>
  <c r="O107" i="5910"/>
  <c r="N107" i="5910"/>
  <c r="M107" i="5910"/>
  <c r="L107" i="5910"/>
  <c r="L125" i="5910" s="1"/>
  <c r="K107" i="5910"/>
  <c r="J107" i="5910"/>
  <c r="J125" i="5910" s="1"/>
  <c r="I107" i="5910"/>
  <c r="I125" i="5910" s="1"/>
  <c r="H107" i="5910"/>
  <c r="H125" i="5910" s="1"/>
  <c r="G107" i="5910"/>
  <c r="G125" i="5910" s="1"/>
  <c r="F107" i="5910"/>
  <c r="F125" i="5910" s="1"/>
  <c r="D107" i="5910"/>
  <c r="N106" i="5910"/>
  <c r="O106" i="5910" s="1"/>
  <c r="P106" i="5910" s="1"/>
  <c r="Q106" i="5910" s="1"/>
  <c r="R106" i="5910" s="1"/>
  <c r="S106" i="5910" s="1"/>
  <c r="T106" i="5910" s="1"/>
  <c r="U106" i="5910" s="1"/>
  <c r="V106" i="5910" s="1"/>
  <c r="W106" i="5910" s="1"/>
  <c r="X106" i="5910" s="1"/>
  <c r="Y106" i="5910" s="1"/>
  <c r="Z106" i="5910" s="1"/>
  <c r="AA106" i="5910" s="1"/>
  <c r="AB106" i="5910" s="1"/>
  <c r="AC106" i="5910" s="1"/>
  <c r="AD106" i="5910" s="1"/>
  <c r="AE106" i="5910" s="1"/>
  <c r="AF106" i="5910" s="1"/>
  <c r="AG106" i="5910" s="1"/>
  <c r="AH106" i="5910" s="1"/>
  <c r="AI106" i="5910" s="1"/>
  <c r="AJ106" i="5910" s="1"/>
  <c r="AK106" i="5910" s="1"/>
  <c r="AL106" i="5910" s="1"/>
  <c r="AM106" i="5910" s="1"/>
  <c r="AN106" i="5910" s="1"/>
  <c r="AO106" i="5910" s="1"/>
  <c r="AP106" i="5910" s="1"/>
  <c r="AQ106" i="5910" s="1"/>
  <c r="AR106" i="5910" s="1"/>
  <c r="I106" i="5910"/>
  <c r="J106" i="5910" s="1"/>
  <c r="K106" i="5910" s="1"/>
  <c r="L106" i="5910" s="1"/>
  <c r="M106" i="5910" s="1"/>
  <c r="H106" i="5910"/>
  <c r="E106" i="5910"/>
  <c r="F106" i="5910" s="1"/>
  <c r="G106" i="5910" s="1"/>
  <c r="E102" i="5910"/>
  <c r="C92" i="5910"/>
  <c r="C154" i="5910" s="1"/>
  <c r="D85" i="5910"/>
  <c r="D84" i="5910"/>
  <c r="D70" i="5910"/>
  <c r="D65" i="5910"/>
  <c r="D64" i="5910"/>
  <c r="D63" i="5910"/>
  <c r="C60" i="5910"/>
  <c r="D59" i="5910"/>
  <c r="C58" i="5910"/>
  <c r="D57" i="5910"/>
  <c r="C56" i="5910"/>
  <c r="D55" i="5910"/>
  <c r="C53" i="5910"/>
  <c r="D49" i="5910"/>
  <c r="C49" i="5910"/>
  <c r="D48" i="5910"/>
  <c r="E47" i="5910"/>
  <c r="D47" i="5910"/>
  <c r="E46" i="5910"/>
  <c r="D46" i="5910"/>
  <c r="E45" i="5910"/>
  <c r="D45" i="5910"/>
  <c r="C44" i="5910"/>
  <c r="D43" i="5910"/>
  <c r="D42" i="5910"/>
  <c r="C41" i="5910"/>
  <c r="C152" i="5910" s="1"/>
  <c r="D40" i="5910"/>
  <c r="C35" i="5910"/>
  <c r="C33" i="5910"/>
  <c r="C27" i="5910"/>
  <c r="D26" i="5910"/>
  <c r="C25" i="5910"/>
  <c r="D21" i="5910"/>
  <c r="E16" i="5910"/>
  <c r="D16" i="5910"/>
  <c r="E15" i="5910"/>
  <c r="D15" i="5910"/>
  <c r="E13" i="5910"/>
  <c r="D13" i="5910"/>
  <c r="E12" i="5910"/>
  <c r="D12" i="5910"/>
  <c r="C8" i="5910"/>
  <c r="D5" i="5910"/>
  <c r="A1" i="5910"/>
  <c r="D179" i="5909"/>
  <c r="C179" i="5909"/>
  <c r="D178" i="5909"/>
  <c r="C178" i="5909"/>
  <c r="D177" i="5909"/>
  <c r="C177" i="5909"/>
  <c r="B177" i="5909"/>
  <c r="D176" i="5909"/>
  <c r="C176" i="5909"/>
  <c r="B176" i="5909"/>
  <c r="D175" i="5909"/>
  <c r="C175" i="5909"/>
  <c r="B175" i="5909"/>
  <c r="D174" i="5909"/>
  <c r="C174" i="5909"/>
  <c r="B174" i="5909"/>
  <c r="D173" i="5909"/>
  <c r="C173" i="5909"/>
  <c r="B173" i="5909"/>
  <c r="D172" i="5909"/>
  <c r="C172" i="5909"/>
  <c r="B172" i="5909"/>
  <c r="D171" i="5909"/>
  <c r="C171" i="5909"/>
  <c r="D170" i="5909"/>
  <c r="C170" i="5909"/>
  <c r="D169" i="5909"/>
  <c r="D168" i="5909"/>
  <c r="C168" i="5909"/>
  <c r="C169" i="5909" s="1"/>
  <c r="D167" i="5909"/>
  <c r="C167" i="5909"/>
  <c r="D166" i="5909"/>
  <c r="C166" i="5909"/>
  <c r="D165" i="5909"/>
  <c r="D164" i="5909"/>
  <c r="C164" i="5909"/>
  <c r="C165" i="5909" s="1"/>
  <c r="D151" i="5909"/>
  <c r="AR147" i="5909"/>
  <c r="AQ147" i="5909"/>
  <c r="AP147" i="5909"/>
  <c r="AO147" i="5909"/>
  <c r="AN147" i="5909"/>
  <c r="AM147" i="5909"/>
  <c r="AL147" i="5909"/>
  <c r="AK147" i="5909"/>
  <c r="AJ147" i="5909"/>
  <c r="AI147" i="5909"/>
  <c r="AH147" i="5909"/>
  <c r="AG147" i="5909"/>
  <c r="AF147" i="5909"/>
  <c r="AE147" i="5909"/>
  <c r="AD147" i="5909"/>
  <c r="AC147" i="5909"/>
  <c r="AB147" i="5909"/>
  <c r="AA147" i="5909"/>
  <c r="Z147" i="5909"/>
  <c r="Y147" i="5909"/>
  <c r="X147" i="5909"/>
  <c r="W147" i="5909"/>
  <c r="V147" i="5909"/>
  <c r="U147" i="5909"/>
  <c r="T147" i="5909"/>
  <c r="AR145" i="5909"/>
  <c r="AQ145" i="5909"/>
  <c r="AP145" i="5909"/>
  <c r="AO145" i="5909"/>
  <c r="AN145" i="5909"/>
  <c r="AM145" i="5909"/>
  <c r="AL145" i="5909"/>
  <c r="AK145" i="5909"/>
  <c r="AJ145" i="5909"/>
  <c r="AI145" i="5909"/>
  <c r="AH145" i="5909"/>
  <c r="AG145" i="5909"/>
  <c r="AF145" i="5909"/>
  <c r="AE145" i="5909"/>
  <c r="AD145" i="5909"/>
  <c r="AC145" i="5909"/>
  <c r="AB145" i="5909"/>
  <c r="AA145" i="5909"/>
  <c r="Z145" i="5909"/>
  <c r="Y145" i="5909"/>
  <c r="X145" i="5909"/>
  <c r="W145" i="5909"/>
  <c r="V145" i="5909"/>
  <c r="U145" i="5909"/>
  <c r="T145" i="5909"/>
  <c r="C145" i="5909"/>
  <c r="AN137" i="5909"/>
  <c r="AM137" i="5909"/>
  <c r="AK137" i="5909"/>
  <c r="AH137" i="5909"/>
  <c r="AB137" i="5909"/>
  <c r="AA137" i="5909"/>
  <c r="Y137" i="5909"/>
  <c r="W137" i="5909"/>
  <c r="V137" i="5909"/>
  <c r="AR136" i="5909"/>
  <c r="AQ136" i="5909"/>
  <c r="AP136" i="5909"/>
  <c r="AO136" i="5909"/>
  <c r="AN136" i="5909"/>
  <c r="AM136" i="5909"/>
  <c r="AL136" i="5909"/>
  <c r="AK136" i="5909"/>
  <c r="AJ136" i="5909"/>
  <c r="AI136" i="5909"/>
  <c r="AH136" i="5909"/>
  <c r="AG136" i="5909"/>
  <c r="AF136" i="5909"/>
  <c r="AE136" i="5909"/>
  <c r="AD136" i="5909"/>
  <c r="AC136" i="5909"/>
  <c r="AB136" i="5909"/>
  <c r="AA136" i="5909"/>
  <c r="Z136" i="5909"/>
  <c r="Y136" i="5909"/>
  <c r="X136" i="5909"/>
  <c r="W136" i="5909"/>
  <c r="V136" i="5909"/>
  <c r="U136" i="5909"/>
  <c r="T136" i="5909"/>
  <c r="AR135" i="5909"/>
  <c r="AR137" i="5909" s="1"/>
  <c r="AQ135" i="5909"/>
  <c r="AP135" i="5909"/>
  <c r="AP137" i="5909" s="1"/>
  <c r="AO135" i="5909"/>
  <c r="AO137" i="5909" s="1"/>
  <c r="AN135" i="5909"/>
  <c r="AM135" i="5909"/>
  <c r="AL135" i="5909"/>
  <c r="AL137" i="5909" s="1"/>
  <c r="AK135" i="5909"/>
  <c r="AJ135" i="5909"/>
  <c r="AJ137" i="5909" s="1"/>
  <c r="AI135" i="5909"/>
  <c r="AI137" i="5909" s="1"/>
  <c r="AH135" i="5909"/>
  <c r="AG135" i="5909"/>
  <c r="AG137" i="5909" s="1"/>
  <c r="AF135" i="5909"/>
  <c r="AF137" i="5909" s="1"/>
  <c r="AE135" i="5909"/>
  <c r="AD135" i="5909"/>
  <c r="AC135" i="5909"/>
  <c r="AC137" i="5909" s="1"/>
  <c r="AB135" i="5909"/>
  <c r="AA135" i="5909"/>
  <c r="Z135" i="5909"/>
  <c r="Y135" i="5909"/>
  <c r="X135" i="5909"/>
  <c r="X137" i="5909" s="1"/>
  <c r="W135" i="5909"/>
  <c r="V135" i="5909"/>
  <c r="U135" i="5909"/>
  <c r="U137" i="5909" s="1"/>
  <c r="T135" i="5909"/>
  <c r="T137" i="5909" s="1"/>
  <c r="AR134" i="5909"/>
  <c r="AQ134" i="5909"/>
  <c r="AP134" i="5909"/>
  <c r="AO134" i="5909"/>
  <c r="AN134" i="5909"/>
  <c r="AM134" i="5909"/>
  <c r="AL134" i="5909"/>
  <c r="AK134" i="5909"/>
  <c r="AJ134" i="5909"/>
  <c r="AI134" i="5909"/>
  <c r="AH134" i="5909"/>
  <c r="AG134" i="5909"/>
  <c r="AF134" i="5909"/>
  <c r="AE134" i="5909"/>
  <c r="AD134" i="5909"/>
  <c r="AC134" i="5909"/>
  <c r="AB134" i="5909"/>
  <c r="AA134" i="5909"/>
  <c r="Z134" i="5909"/>
  <c r="Y134" i="5909"/>
  <c r="AR131" i="5909"/>
  <c r="AH131" i="5909"/>
  <c r="AG131" i="5909"/>
  <c r="AP125" i="5909"/>
  <c r="AO125" i="5909"/>
  <c r="AN125" i="5909"/>
  <c r="AM125" i="5909"/>
  <c r="AK125" i="5909"/>
  <c r="AD125" i="5909"/>
  <c r="AC125" i="5909"/>
  <c r="AB125" i="5909"/>
  <c r="AA125" i="5909"/>
  <c r="Y125" i="5909"/>
  <c r="R125" i="5909"/>
  <c r="Q125" i="5909"/>
  <c r="P125" i="5909"/>
  <c r="O125" i="5909"/>
  <c r="M125" i="5909"/>
  <c r="L125" i="5909"/>
  <c r="F125" i="5909"/>
  <c r="E125" i="5909"/>
  <c r="C125" i="5909"/>
  <c r="AO124" i="5909"/>
  <c r="AK124" i="5909"/>
  <c r="AI124" i="5909"/>
  <c r="AG124" i="5909"/>
  <c r="AC124" i="5909"/>
  <c r="Y124" i="5909"/>
  <c r="U124" i="5909"/>
  <c r="T124" i="5909"/>
  <c r="I124" i="5909"/>
  <c r="E124" i="5909"/>
  <c r="C124" i="5909"/>
  <c r="AR123" i="5909"/>
  <c r="AQ123" i="5909"/>
  <c r="AP123" i="5909"/>
  <c r="AO123" i="5909"/>
  <c r="AN123" i="5909"/>
  <c r="AM123" i="5909"/>
  <c r="AL123" i="5909"/>
  <c r="AK123" i="5909"/>
  <c r="AJ123" i="5909"/>
  <c r="AI123" i="5909"/>
  <c r="AH123" i="5909"/>
  <c r="AG123" i="5909"/>
  <c r="AF123" i="5909"/>
  <c r="AE123" i="5909"/>
  <c r="AD123" i="5909"/>
  <c r="AC123" i="5909"/>
  <c r="AB123" i="5909"/>
  <c r="AA123" i="5909"/>
  <c r="Z123" i="5909"/>
  <c r="Y123" i="5909"/>
  <c r="X123" i="5909"/>
  <c r="W123" i="5909"/>
  <c r="V123" i="5909"/>
  <c r="U123" i="5909"/>
  <c r="T123" i="5909"/>
  <c r="S123" i="5909"/>
  <c r="R123" i="5909"/>
  <c r="Q123" i="5909"/>
  <c r="P123" i="5909"/>
  <c r="O123" i="5909"/>
  <c r="N123" i="5909"/>
  <c r="M123" i="5909"/>
  <c r="L123" i="5909"/>
  <c r="K123" i="5909"/>
  <c r="J123" i="5909"/>
  <c r="I123" i="5909"/>
  <c r="H123" i="5909"/>
  <c r="G123" i="5909"/>
  <c r="F123" i="5909"/>
  <c r="E123" i="5909"/>
  <c r="AR122" i="5909"/>
  <c r="AQ122" i="5909"/>
  <c r="AP122" i="5909"/>
  <c r="AO122" i="5909"/>
  <c r="AN122" i="5909"/>
  <c r="AM122" i="5909"/>
  <c r="AL122" i="5909"/>
  <c r="AK122" i="5909"/>
  <c r="AJ122" i="5909"/>
  <c r="AI122" i="5909"/>
  <c r="AH122" i="5909"/>
  <c r="AG122" i="5909"/>
  <c r="AF122" i="5909"/>
  <c r="AE122" i="5909"/>
  <c r="AD122" i="5909"/>
  <c r="AC122" i="5909"/>
  <c r="AB122" i="5909"/>
  <c r="AA122" i="5909"/>
  <c r="Z122" i="5909"/>
  <c r="Y122" i="5909"/>
  <c r="T122" i="5909"/>
  <c r="S122" i="5909"/>
  <c r="R122" i="5909"/>
  <c r="Q122" i="5909"/>
  <c r="P122" i="5909"/>
  <c r="O122" i="5909"/>
  <c r="N122" i="5909"/>
  <c r="M122" i="5909"/>
  <c r="L122" i="5909"/>
  <c r="K122" i="5909"/>
  <c r="J122" i="5909"/>
  <c r="I122" i="5909"/>
  <c r="H122" i="5909"/>
  <c r="G122" i="5909"/>
  <c r="F122" i="5909"/>
  <c r="E122" i="5909"/>
  <c r="AR121" i="5909"/>
  <c r="AQ121" i="5909"/>
  <c r="AQ131" i="5909" s="1"/>
  <c r="AP121" i="5909"/>
  <c r="AO121" i="5909"/>
  <c r="AN121" i="5909"/>
  <c r="AM121" i="5909"/>
  <c r="AL121" i="5909"/>
  <c r="AK121" i="5909"/>
  <c r="AJ121" i="5909"/>
  <c r="AJ131" i="5909" s="1"/>
  <c r="AI121" i="5909"/>
  <c r="AH121" i="5909"/>
  <c r="AG121" i="5909"/>
  <c r="AF121" i="5909"/>
  <c r="AF131" i="5909" s="1"/>
  <c r="AE121" i="5909"/>
  <c r="AE131" i="5909" s="1"/>
  <c r="AD121" i="5909"/>
  <c r="AC121" i="5909"/>
  <c r="AB121" i="5909"/>
  <c r="AA121" i="5909"/>
  <c r="Z121" i="5909"/>
  <c r="Z131" i="5909" s="1"/>
  <c r="Y121" i="5909"/>
  <c r="X121" i="5909"/>
  <c r="W121" i="5909"/>
  <c r="V121" i="5909"/>
  <c r="U121" i="5909"/>
  <c r="T121" i="5909"/>
  <c r="S121" i="5909"/>
  <c r="R121" i="5909"/>
  <c r="Q121" i="5909"/>
  <c r="P121" i="5909"/>
  <c r="O121" i="5909"/>
  <c r="N121" i="5909"/>
  <c r="M121" i="5909"/>
  <c r="L121" i="5909"/>
  <c r="K121" i="5909"/>
  <c r="J121" i="5909"/>
  <c r="I121" i="5909"/>
  <c r="H121" i="5909"/>
  <c r="G121" i="5909"/>
  <c r="F121" i="5909"/>
  <c r="E121" i="5909"/>
  <c r="AR120" i="5909"/>
  <c r="AQ120" i="5909"/>
  <c r="AP120" i="5909"/>
  <c r="AP131" i="5909" s="1"/>
  <c r="AO120" i="5909"/>
  <c r="AO131" i="5909" s="1"/>
  <c r="AN120" i="5909"/>
  <c r="AN131" i="5909" s="1"/>
  <c r="AM120" i="5909"/>
  <c r="AM131" i="5909" s="1"/>
  <c r="AL120" i="5909"/>
  <c r="AK120" i="5909"/>
  <c r="AK131" i="5909" s="1"/>
  <c r="AJ120" i="5909"/>
  <c r="AI120" i="5909"/>
  <c r="AI131" i="5909" s="1"/>
  <c r="AH120" i="5909"/>
  <c r="AG120" i="5909"/>
  <c r="AF120" i="5909"/>
  <c r="AE120" i="5909"/>
  <c r="AD120" i="5909"/>
  <c r="AD131" i="5909" s="1"/>
  <c r="AC120" i="5909"/>
  <c r="AC131" i="5909" s="1"/>
  <c r="AB120" i="5909"/>
  <c r="AB131" i="5909" s="1"/>
  <c r="AA120" i="5909"/>
  <c r="AA131" i="5909" s="1"/>
  <c r="Z120" i="5909"/>
  <c r="Y120" i="5909"/>
  <c r="Y131" i="5909" s="1"/>
  <c r="C118" i="5909"/>
  <c r="AR117" i="5909"/>
  <c r="AQ117" i="5909"/>
  <c r="AP117" i="5909"/>
  <c r="AO117" i="5909"/>
  <c r="AN117" i="5909"/>
  <c r="AM117" i="5909"/>
  <c r="AL117" i="5909"/>
  <c r="AK117" i="5909"/>
  <c r="AJ117" i="5909"/>
  <c r="AI117" i="5909"/>
  <c r="AH117" i="5909"/>
  <c r="AG117" i="5909"/>
  <c r="AF117" i="5909"/>
  <c r="AE117" i="5909"/>
  <c r="AD117" i="5909"/>
  <c r="AC117" i="5909"/>
  <c r="AB117" i="5909"/>
  <c r="AA117" i="5909"/>
  <c r="Z117" i="5909"/>
  <c r="Y117" i="5909"/>
  <c r="X117" i="5909"/>
  <c r="W117" i="5909"/>
  <c r="V117" i="5909"/>
  <c r="U117" i="5909"/>
  <c r="T117" i="5909"/>
  <c r="S117" i="5909"/>
  <c r="R117" i="5909"/>
  <c r="Q117" i="5909"/>
  <c r="P117" i="5909"/>
  <c r="O117" i="5909"/>
  <c r="N117" i="5909"/>
  <c r="M117" i="5909"/>
  <c r="L117" i="5909"/>
  <c r="K117" i="5909"/>
  <c r="J117" i="5909"/>
  <c r="I117" i="5909"/>
  <c r="H117" i="5909"/>
  <c r="G117" i="5909"/>
  <c r="F117" i="5909"/>
  <c r="E117" i="5909"/>
  <c r="AR116" i="5909"/>
  <c r="AQ116" i="5909"/>
  <c r="AP116" i="5909"/>
  <c r="AO116" i="5909"/>
  <c r="AN116" i="5909"/>
  <c r="AM116" i="5909"/>
  <c r="AL116" i="5909"/>
  <c r="AK116" i="5909"/>
  <c r="AJ116" i="5909"/>
  <c r="AI116" i="5909"/>
  <c r="AH116" i="5909"/>
  <c r="AG116" i="5909"/>
  <c r="AF116" i="5909"/>
  <c r="AE116" i="5909"/>
  <c r="AD116" i="5909"/>
  <c r="AC116" i="5909"/>
  <c r="AB116" i="5909"/>
  <c r="AA116" i="5909"/>
  <c r="Z116" i="5909"/>
  <c r="Y116" i="5909"/>
  <c r="X116" i="5909"/>
  <c r="W116" i="5909"/>
  <c r="V116" i="5909"/>
  <c r="U116" i="5909"/>
  <c r="T116" i="5909"/>
  <c r="S116" i="5909"/>
  <c r="R116" i="5909"/>
  <c r="Q116" i="5909"/>
  <c r="P116" i="5909"/>
  <c r="O116" i="5909"/>
  <c r="N116" i="5909"/>
  <c r="M116" i="5909"/>
  <c r="L116" i="5909"/>
  <c r="K116" i="5909"/>
  <c r="J116" i="5909"/>
  <c r="I116" i="5909"/>
  <c r="H116" i="5909"/>
  <c r="G116" i="5909"/>
  <c r="F116" i="5909"/>
  <c r="E116" i="5909"/>
  <c r="C116" i="5909"/>
  <c r="C115" i="5909"/>
  <c r="AR109" i="5909"/>
  <c r="AQ109" i="5909"/>
  <c r="AP109" i="5909"/>
  <c r="AO109" i="5909"/>
  <c r="AN109" i="5909"/>
  <c r="AM109" i="5909"/>
  <c r="AL109" i="5909"/>
  <c r="AK109" i="5909"/>
  <c r="AJ109" i="5909"/>
  <c r="AI109" i="5909"/>
  <c r="AH109" i="5909"/>
  <c r="AG109" i="5909"/>
  <c r="AF109" i="5909"/>
  <c r="AE109" i="5909"/>
  <c r="AD109" i="5909"/>
  <c r="AC109" i="5909"/>
  <c r="AB109" i="5909"/>
  <c r="AA109" i="5909"/>
  <c r="Z109" i="5909"/>
  <c r="Y109" i="5909"/>
  <c r="X109" i="5909"/>
  <c r="W109" i="5909"/>
  <c r="V109" i="5909"/>
  <c r="V108" i="5909" s="1"/>
  <c r="U109" i="5909"/>
  <c r="U122" i="5909" s="1"/>
  <c r="T109" i="5909"/>
  <c r="S109" i="5909"/>
  <c r="R109" i="5909"/>
  <c r="Q109" i="5909"/>
  <c r="P109" i="5909"/>
  <c r="O109" i="5909"/>
  <c r="N109" i="5909"/>
  <c r="M109" i="5909"/>
  <c r="M108" i="5909" s="1"/>
  <c r="L109" i="5909"/>
  <c r="K109" i="5909"/>
  <c r="K108" i="5909" s="1"/>
  <c r="K124" i="5909" s="1"/>
  <c r="J109" i="5909"/>
  <c r="J108" i="5909" s="1"/>
  <c r="J124" i="5909" s="1"/>
  <c r="I109" i="5909"/>
  <c r="H109" i="5909"/>
  <c r="G109" i="5909"/>
  <c r="F109" i="5909"/>
  <c r="E109" i="5909"/>
  <c r="AR108" i="5909"/>
  <c r="AQ108" i="5909"/>
  <c r="AQ124" i="5909" s="1"/>
  <c r="AP108" i="5909"/>
  <c r="AO108" i="5909"/>
  <c r="AN108" i="5909"/>
  <c r="AM108" i="5909"/>
  <c r="AL108" i="5909"/>
  <c r="AK108" i="5909"/>
  <c r="AJ108" i="5909"/>
  <c r="AJ124" i="5909" s="1"/>
  <c r="AI108" i="5909"/>
  <c r="AH108" i="5909"/>
  <c r="AH124" i="5909" s="1"/>
  <c r="AG108" i="5909"/>
  <c r="AF108" i="5909"/>
  <c r="AE108" i="5909"/>
  <c r="AE124" i="5909" s="1"/>
  <c r="AD108" i="5909"/>
  <c r="AC108" i="5909"/>
  <c r="AB108" i="5909"/>
  <c r="AA108" i="5909"/>
  <c r="Z108" i="5909"/>
  <c r="Y108" i="5909"/>
  <c r="U108" i="5909"/>
  <c r="T108" i="5909"/>
  <c r="S108" i="5909"/>
  <c r="R108" i="5909"/>
  <c r="Q108" i="5909"/>
  <c r="Q124" i="5909" s="1"/>
  <c r="O108" i="5909"/>
  <c r="N108" i="5909"/>
  <c r="I108" i="5909"/>
  <c r="H108" i="5909"/>
  <c r="G108" i="5909"/>
  <c r="G124" i="5909" s="1"/>
  <c r="F108" i="5909"/>
  <c r="D108" i="5909"/>
  <c r="AR107" i="5909"/>
  <c r="AR125" i="5909" s="1"/>
  <c r="AQ107" i="5909"/>
  <c r="AQ125" i="5909" s="1"/>
  <c r="AP107" i="5909"/>
  <c r="AO107" i="5909"/>
  <c r="AN107" i="5909"/>
  <c r="AM107" i="5909"/>
  <c r="AL107" i="5909"/>
  <c r="AL125" i="5909" s="1"/>
  <c r="AK107" i="5909"/>
  <c r="AJ107" i="5909"/>
  <c r="AJ125" i="5909" s="1"/>
  <c r="AI107" i="5909"/>
  <c r="AI125" i="5909" s="1"/>
  <c r="AH107" i="5909"/>
  <c r="AH125" i="5909" s="1"/>
  <c r="AG107" i="5909"/>
  <c r="AG125" i="5909" s="1"/>
  <c r="AF107" i="5909"/>
  <c r="AF125" i="5909" s="1"/>
  <c r="AE107" i="5909"/>
  <c r="AE125" i="5909" s="1"/>
  <c r="AD107" i="5909"/>
  <c r="AC107" i="5909"/>
  <c r="AB107" i="5909"/>
  <c r="AA107" i="5909"/>
  <c r="Z107" i="5909"/>
  <c r="Z125" i="5909" s="1"/>
  <c r="Y107" i="5909"/>
  <c r="X107" i="5909"/>
  <c r="X125" i="5909" s="1"/>
  <c r="W107" i="5909"/>
  <c r="W125" i="5909" s="1"/>
  <c r="V107" i="5909"/>
  <c r="V125" i="5909" s="1"/>
  <c r="U107" i="5909"/>
  <c r="U125" i="5909" s="1"/>
  <c r="T107" i="5909"/>
  <c r="T125" i="5909" s="1"/>
  <c r="S107" i="5909"/>
  <c r="S125" i="5909" s="1"/>
  <c r="R107" i="5909"/>
  <c r="Q107" i="5909"/>
  <c r="P107" i="5909"/>
  <c r="O107" i="5909"/>
  <c r="N107" i="5909"/>
  <c r="N125" i="5909" s="1"/>
  <c r="M107" i="5909"/>
  <c r="L107" i="5909"/>
  <c r="K107" i="5909"/>
  <c r="K125" i="5909" s="1"/>
  <c r="J107" i="5909"/>
  <c r="J125" i="5909" s="1"/>
  <c r="I107" i="5909"/>
  <c r="I125" i="5909" s="1"/>
  <c r="H107" i="5909"/>
  <c r="H125" i="5909" s="1"/>
  <c r="G107" i="5909"/>
  <c r="G125" i="5909" s="1"/>
  <c r="F107" i="5909"/>
  <c r="D107" i="5909"/>
  <c r="J106" i="5909"/>
  <c r="K106" i="5909" s="1"/>
  <c r="L106" i="5909" s="1"/>
  <c r="M106" i="5909" s="1"/>
  <c r="N106" i="5909" s="1"/>
  <c r="O106" i="5909" s="1"/>
  <c r="P106" i="5909" s="1"/>
  <c r="Q106" i="5909" s="1"/>
  <c r="R106" i="5909" s="1"/>
  <c r="S106" i="5909" s="1"/>
  <c r="T106" i="5909" s="1"/>
  <c r="U106" i="5909" s="1"/>
  <c r="V106" i="5909" s="1"/>
  <c r="W106" i="5909" s="1"/>
  <c r="X106" i="5909" s="1"/>
  <c r="Y106" i="5909" s="1"/>
  <c r="Z106" i="5909" s="1"/>
  <c r="AA106" i="5909" s="1"/>
  <c r="AB106" i="5909" s="1"/>
  <c r="AC106" i="5909" s="1"/>
  <c r="AD106" i="5909" s="1"/>
  <c r="AE106" i="5909" s="1"/>
  <c r="AF106" i="5909" s="1"/>
  <c r="AG106" i="5909" s="1"/>
  <c r="AH106" i="5909" s="1"/>
  <c r="AI106" i="5909" s="1"/>
  <c r="AJ106" i="5909" s="1"/>
  <c r="AK106" i="5909" s="1"/>
  <c r="AL106" i="5909" s="1"/>
  <c r="AM106" i="5909" s="1"/>
  <c r="AN106" i="5909" s="1"/>
  <c r="AO106" i="5909" s="1"/>
  <c r="AP106" i="5909" s="1"/>
  <c r="AQ106" i="5909" s="1"/>
  <c r="AR106" i="5909" s="1"/>
  <c r="F106" i="5909"/>
  <c r="G106" i="5909" s="1"/>
  <c r="H106" i="5909" s="1"/>
  <c r="I106" i="5909" s="1"/>
  <c r="E106" i="5909"/>
  <c r="E102" i="5909"/>
  <c r="C92" i="5909"/>
  <c r="D85" i="5909"/>
  <c r="D84" i="5909"/>
  <c r="D70" i="5909"/>
  <c r="D65" i="5909"/>
  <c r="D64" i="5909"/>
  <c r="D63" i="5909"/>
  <c r="C60" i="5909"/>
  <c r="D59" i="5909"/>
  <c r="C58" i="5909"/>
  <c r="D57" i="5909"/>
  <c r="C56" i="5909"/>
  <c r="D55" i="5909"/>
  <c r="C53" i="5909"/>
  <c r="D49" i="5909"/>
  <c r="C49" i="5909"/>
  <c r="D48" i="5909"/>
  <c r="E47" i="5909"/>
  <c r="D47" i="5909"/>
  <c r="E46" i="5909"/>
  <c r="D46" i="5909"/>
  <c r="E45" i="5909"/>
  <c r="D45" i="5909"/>
  <c r="C44" i="5909"/>
  <c r="D43" i="5909"/>
  <c r="D42" i="5909"/>
  <c r="C35" i="5909"/>
  <c r="C33" i="5909"/>
  <c r="C27" i="5909"/>
  <c r="C25" i="5909"/>
  <c r="E16" i="5909"/>
  <c r="D16" i="5909"/>
  <c r="E15" i="5909"/>
  <c r="D15" i="5909"/>
  <c r="E13" i="5909"/>
  <c r="D13" i="5909"/>
  <c r="E12" i="5909"/>
  <c r="D12" i="5909"/>
  <c r="C8" i="5909"/>
  <c r="D26" i="5909" s="1"/>
  <c r="D5" i="5909"/>
  <c r="A1" i="5909"/>
  <c r="D179" i="5908"/>
  <c r="C179" i="5908"/>
  <c r="D178" i="5908"/>
  <c r="C178" i="5908"/>
  <c r="D177" i="5908"/>
  <c r="C177" i="5908"/>
  <c r="B177" i="5908"/>
  <c r="D176" i="5908"/>
  <c r="C176" i="5908"/>
  <c r="B176" i="5908"/>
  <c r="D175" i="5908"/>
  <c r="C175" i="5908"/>
  <c r="B175" i="5908"/>
  <c r="D174" i="5908"/>
  <c r="C174" i="5908"/>
  <c r="B174" i="5908"/>
  <c r="D173" i="5908"/>
  <c r="C173" i="5908"/>
  <c r="B173" i="5908"/>
  <c r="D172" i="5908"/>
  <c r="C172" i="5908"/>
  <c r="B172" i="5908"/>
  <c r="D171" i="5908"/>
  <c r="C171" i="5908"/>
  <c r="D170" i="5908"/>
  <c r="C170" i="5908"/>
  <c r="D169" i="5908"/>
  <c r="D168" i="5908"/>
  <c r="C168" i="5908"/>
  <c r="C169" i="5908" s="1"/>
  <c r="D167" i="5908"/>
  <c r="C167" i="5908"/>
  <c r="D166" i="5908"/>
  <c r="C166" i="5908"/>
  <c r="D165" i="5908"/>
  <c r="C165" i="5908"/>
  <c r="D164" i="5908"/>
  <c r="C164" i="5908"/>
  <c r="D151" i="5908"/>
  <c r="AR147" i="5908"/>
  <c r="AQ147" i="5908"/>
  <c r="AP147" i="5908"/>
  <c r="AO147" i="5908"/>
  <c r="AN147" i="5908"/>
  <c r="AM147" i="5908"/>
  <c r="AL147" i="5908"/>
  <c r="AK147" i="5908"/>
  <c r="AJ147" i="5908"/>
  <c r="AI147" i="5908"/>
  <c r="AH147" i="5908"/>
  <c r="AG147" i="5908"/>
  <c r="AF147" i="5908"/>
  <c r="AE147" i="5908"/>
  <c r="AD147" i="5908"/>
  <c r="AC147" i="5908"/>
  <c r="AB147" i="5908"/>
  <c r="AA147" i="5908"/>
  <c r="Z147" i="5908"/>
  <c r="Y147" i="5908"/>
  <c r="X147" i="5908"/>
  <c r="W147" i="5908"/>
  <c r="V147" i="5908"/>
  <c r="U147" i="5908"/>
  <c r="T147" i="5908"/>
  <c r="AR145" i="5908"/>
  <c r="AQ145" i="5908"/>
  <c r="AP145" i="5908"/>
  <c r="AO145" i="5908"/>
  <c r="AN145" i="5908"/>
  <c r="AM145" i="5908"/>
  <c r="AL145" i="5908"/>
  <c r="AK145" i="5908"/>
  <c r="AJ145" i="5908"/>
  <c r="AI145" i="5908"/>
  <c r="AH145" i="5908"/>
  <c r="AG145" i="5908"/>
  <c r="AF145" i="5908"/>
  <c r="AE145" i="5908"/>
  <c r="AD145" i="5908"/>
  <c r="AC145" i="5908"/>
  <c r="AB145" i="5908"/>
  <c r="AA145" i="5908"/>
  <c r="Z145" i="5908"/>
  <c r="Y145" i="5908"/>
  <c r="X145" i="5908"/>
  <c r="W145" i="5908"/>
  <c r="V145" i="5908"/>
  <c r="U145" i="5908"/>
  <c r="T145" i="5908"/>
  <c r="C145" i="5908"/>
  <c r="AP137" i="5908"/>
  <c r="AN137" i="5908"/>
  <c r="AM137" i="5908"/>
  <c r="AK137" i="5908"/>
  <c r="AH137" i="5908"/>
  <c r="AF137" i="5908"/>
  <c r="AA137" i="5908"/>
  <c r="Y137" i="5908"/>
  <c r="AR136" i="5908"/>
  <c r="AQ136" i="5908"/>
  <c r="AP136" i="5908"/>
  <c r="AO136" i="5908"/>
  <c r="AO137" i="5908" s="1"/>
  <c r="AN136" i="5908"/>
  <c r="AM136" i="5908"/>
  <c r="AL136" i="5908"/>
  <c r="AK136" i="5908"/>
  <c r="AJ136" i="5908"/>
  <c r="AI136" i="5908"/>
  <c r="AH136" i="5908"/>
  <c r="AG136" i="5908"/>
  <c r="AF136" i="5908"/>
  <c r="AE136" i="5908"/>
  <c r="AD136" i="5908"/>
  <c r="AC136" i="5908"/>
  <c r="AC137" i="5908" s="1"/>
  <c r="AB136" i="5908"/>
  <c r="AA136" i="5908"/>
  <c r="Z136" i="5908"/>
  <c r="Y136" i="5908"/>
  <c r="X136" i="5908"/>
  <c r="W136" i="5908"/>
  <c r="V136" i="5908"/>
  <c r="U136" i="5908"/>
  <c r="T136" i="5908"/>
  <c r="T137" i="5908" s="1"/>
  <c r="AR135" i="5908"/>
  <c r="AQ135" i="5908"/>
  <c r="AQ137" i="5908" s="1"/>
  <c r="AP135" i="5908"/>
  <c r="AO135" i="5908"/>
  <c r="AN135" i="5908"/>
  <c r="AM135" i="5908"/>
  <c r="AL135" i="5908"/>
  <c r="AL137" i="5908" s="1"/>
  <c r="AK135" i="5908"/>
  <c r="AJ135" i="5908"/>
  <c r="AJ137" i="5908" s="1"/>
  <c r="AI135" i="5908"/>
  <c r="AI137" i="5908" s="1"/>
  <c r="AH135" i="5908"/>
  <c r="AG135" i="5908"/>
  <c r="AG137" i="5908" s="1"/>
  <c r="AF135" i="5908"/>
  <c r="AE135" i="5908"/>
  <c r="AE137" i="5908" s="1"/>
  <c r="AD135" i="5908"/>
  <c r="AD137" i="5908" s="1"/>
  <c r="AC135" i="5908"/>
  <c r="AB135" i="5908"/>
  <c r="AB137" i="5908" s="1"/>
  <c r="AA135" i="5908"/>
  <c r="Z135" i="5908"/>
  <c r="Z137" i="5908" s="1"/>
  <c r="Y135" i="5908"/>
  <c r="X135" i="5908"/>
  <c r="X137" i="5908" s="1"/>
  <c r="W135" i="5908"/>
  <c r="W137" i="5908" s="1"/>
  <c r="V135" i="5908"/>
  <c r="V137" i="5908" s="1"/>
  <c r="U135" i="5908"/>
  <c r="U137" i="5908" s="1"/>
  <c r="T135" i="5908"/>
  <c r="AR134" i="5908"/>
  <c r="AQ134" i="5908"/>
  <c r="AP134" i="5908"/>
  <c r="AO134" i="5908"/>
  <c r="AN134" i="5908"/>
  <c r="AM134" i="5908"/>
  <c r="AL134" i="5908"/>
  <c r="AK134" i="5908"/>
  <c r="AJ134" i="5908"/>
  <c r="AI134" i="5908"/>
  <c r="AH134" i="5908"/>
  <c r="AG134" i="5908"/>
  <c r="AF134" i="5908"/>
  <c r="AE134" i="5908"/>
  <c r="AD134" i="5908"/>
  <c r="AC134" i="5908"/>
  <c r="AB134" i="5908"/>
  <c r="AA134" i="5908"/>
  <c r="Z134" i="5908"/>
  <c r="Y134" i="5908"/>
  <c r="AI131" i="5908"/>
  <c r="AH131" i="5908"/>
  <c r="AD131" i="5908"/>
  <c r="AQ125" i="5908"/>
  <c r="AL125" i="5908"/>
  <c r="AH125" i="5908"/>
  <c r="AG125" i="5908"/>
  <c r="AE125" i="5908"/>
  <c r="AD125" i="5908"/>
  <c r="AC125" i="5908"/>
  <c r="U125" i="5908"/>
  <c r="S125" i="5908"/>
  <c r="P125" i="5908"/>
  <c r="N125" i="5908"/>
  <c r="I125" i="5908"/>
  <c r="G125" i="5908"/>
  <c r="F125" i="5908"/>
  <c r="E125" i="5908"/>
  <c r="C125" i="5908"/>
  <c r="AQ124" i="5908"/>
  <c r="AP124" i="5908"/>
  <c r="AO124" i="5908"/>
  <c r="AJ124" i="5908"/>
  <c r="AH124" i="5908"/>
  <c r="AE124" i="5908"/>
  <c r="AD124" i="5908"/>
  <c r="AC124" i="5908"/>
  <c r="AA124" i="5908"/>
  <c r="S124" i="5908"/>
  <c r="O124" i="5908"/>
  <c r="E124" i="5908"/>
  <c r="C124" i="5908"/>
  <c r="AR123" i="5908"/>
  <c r="AQ123" i="5908"/>
  <c r="AP123" i="5908"/>
  <c r="AO123" i="5908"/>
  <c r="AN123" i="5908"/>
  <c r="AM123" i="5908"/>
  <c r="AL123" i="5908"/>
  <c r="AK123" i="5908"/>
  <c r="AJ123" i="5908"/>
  <c r="AI123" i="5908"/>
  <c r="AH123" i="5908"/>
  <c r="AG123" i="5908"/>
  <c r="AF123" i="5908"/>
  <c r="AE123" i="5908"/>
  <c r="AD123" i="5908"/>
  <c r="AC123" i="5908"/>
  <c r="AB123" i="5908"/>
  <c r="AA123" i="5908"/>
  <c r="Z123" i="5908"/>
  <c r="Y123" i="5908"/>
  <c r="X123" i="5908"/>
  <c r="W123" i="5908"/>
  <c r="V123" i="5908"/>
  <c r="U123" i="5908"/>
  <c r="T123" i="5908"/>
  <c r="S123" i="5908"/>
  <c r="R123" i="5908"/>
  <c r="Q123" i="5908"/>
  <c r="P123" i="5908"/>
  <c r="O123" i="5908"/>
  <c r="N123" i="5908"/>
  <c r="M123" i="5908"/>
  <c r="L123" i="5908"/>
  <c r="K123" i="5908"/>
  <c r="J123" i="5908"/>
  <c r="I123" i="5908"/>
  <c r="H123" i="5908"/>
  <c r="G123" i="5908"/>
  <c r="F123" i="5908"/>
  <c r="E123" i="5908"/>
  <c r="AR122" i="5908"/>
  <c r="AQ122" i="5908"/>
  <c r="AP122" i="5908"/>
  <c r="AO122" i="5908"/>
  <c r="AN122" i="5908"/>
  <c r="AM122" i="5908"/>
  <c r="AL122" i="5908"/>
  <c r="AK122" i="5908"/>
  <c r="AJ122" i="5908"/>
  <c r="AI122" i="5908"/>
  <c r="AH122" i="5908"/>
  <c r="AG122" i="5908"/>
  <c r="AF122" i="5908"/>
  <c r="AE122" i="5908"/>
  <c r="AD122" i="5908"/>
  <c r="AC122" i="5908"/>
  <c r="AB122" i="5908"/>
  <c r="AA122" i="5908"/>
  <c r="Z122" i="5908"/>
  <c r="Y122" i="5908"/>
  <c r="W122" i="5908"/>
  <c r="T122" i="5908"/>
  <c r="S122" i="5908"/>
  <c r="R122" i="5908"/>
  <c r="Q122" i="5908"/>
  <c r="P122" i="5908"/>
  <c r="O122" i="5908"/>
  <c r="N122" i="5908"/>
  <c r="M122" i="5908"/>
  <c r="L122" i="5908"/>
  <c r="K122" i="5908"/>
  <c r="J122" i="5908"/>
  <c r="I122" i="5908"/>
  <c r="H122" i="5908"/>
  <c r="G122" i="5908"/>
  <c r="F122" i="5908"/>
  <c r="E122" i="5908"/>
  <c r="AR121" i="5908"/>
  <c r="AQ121" i="5908"/>
  <c r="AP121" i="5908"/>
  <c r="AO121" i="5908"/>
  <c r="AN121" i="5908"/>
  <c r="AM121" i="5908"/>
  <c r="AL121" i="5908"/>
  <c r="AK121" i="5908"/>
  <c r="AK131" i="5908" s="1"/>
  <c r="AJ121" i="5908"/>
  <c r="AI121" i="5908"/>
  <c r="AH121" i="5908"/>
  <c r="AG121" i="5908"/>
  <c r="AF121" i="5908"/>
  <c r="AF131" i="5908" s="1"/>
  <c r="AE121" i="5908"/>
  <c r="AD121" i="5908"/>
  <c r="AC121" i="5908"/>
  <c r="AB121" i="5908"/>
  <c r="AA121" i="5908"/>
  <c r="Z121" i="5908"/>
  <c r="Y121" i="5908"/>
  <c r="X121" i="5908"/>
  <c r="W121" i="5908"/>
  <c r="V121" i="5908"/>
  <c r="U121" i="5908"/>
  <c r="T121" i="5908"/>
  <c r="S121" i="5908"/>
  <c r="R121" i="5908"/>
  <c r="Q121" i="5908"/>
  <c r="P121" i="5908"/>
  <c r="O121" i="5908"/>
  <c r="N121" i="5908"/>
  <c r="M121" i="5908"/>
  <c r="L121" i="5908"/>
  <c r="K121" i="5908"/>
  <c r="J121" i="5908"/>
  <c r="I121" i="5908"/>
  <c r="H121" i="5908"/>
  <c r="G121" i="5908"/>
  <c r="F121" i="5908"/>
  <c r="E121" i="5908"/>
  <c r="AR120" i="5908"/>
  <c r="AQ120" i="5908"/>
  <c r="AQ131" i="5908" s="1"/>
  <c r="AP120" i="5908"/>
  <c r="AO120" i="5908"/>
  <c r="AO131" i="5908" s="1"/>
  <c r="AN120" i="5908"/>
  <c r="AN131" i="5908" s="1"/>
  <c r="AM120" i="5908"/>
  <c r="AL120" i="5908"/>
  <c r="AL131" i="5908" s="1"/>
  <c r="AK120" i="5908"/>
  <c r="AJ120" i="5908"/>
  <c r="AJ131" i="5908" s="1"/>
  <c r="AI120" i="5908"/>
  <c r="AH120" i="5908"/>
  <c r="AG120" i="5908"/>
  <c r="AG131" i="5908" s="1"/>
  <c r="AF120" i="5908"/>
  <c r="AE120" i="5908"/>
  <c r="AE131" i="5908" s="1"/>
  <c r="AD120" i="5908"/>
  <c r="AC120" i="5908"/>
  <c r="AC131" i="5908" s="1"/>
  <c r="AB120" i="5908"/>
  <c r="AB131" i="5908" s="1"/>
  <c r="AA120" i="5908"/>
  <c r="Z120" i="5908"/>
  <c r="Z131" i="5908" s="1"/>
  <c r="Y120" i="5908"/>
  <c r="C118" i="5908"/>
  <c r="AR117" i="5908"/>
  <c r="AQ117" i="5908"/>
  <c r="AP117" i="5908"/>
  <c r="AO117" i="5908"/>
  <c r="AN117" i="5908"/>
  <c r="AM117" i="5908"/>
  <c r="AL117" i="5908"/>
  <c r="AK117" i="5908"/>
  <c r="AJ117" i="5908"/>
  <c r="AI117" i="5908"/>
  <c r="AH117" i="5908"/>
  <c r="AG117" i="5908"/>
  <c r="AF117" i="5908"/>
  <c r="AE117" i="5908"/>
  <c r="AD117" i="5908"/>
  <c r="AC117" i="5908"/>
  <c r="AB117" i="5908"/>
  <c r="AA117" i="5908"/>
  <c r="Z117" i="5908"/>
  <c r="Y117" i="5908"/>
  <c r="X117" i="5908"/>
  <c r="W117" i="5908"/>
  <c r="V117" i="5908"/>
  <c r="U117" i="5908"/>
  <c r="T117" i="5908"/>
  <c r="S117" i="5908"/>
  <c r="R117" i="5908"/>
  <c r="Q117" i="5908"/>
  <c r="P117" i="5908"/>
  <c r="O117" i="5908"/>
  <c r="N117" i="5908"/>
  <c r="M117" i="5908"/>
  <c r="L117" i="5908"/>
  <c r="K117" i="5908"/>
  <c r="J117" i="5908"/>
  <c r="I117" i="5908"/>
  <c r="H117" i="5908"/>
  <c r="G117" i="5908"/>
  <c r="F117" i="5908"/>
  <c r="E117" i="5908"/>
  <c r="AR116" i="5908"/>
  <c r="AQ116" i="5908"/>
  <c r="AP116" i="5908"/>
  <c r="AO116" i="5908"/>
  <c r="AN116" i="5908"/>
  <c r="AM116" i="5908"/>
  <c r="AL116" i="5908"/>
  <c r="AK116" i="5908"/>
  <c r="AJ116" i="5908"/>
  <c r="AI116" i="5908"/>
  <c r="AH116" i="5908"/>
  <c r="AG116" i="5908"/>
  <c r="AF116" i="5908"/>
  <c r="AE116" i="5908"/>
  <c r="AD116" i="5908"/>
  <c r="AC116" i="5908"/>
  <c r="AB116" i="5908"/>
  <c r="AA116" i="5908"/>
  <c r="Z116" i="5908"/>
  <c r="Y116" i="5908"/>
  <c r="X116" i="5908"/>
  <c r="W116" i="5908"/>
  <c r="V116" i="5908"/>
  <c r="U116" i="5908"/>
  <c r="T116" i="5908"/>
  <c r="S116" i="5908"/>
  <c r="R116" i="5908"/>
  <c r="Q116" i="5908"/>
  <c r="P116" i="5908"/>
  <c r="O116" i="5908"/>
  <c r="N116" i="5908"/>
  <c r="M116" i="5908"/>
  <c r="L116" i="5908"/>
  <c r="K116" i="5908"/>
  <c r="J116" i="5908"/>
  <c r="I116" i="5908"/>
  <c r="H116" i="5908"/>
  <c r="G116" i="5908"/>
  <c r="F116" i="5908"/>
  <c r="E116" i="5908"/>
  <c r="C116" i="5908"/>
  <c r="C115" i="5908"/>
  <c r="AR109" i="5908"/>
  <c r="AQ109" i="5908"/>
  <c r="AP109" i="5908"/>
  <c r="AO109" i="5908"/>
  <c r="AN109" i="5908"/>
  <c r="AM109" i="5908"/>
  <c r="AL109" i="5908"/>
  <c r="AK109" i="5908"/>
  <c r="AJ109" i="5908"/>
  <c r="AI109" i="5908"/>
  <c r="AH109" i="5908"/>
  <c r="AG109" i="5908"/>
  <c r="AF109" i="5908"/>
  <c r="AE109" i="5908"/>
  <c r="AD109" i="5908"/>
  <c r="AC109" i="5908"/>
  <c r="AB109" i="5908"/>
  <c r="AA109" i="5908"/>
  <c r="Z109" i="5908"/>
  <c r="Y109" i="5908"/>
  <c r="X109" i="5908"/>
  <c r="W109" i="5908"/>
  <c r="V109" i="5908"/>
  <c r="U109" i="5908"/>
  <c r="U122" i="5908" s="1"/>
  <c r="T109" i="5908"/>
  <c r="S109" i="5908"/>
  <c r="S108" i="5908" s="1"/>
  <c r="R109" i="5908"/>
  <c r="Q109" i="5908"/>
  <c r="Q108" i="5908" s="1"/>
  <c r="P109" i="5908"/>
  <c r="P108" i="5908" s="1"/>
  <c r="O109" i="5908"/>
  <c r="N109" i="5908"/>
  <c r="M109" i="5908"/>
  <c r="L109" i="5908"/>
  <c r="L108" i="5908" s="1"/>
  <c r="L124" i="5908" s="1"/>
  <c r="K109" i="5908"/>
  <c r="J109" i="5908"/>
  <c r="J108" i="5908" s="1"/>
  <c r="J124" i="5908" s="1"/>
  <c r="I109" i="5908"/>
  <c r="H109" i="5908"/>
  <c r="G109" i="5908"/>
  <c r="G108" i="5908" s="1"/>
  <c r="G124" i="5908" s="1"/>
  <c r="F109" i="5908"/>
  <c r="E109" i="5908"/>
  <c r="AR108" i="5908"/>
  <c r="AQ108" i="5908"/>
  <c r="AP108" i="5908"/>
  <c r="AO108" i="5908"/>
  <c r="AN108" i="5908"/>
  <c r="AM108" i="5908"/>
  <c r="AM124" i="5908" s="1"/>
  <c r="AL108" i="5908"/>
  <c r="AL124" i="5908" s="1"/>
  <c r="AK108" i="5908"/>
  <c r="AK124" i="5908" s="1"/>
  <c r="AJ108" i="5908"/>
  <c r="AI108" i="5908"/>
  <c r="AH108" i="5908"/>
  <c r="AG108" i="5908"/>
  <c r="AG124" i="5908" s="1"/>
  <c r="AF108" i="5908"/>
  <c r="AE108" i="5908"/>
  <c r="AD108" i="5908"/>
  <c r="AC108" i="5908"/>
  <c r="AB108" i="5908"/>
  <c r="AB124" i="5908" s="1"/>
  <c r="AA108" i="5908"/>
  <c r="Z108" i="5908"/>
  <c r="Y108" i="5908"/>
  <c r="Y124" i="5908" s="1"/>
  <c r="W108" i="5908"/>
  <c r="W124" i="5908" s="1"/>
  <c r="T108" i="5908"/>
  <c r="O108" i="5908"/>
  <c r="N108" i="5908"/>
  <c r="M108" i="5908"/>
  <c r="M124" i="5908" s="1"/>
  <c r="K108" i="5908"/>
  <c r="I108" i="5908"/>
  <c r="H108" i="5908"/>
  <c r="H124" i="5908" s="1"/>
  <c r="D108" i="5908"/>
  <c r="AR107" i="5908"/>
  <c r="AR125" i="5908" s="1"/>
  <c r="AQ107" i="5908"/>
  <c r="AP107" i="5908"/>
  <c r="AP125" i="5908" s="1"/>
  <c r="AO107" i="5908"/>
  <c r="AO125" i="5908" s="1"/>
  <c r="AN107" i="5908"/>
  <c r="AN125" i="5908" s="1"/>
  <c r="AM107" i="5908"/>
  <c r="AM125" i="5908" s="1"/>
  <c r="AL107" i="5908"/>
  <c r="AK107" i="5908"/>
  <c r="AK125" i="5908" s="1"/>
  <c r="AJ107" i="5908"/>
  <c r="AJ125" i="5908" s="1"/>
  <c r="AI107" i="5908"/>
  <c r="AI125" i="5908" s="1"/>
  <c r="AH107" i="5908"/>
  <c r="AG107" i="5908"/>
  <c r="AF107" i="5908"/>
  <c r="AF125" i="5908" s="1"/>
  <c r="AE107" i="5908"/>
  <c r="AD107" i="5908"/>
  <c r="AC107" i="5908"/>
  <c r="AB107" i="5908"/>
  <c r="AB125" i="5908" s="1"/>
  <c r="AA107" i="5908"/>
  <c r="AA125" i="5908" s="1"/>
  <c r="Z107" i="5908"/>
  <c r="Z125" i="5908" s="1"/>
  <c r="Y107" i="5908"/>
  <c r="Y125" i="5908" s="1"/>
  <c r="X107" i="5908"/>
  <c r="X125" i="5908" s="1"/>
  <c r="W107" i="5908"/>
  <c r="W125" i="5908" s="1"/>
  <c r="V107" i="5908"/>
  <c r="V125" i="5908" s="1"/>
  <c r="U107" i="5908"/>
  <c r="T107" i="5908"/>
  <c r="T125" i="5908" s="1"/>
  <c r="S107" i="5908"/>
  <c r="R107" i="5908"/>
  <c r="R125" i="5908" s="1"/>
  <c r="Q107" i="5908"/>
  <c r="Q125" i="5908" s="1"/>
  <c r="P107" i="5908"/>
  <c r="O107" i="5908"/>
  <c r="O125" i="5908" s="1"/>
  <c r="N107" i="5908"/>
  <c r="M107" i="5908"/>
  <c r="M125" i="5908" s="1"/>
  <c r="L107" i="5908"/>
  <c r="L125" i="5908" s="1"/>
  <c r="K107" i="5908"/>
  <c r="K125" i="5908" s="1"/>
  <c r="J107" i="5908"/>
  <c r="J125" i="5908" s="1"/>
  <c r="I107" i="5908"/>
  <c r="H107" i="5908"/>
  <c r="H125" i="5908" s="1"/>
  <c r="G107" i="5908"/>
  <c r="F107" i="5908"/>
  <c r="D107" i="5908"/>
  <c r="E106" i="5908"/>
  <c r="F106" i="5908" s="1"/>
  <c r="G106" i="5908" s="1"/>
  <c r="H106" i="5908" s="1"/>
  <c r="I106" i="5908" s="1"/>
  <c r="J106" i="5908" s="1"/>
  <c r="K106" i="5908" s="1"/>
  <c r="L106" i="5908" s="1"/>
  <c r="M106" i="5908" s="1"/>
  <c r="N106" i="5908" s="1"/>
  <c r="O106" i="5908" s="1"/>
  <c r="P106" i="5908" s="1"/>
  <c r="Q106" i="5908" s="1"/>
  <c r="R106" i="5908" s="1"/>
  <c r="S106" i="5908" s="1"/>
  <c r="T106" i="5908" s="1"/>
  <c r="U106" i="5908" s="1"/>
  <c r="V106" i="5908" s="1"/>
  <c r="W106" i="5908" s="1"/>
  <c r="X106" i="5908" s="1"/>
  <c r="Y106" i="5908" s="1"/>
  <c r="Z106" i="5908" s="1"/>
  <c r="AA106" i="5908" s="1"/>
  <c r="AB106" i="5908" s="1"/>
  <c r="AC106" i="5908" s="1"/>
  <c r="AD106" i="5908" s="1"/>
  <c r="AE106" i="5908" s="1"/>
  <c r="AF106" i="5908" s="1"/>
  <c r="AG106" i="5908" s="1"/>
  <c r="AH106" i="5908" s="1"/>
  <c r="AI106" i="5908" s="1"/>
  <c r="AJ106" i="5908" s="1"/>
  <c r="AK106" i="5908" s="1"/>
  <c r="AL106" i="5908" s="1"/>
  <c r="AM106" i="5908" s="1"/>
  <c r="AN106" i="5908" s="1"/>
  <c r="AO106" i="5908" s="1"/>
  <c r="AP106" i="5908" s="1"/>
  <c r="AQ106" i="5908" s="1"/>
  <c r="AR106" i="5908" s="1"/>
  <c r="E102" i="5908"/>
  <c r="C92" i="5908"/>
  <c r="C154" i="5908" s="1"/>
  <c r="D85" i="5908"/>
  <c r="D84" i="5908"/>
  <c r="D70" i="5908"/>
  <c r="D65" i="5908"/>
  <c r="D64" i="5908"/>
  <c r="D63" i="5908"/>
  <c r="C60" i="5908"/>
  <c r="D59" i="5908"/>
  <c r="C58" i="5908"/>
  <c r="D57" i="5908"/>
  <c r="C56" i="5908"/>
  <c r="D55" i="5908"/>
  <c r="C53" i="5908"/>
  <c r="D49" i="5908"/>
  <c r="C49" i="5908"/>
  <c r="D48" i="5908"/>
  <c r="E47" i="5908"/>
  <c r="D47" i="5908"/>
  <c r="E46" i="5908"/>
  <c r="D46" i="5908"/>
  <c r="E45" i="5908"/>
  <c r="D45" i="5908"/>
  <c r="C44" i="5908"/>
  <c r="D42" i="5908"/>
  <c r="C41" i="5908"/>
  <c r="C152" i="5908" s="1"/>
  <c r="D40" i="5908"/>
  <c r="D39" i="5908"/>
  <c r="C35" i="5908"/>
  <c r="C33" i="5908"/>
  <c r="C27" i="5908"/>
  <c r="C25" i="5908"/>
  <c r="E16" i="5908"/>
  <c r="D16" i="5908"/>
  <c r="E15" i="5908"/>
  <c r="D15" i="5908"/>
  <c r="E13" i="5908"/>
  <c r="D13" i="5908"/>
  <c r="E12" i="5908"/>
  <c r="D12" i="5908"/>
  <c r="C8" i="5908"/>
  <c r="D43" i="5908" s="1"/>
  <c r="D5" i="5908"/>
  <c r="A1" i="5908"/>
  <c r="D179" i="5907"/>
  <c r="C179" i="5907"/>
  <c r="D178" i="5907"/>
  <c r="C178" i="5907"/>
  <c r="D177" i="5907"/>
  <c r="C177" i="5907"/>
  <c r="B177" i="5907"/>
  <c r="D176" i="5907"/>
  <c r="C176" i="5907"/>
  <c r="B176" i="5907"/>
  <c r="D175" i="5907"/>
  <c r="C175" i="5907"/>
  <c r="B175" i="5907"/>
  <c r="D174" i="5907"/>
  <c r="C174" i="5907"/>
  <c r="B174" i="5907"/>
  <c r="D173" i="5907"/>
  <c r="C173" i="5907"/>
  <c r="B173" i="5907"/>
  <c r="D172" i="5907"/>
  <c r="C172" i="5907"/>
  <c r="B172" i="5907"/>
  <c r="D171" i="5907"/>
  <c r="C171" i="5907"/>
  <c r="D170" i="5907"/>
  <c r="C170" i="5907"/>
  <c r="D169" i="5907"/>
  <c r="D168" i="5907"/>
  <c r="C168" i="5907"/>
  <c r="C169" i="5907" s="1"/>
  <c r="D167" i="5907"/>
  <c r="C167" i="5907"/>
  <c r="D166" i="5907"/>
  <c r="C166" i="5907"/>
  <c r="D165" i="5907"/>
  <c r="C165" i="5907"/>
  <c r="D164" i="5907"/>
  <c r="C164" i="5907"/>
  <c r="C154" i="5907"/>
  <c r="D151" i="5907"/>
  <c r="AR147" i="5907"/>
  <c r="AQ147" i="5907"/>
  <c r="AP147" i="5907"/>
  <c r="AO147" i="5907"/>
  <c r="AN147" i="5907"/>
  <c r="AM147" i="5907"/>
  <c r="AL147" i="5907"/>
  <c r="AK147" i="5907"/>
  <c r="AJ147" i="5907"/>
  <c r="AI147" i="5907"/>
  <c r="AH147" i="5907"/>
  <c r="AG147" i="5907"/>
  <c r="AF147" i="5907"/>
  <c r="AE147" i="5907"/>
  <c r="AD147" i="5907"/>
  <c r="AC147" i="5907"/>
  <c r="AB147" i="5907"/>
  <c r="AA147" i="5907"/>
  <c r="Z147" i="5907"/>
  <c r="Y147" i="5907"/>
  <c r="X147" i="5907"/>
  <c r="W147" i="5907"/>
  <c r="V147" i="5907"/>
  <c r="U147" i="5907"/>
  <c r="T147" i="5907"/>
  <c r="AR145" i="5907"/>
  <c r="AQ145" i="5907"/>
  <c r="AP145" i="5907"/>
  <c r="AO145" i="5907"/>
  <c r="AN145" i="5907"/>
  <c r="AM145" i="5907"/>
  <c r="AL145" i="5907"/>
  <c r="AK145" i="5907"/>
  <c r="AJ145" i="5907"/>
  <c r="AI145" i="5907"/>
  <c r="AH145" i="5907"/>
  <c r="AG145" i="5907"/>
  <c r="AF145" i="5907"/>
  <c r="AE145" i="5907"/>
  <c r="AD145" i="5907"/>
  <c r="AC145" i="5907"/>
  <c r="AB145" i="5907"/>
  <c r="AA145" i="5907"/>
  <c r="Z145" i="5907"/>
  <c r="Y145" i="5907"/>
  <c r="X145" i="5907"/>
  <c r="W145" i="5907"/>
  <c r="V145" i="5907"/>
  <c r="U145" i="5907"/>
  <c r="T145" i="5907"/>
  <c r="C145" i="5907"/>
  <c r="AJ137" i="5907"/>
  <c r="AG137" i="5907"/>
  <c r="AE137" i="5907"/>
  <c r="X137" i="5907"/>
  <c r="W137" i="5907"/>
  <c r="U137" i="5907"/>
  <c r="AR136" i="5907"/>
  <c r="AQ136" i="5907"/>
  <c r="AP136" i="5907"/>
  <c r="AP137" i="5907" s="1"/>
  <c r="AO136" i="5907"/>
  <c r="AN136" i="5907"/>
  <c r="AM136" i="5907"/>
  <c r="AL136" i="5907"/>
  <c r="AK136" i="5907"/>
  <c r="AJ136" i="5907"/>
  <c r="AI136" i="5907"/>
  <c r="AI137" i="5907" s="1"/>
  <c r="AH136" i="5907"/>
  <c r="AG136" i="5907"/>
  <c r="AF136" i="5907"/>
  <c r="AE136" i="5907"/>
  <c r="AD136" i="5907"/>
  <c r="AD137" i="5907" s="1"/>
  <c r="AC136" i="5907"/>
  <c r="AB136" i="5907"/>
  <c r="AA136" i="5907"/>
  <c r="Z136" i="5907"/>
  <c r="Y136" i="5907"/>
  <c r="X136" i="5907"/>
  <c r="W136" i="5907"/>
  <c r="V136" i="5907"/>
  <c r="U136" i="5907"/>
  <c r="T136" i="5907"/>
  <c r="AR135" i="5907"/>
  <c r="AR137" i="5907" s="1"/>
  <c r="AQ135" i="5907"/>
  <c r="AQ137" i="5907" s="1"/>
  <c r="AP135" i="5907"/>
  <c r="AO135" i="5907"/>
  <c r="AO137" i="5907" s="1"/>
  <c r="AN135" i="5907"/>
  <c r="AN137" i="5907" s="1"/>
  <c r="AM135" i="5907"/>
  <c r="AM137" i="5907" s="1"/>
  <c r="AL135" i="5907"/>
  <c r="AL137" i="5907" s="1"/>
  <c r="AK135" i="5907"/>
  <c r="AJ135" i="5907"/>
  <c r="AI135" i="5907"/>
  <c r="AH135" i="5907"/>
  <c r="AG135" i="5907"/>
  <c r="AF135" i="5907"/>
  <c r="AF137" i="5907" s="1"/>
  <c r="AE135" i="5907"/>
  <c r="AD135" i="5907"/>
  <c r="AC135" i="5907"/>
  <c r="AC137" i="5907" s="1"/>
  <c r="AB135" i="5907"/>
  <c r="AB137" i="5907" s="1"/>
  <c r="AA135" i="5907"/>
  <c r="AA137" i="5907" s="1"/>
  <c r="Z135" i="5907"/>
  <c r="Z137" i="5907" s="1"/>
  <c r="Y135" i="5907"/>
  <c r="X135" i="5907"/>
  <c r="W135" i="5907"/>
  <c r="V135" i="5907"/>
  <c r="U135" i="5907"/>
  <c r="T135" i="5907"/>
  <c r="T137" i="5907" s="1"/>
  <c r="AR134" i="5907"/>
  <c r="AQ134" i="5907"/>
  <c r="AP134" i="5907"/>
  <c r="AO134" i="5907"/>
  <c r="AN134" i="5907"/>
  <c r="AM134" i="5907"/>
  <c r="AL134" i="5907"/>
  <c r="AK134" i="5907"/>
  <c r="AJ134" i="5907"/>
  <c r="AI134" i="5907"/>
  <c r="AH134" i="5907"/>
  <c r="AG134" i="5907"/>
  <c r="AF134" i="5907"/>
  <c r="AE134" i="5907"/>
  <c r="AD134" i="5907"/>
  <c r="AC134" i="5907"/>
  <c r="AB134" i="5907"/>
  <c r="AA134" i="5907"/>
  <c r="Z134" i="5907"/>
  <c r="Y134" i="5907"/>
  <c r="AM131" i="5907"/>
  <c r="AL131" i="5907"/>
  <c r="AE131" i="5907"/>
  <c r="AC131" i="5907"/>
  <c r="AA131" i="5907"/>
  <c r="AM125" i="5907"/>
  <c r="AL125" i="5907"/>
  <c r="AK125" i="5907"/>
  <c r="AI125" i="5907"/>
  <c r="AD125" i="5907"/>
  <c r="AA125" i="5907"/>
  <c r="Z125" i="5907"/>
  <c r="Y125" i="5907"/>
  <c r="W125" i="5907"/>
  <c r="O125" i="5907"/>
  <c r="N125" i="5907"/>
  <c r="M125" i="5907"/>
  <c r="K125" i="5907"/>
  <c r="E125" i="5907"/>
  <c r="C125" i="5907"/>
  <c r="AQ124" i="5907"/>
  <c r="AI124" i="5907"/>
  <c r="AG124" i="5907"/>
  <c r="AE124" i="5907"/>
  <c r="S124" i="5907"/>
  <c r="K124" i="5907"/>
  <c r="G124" i="5907"/>
  <c r="E124" i="5907"/>
  <c r="C124" i="5907"/>
  <c r="AR123" i="5907"/>
  <c r="AQ123" i="5907"/>
  <c r="AP123" i="5907"/>
  <c r="AO123" i="5907"/>
  <c r="AN123" i="5907"/>
  <c r="AM123" i="5907"/>
  <c r="AL123" i="5907"/>
  <c r="AK123" i="5907"/>
  <c r="AJ123" i="5907"/>
  <c r="AI123" i="5907"/>
  <c r="AH123" i="5907"/>
  <c r="AG123" i="5907"/>
  <c r="AF123" i="5907"/>
  <c r="AE123" i="5907"/>
  <c r="AD123" i="5907"/>
  <c r="AC123" i="5907"/>
  <c r="AB123" i="5907"/>
  <c r="AA123" i="5907"/>
  <c r="Z123" i="5907"/>
  <c r="Y123" i="5907"/>
  <c r="X123" i="5907"/>
  <c r="W123" i="5907"/>
  <c r="V123" i="5907"/>
  <c r="U123" i="5907"/>
  <c r="T123" i="5907"/>
  <c r="S123" i="5907"/>
  <c r="R123" i="5907"/>
  <c r="Q123" i="5907"/>
  <c r="P123" i="5907"/>
  <c r="O123" i="5907"/>
  <c r="N123" i="5907"/>
  <c r="M123" i="5907"/>
  <c r="L123" i="5907"/>
  <c r="K123" i="5907"/>
  <c r="J123" i="5907"/>
  <c r="I123" i="5907"/>
  <c r="H123" i="5907"/>
  <c r="G123" i="5907"/>
  <c r="F123" i="5907"/>
  <c r="E123" i="5907"/>
  <c r="AR122" i="5907"/>
  <c r="AQ122" i="5907"/>
  <c r="AP122" i="5907"/>
  <c r="AO122" i="5907"/>
  <c r="AN122" i="5907"/>
  <c r="AM122" i="5907"/>
  <c r="AL122" i="5907"/>
  <c r="AK122" i="5907"/>
  <c r="AJ122" i="5907"/>
  <c r="AI122" i="5907"/>
  <c r="AH122" i="5907"/>
  <c r="AG122" i="5907"/>
  <c r="AF122" i="5907"/>
  <c r="AE122" i="5907"/>
  <c r="AD122" i="5907"/>
  <c r="AC122" i="5907"/>
  <c r="AB122" i="5907"/>
  <c r="AA122" i="5907"/>
  <c r="Z122" i="5907"/>
  <c r="Y122" i="5907"/>
  <c r="S122" i="5907"/>
  <c r="R122" i="5907"/>
  <c r="Q122" i="5907"/>
  <c r="P122" i="5907"/>
  <c r="O122" i="5907"/>
  <c r="N122" i="5907"/>
  <c r="M122" i="5907"/>
  <c r="L122" i="5907"/>
  <c r="K122" i="5907"/>
  <c r="J122" i="5907"/>
  <c r="I122" i="5907"/>
  <c r="H122" i="5907"/>
  <c r="G122" i="5907"/>
  <c r="F122" i="5907"/>
  <c r="E122" i="5907"/>
  <c r="AR121" i="5907"/>
  <c r="AR131" i="5907" s="1"/>
  <c r="AQ121" i="5907"/>
  <c r="AQ131" i="5907" s="1"/>
  <c r="AP121" i="5907"/>
  <c r="AP131" i="5907" s="1"/>
  <c r="AO121" i="5907"/>
  <c r="AO131" i="5907" s="1"/>
  <c r="AN121" i="5907"/>
  <c r="AM121" i="5907"/>
  <c r="AL121" i="5907"/>
  <c r="AK121" i="5907"/>
  <c r="AJ121" i="5907"/>
  <c r="AI121" i="5907"/>
  <c r="AH121" i="5907"/>
  <c r="AG121" i="5907"/>
  <c r="AF121" i="5907"/>
  <c r="AE121" i="5907"/>
  <c r="AD121" i="5907"/>
  <c r="AD131" i="5907" s="1"/>
  <c r="AC121" i="5907"/>
  <c r="AB121" i="5907"/>
  <c r="AA121" i="5907"/>
  <c r="Z121" i="5907"/>
  <c r="Y121" i="5907"/>
  <c r="X121" i="5907"/>
  <c r="W121" i="5907"/>
  <c r="V121" i="5907"/>
  <c r="U121" i="5907"/>
  <c r="T121" i="5907"/>
  <c r="S121" i="5907"/>
  <c r="R121" i="5907"/>
  <c r="Q121" i="5907"/>
  <c r="P121" i="5907"/>
  <c r="O121" i="5907"/>
  <c r="N121" i="5907"/>
  <c r="M121" i="5907"/>
  <c r="L121" i="5907"/>
  <c r="K121" i="5907"/>
  <c r="J121" i="5907"/>
  <c r="I121" i="5907"/>
  <c r="H121" i="5907"/>
  <c r="G121" i="5907"/>
  <c r="F121" i="5907"/>
  <c r="E121" i="5907"/>
  <c r="AR120" i="5907"/>
  <c r="AQ120" i="5907"/>
  <c r="AP120" i="5907"/>
  <c r="AO120" i="5907"/>
  <c r="AN120" i="5907"/>
  <c r="AN131" i="5907" s="1"/>
  <c r="AM120" i="5907"/>
  <c r="AL120" i="5907"/>
  <c r="AK120" i="5907"/>
  <c r="AK131" i="5907" s="1"/>
  <c r="AJ120" i="5907"/>
  <c r="AJ131" i="5907" s="1"/>
  <c r="AI120" i="5907"/>
  <c r="AI131" i="5907" s="1"/>
  <c r="AH120" i="5907"/>
  <c r="AH131" i="5907" s="1"/>
  <c r="AG120" i="5907"/>
  <c r="AG131" i="5907" s="1"/>
  <c r="AF120" i="5907"/>
  <c r="AE120" i="5907"/>
  <c r="AD120" i="5907"/>
  <c r="AC120" i="5907"/>
  <c r="AB120" i="5907"/>
  <c r="AB131" i="5907" s="1"/>
  <c r="AA120" i="5907"/>
  <c r="Z120" i="5907"/>
  <c r="Z131" i="5907" s="1"/>
  <c r="Y120" i="5907"/>
  <c r="Y131" i="5907" s="1"/>
  <c r="C118" i="5907"/>
  <c r="AR117" i="5907"/>
  <c r="AQ117" i="5907"/>
  <c r="AP117" i="5907"/>
  <c r="AO117" i="5907"/>
  <c r="AN117" i="5907"/>
  <c r="AM117" i="5907"/>
  <c r="AL117" i="5907"/>
  <c r="AK117" i="5907"/>
  <c r="AJ117" i="5907"/>
  <c r="AI117" i="5907"/>
  <c r="AH117" i="5907"/>
  <c r="AG117" i="5907"/>
  <c r="AF117" i="5907"/>
  <c r="AE117" i="5907"/>
  <c r="AD117" i="5907"/>
  <c r="AC117" i="5907"/>
  <c r="AB117" i="5907"/>
  <c r="AA117" i="5907"/>
  <c r="Z117" i="5907"/>
  <c r="Y117" i="5907"/>
  <c r="X117" i="5907"/>
  <c r="W117" i="5907"/>
  <c r="V117" i="5907"/>
  <c r="U117" i="5907"/>
  <c r="T117" i="5907"/>
  <c r="S117" i="5907"/>
  <c r="R117" i="5907"/>
  <c r="Q117" i="5907"/>
  <c r="P117" i="5907"/>
  <c r="O117" i="5907"/>
  <c r="N117" i="5907"/>
  <c r="M117" i="5907"/>
  <c r="L117" i="5907"/>
  <c r="K117" i="5907"/>
  <c r="J117" i="5907"/>
  <c r="I117" i="5907"/>
  <c r="H117" i="5907"/>
  <c r="G117" i="5907"/>
  <c r="F117" i="5907"/>
  <c r="E117" i="5907"/>
  <c r="AR116" i="5907"/>
  <c r="AQ116" i="5907"/>
  <c r="AP116" i="5907"/>
  <c r="AO116" i="5907"/>
  <c r="AN116" i="5907"/>
  <c r="AM116" i="5907"/>
  <c r="AL116" i="5907"/>
  <c r="AK116" i="5907"/>
  <c r="AJ116" i="5907"/>
  <c r="AI116" i="5907"/>
  <c r="AH116" i="5907"/>
  <c r="AG116" i="5907"/>
  <c r="AF116" i="5907"/>
  <c r="AE116" i="5907"/>
  <c r="AD116" i="5907"/>
  <c r="AC116" i="5907"/>
  <c r="AB116" i="5907"/>
  <c r="AA116" i="5907"/>
  <c r="Z116" i="5907"/>
  <c r="Y116" i="5907"/>
  <c r="X116" i="5907"/>
  <c r="W116" i="5907"/>
  <c r="V116" i="5907"/>
  <c r="U116" i="5907"/>
  <c r="T116" i="5907"/>
  <c r="S116" i="5907"/>
  <c r="R116" i="5907"/>
  <c r="Q116" i="5907"/>
  <c r="P116" i="5907"/>
  <c r="O116" i="5907"/>
  <c r="N116" i="5907"/>
  <c r="M116" i="5907"/>
  <c r="L116" i="5907"/>
  <c r="K116" i="5907"/>
  <c r="J116" i="5907"/>
  <c r="I116" i="5907"/>
  <c r="H116" i="5907"/>
  <c r="G116" i="5907"/>
  <c r="F116" i="5907"/>
  <c r="E116" i="5907"/>
  <c r="C116" i="5907"/>
  <c r="C115" i="5907"/>
  <c r="AR109" i="5907"/>
  <c r="AQ109" i="5907"/>
  <c r="AP109" i="5907"/>
  <c r="AO109" i="5907"/>
  <c r="AN109" i="5907"/>
  <c r="AM109" i="5907"/>
  <c r="AL109" i="5907"/>
  <c r="AK109" i="5907"/>
  <c r="AJ109" i="5907"/>
  <c r="AI109" i="5907"/>
  <c r="AH109" i="5907"/>
  <c r="AG109" i="5907"/>
  <c r="AF109" i="5907"/>
  <c r="AE109" i="5907"/>
  <c r="AD109" i="5907"/>
  <c r="AC109" i="5907"/>
  <c r="AB109" i="5907"/>
  <c r="AA109" i="5907"/>
  <c r="Z109" i="5907"/>
  <c r="Y109" i="5907"/>
  <c r="X109" i="5907"/>
  <c r="X122" i="5907" s="1"/>
  <c r="W109" i="5907"/>
  <c r="V109" i="5907"/>
  <c r="U109" i="5907"/>
  <c r="T109" i="5907"/>
  <c r="S109" i="5907"/>
  <c r="R109" i="5907"/>
  <c r="Q109" i="5907"/>
  <c r="P109" i="5907"/>
  <c r="O109" i="5907"/>
  <c r="N109" i="5907"/>
  <c r="M109" i="5907"/>
  <c r="L109" i="5907"/>
  <c r="L108" i="5907" s="1"/>
  <c r="K109" i="5907"/>
  <c r="K108" i="5907" s="1"/>
  <c r="J109" i="5907"/>
  <c r="J108" i="5907" s="1"/>
  <c r="J124" i="5907" s="1"/>
  <c r="I109" i="5907"/>
  <c r="I108" i="5907" s="1"/>
  <c r="H109" i="5907"/>
  <c r="H108" i="5907" s="1"/>
  <c r="G109" i="5907"/>
  <c r="F109" i="5907"/>
  <c r="E109" i="5907"/>
  <c r="AR108" i="5907"/>
  <c r="AR124" i="5907" s="1"/>
  <c r="AQ108" i="5907"/>
  <c r="AP108" i="5907"/>
  <c r="AP124" i="5907" s="1"/>
  <c r="AO108" i="5907"/>
  <c r="AO124" i="5907" s="1"/>
  <c r="AN108" i="5907"/>
  <c r="AN124" i="5907" s="1"/>
  <c r="AM108" i="5907"/>
  <c r="AL108" i="5907"/>
  <c r="AL124" i="5907" s="1"/>
  <c r="AK108" i="5907"/>
  <c r="AJ108" i="5907"/>
  <c r="AI108" i="5907"/>
  <c r="AH108" i="5907"/>
  <c r="AH124" i="5907" s="1"/>
  <c r="AG108" i="5907"/>
  <c r="AF108" i="5907"/>
  <c r="AF124" i="5907" s="1"/>
  <c r="AE108" i="5907"/>
  <c r="AD108" i="5907"/>
  <c r="AC108" i="5907"/>
  <c r="AC124" i="5907" s="1"/>
  <c r="AB108" i="5907"/>
  <c r="AA108" i="5907"/>
  <c r="AA124" i="5907" s="1"/>
  <c r="Z108" i="5907"/>
  <c r="Z124" i="5907" s="1"/>
  <c r="Y108" i="5907"/>
  <c r="X108" i="5907"/>
  <c r="S108" i="5907"/>
  <c r="R108" i="5907"/>
  <c r="Q108" i="5907"/>
  <c r="O108" i="5907"/>
  <c r="N108" i="5907"/>
  <c r="N124" i="5907" s="1"/>
  <c r="M108" i="5907"/>
  <c r="G108" i="5907"/>
  <c r="F108" i="5907"/>
  <c r="D108" i="5907"/>
  <c r="AR107" i="5907"/>
  <c r="AR125" i="5907" s="1"/>
  <c r="AQ107" i="5907"/>
  <c r="AQ125" i="5907" s="1"/>
  <c r="AP107" i="5907"/>
  <c r="AP125" i="5907" s="1"/>
  <c r="AO107" i="5907"/>
  <c r="AO125" i="5907" s="1"/>
  <c r="AN107" i="5907"/>
  <c r="AN125" i="5907" s="1"/>
  <c r="AM107" i="5907"/>
  <c r="AL107" i="5907"/>
  <c r="AK107" i="5907"/>
  <c r="AJ107" i="5907"/>
  <c r="AJ125" i="5907" s="1"/>
  <c r="AI107" i="5907"/>
  <c r="AH107" i="5907"/>
  <c r="AH125" i="5907" s="1"/>
  <c r="AG107" i="5907"/>
  <c r="AG125" i="5907" s="1"/>
  <c r="AF107" i="5907"/>
  <c r="AF125" i="5907" s="1"/>
  <c r="AE107" i="5907"/>
  <c r="AE125" i="5907" s="1"/>
  <c r="AD107" i="5907"/>
  <c r="AC107" i="5907"/>
  <c r="AC125" i="5907" s="1"/>
  <c r="AB107" i="5907"/>
  <c r="AB125" i="5907" s="1"/>
  <c r="AA107" i="5907"/>
  <c r="Z107" i="5907"/>
  <c r="Y107" i="5907"/>
  <c r="X107" i="5907"/>
  <c r="X125" i="5907" s="1"/>
  <c r="W107" i="5907"/>
  <c r="V107" i="5907"/>
  <c r="V125" i="5907" s="1"/>
  <c r="U107" i="5907"/>
  <c r="U125" i="5907" s="1"/>
  <c r="T107" i="5907"/>
  <c r="T125" i="5907" s="1"/>
  <c r="S107" i="5907"/>
  <c r="S125" i="5907" s="1"/>
  <c r="R107" i="5907"/>
  <c r="R125" i="5907" s="1"/>
  <c r="Q107" i="5907"/>
  <c r="Q125" i="5907" s="1"/>
  <c r="P107" i="5907"/>
  <c r="P125" i="5907" s="1"/>
  <c r="O107" i="5907"/>
  <c r="N107" i="5907"/>
  <c r="M107" i="5907"/>
  <c r="L107" i="5907"/>
  <c r="L125" i="5907" s="1"/>
  <c r="K107" i="5907"/>
  <c r="J107" i="5907"/>
  <c r="J125" i="5907" s="1"/>
  <c r="I107" i="5907"/>
  <c r="I125" i="5907" s="1"/>
  <c r="H107" i="5907"/>
  <c r="H125" i="5907" s="1"/>
  <c r="G107" i="5907"/>
  <c r="G125" i="5907" s="1"/>
  <c r="F107" i="5907"/>
  <c r="F125" i="5907" s="1"/>
  <c r="D107" i="5907"/>
  <c r="J106" i="5907"/>
  <c r="K106" i="5907" s="1"/>
  <c r="L106" i="5907" s="1"/>
  <c r="M106" i="5907" s="1"/>
  <c r="N106" i="5907" s="1"/>
  <c r="O106" i="5907" s="1"/>
  <c r="P106" i="5907" s="1"/>
  <c r="Q106" i="5907" s="1"/>
  <c r="R106" i="5907" s="1"/>
  <c r="S106" i="5907" s="1"/>
  <c r="T106" i="5907" s="1"/>
  <c r="U106" i="5907" s="1"/>
  <c r="V106" i="5907" s="1"/>
  <c r="W106" i="5907" s="1"/>
  <c r="X106" i="5907" s="1"/>
  <c r="Y106" i="5907" s="1"/>
  <c r="Z106" i="5907" s="1"/>
  <c r="AA106" i="5907" s="1"/>
  <c r="AB106" i="5907" s="1"/>
  <c r="AC106" i="5907" s="1"/>
  <c r="AD106" i="5907" s="1"/>
  <c r="AE106" i="5907" s="1"/>
  <c r="AF106" i="5907" s="1"/>
  <c r="AG106" i="5907" s="1"/>
  <c r="AH106" i="5907" s="1"/>
  <c r="AI106" i="5907" s="1"/>
  <c r="AJ106" i="5907" s="1"/>
  <c r="AK106" i="5907" s="1"/>
  <c r="AL106" i="5907" s="1"/>
  <c r="AM106" i="5907" s="1"/>
  <c r="AN106" i="5907" s="1"/>
  <c r="AO106" i="5907" s="1"/>
  <c r="AP106" i="5907" s="1"/>
  <c r="AQ106" i="5907" s="1"/>
  <c r="AR106" i="5907" s="1"/>
  <c r="E106" i="5907"/>
  <c r="F106" i="5907" s="1"/>
  <c r="G106" i="5907" s="1"/>
  <c r="H106" i="5907" s="1"/>
  <c r="I106" i="5907" s="1"/>
  <c r="E102" i="5907"/>
  <c r="C92" i="5907"/>
  <c r="D85" i="5907"/>
  <c r="D84" i="5907"/>
  <c r="D70" i="5907"/>
  <c r="D65" i="5907"/>
  <c r="D64" i="5907"/>
  <c r="D63" i="5907"/>
  <c r="C60" i="5907"/>
  <c r="D59" i="5907"/>
  <c r="C58" i="5907"/>
  <c r="D57" i="5907"/>
  <c r="C56" i="5907"/>
  <c r="D55" i="5907"/>
  <c r="C53" i="5907"/>
  <c r="D49" i="5907"/>
  <c r="C49" i="5907"/>
  <c r="D48" i="5907"/>
  <c r="E47" i="5907"/>
  <c r="D47" i="5907"/>
  <c r="E46" i="5907"/>
  <c r="D46" i="5907"/>
  <c r="E45" i="5907"/>
  <c r="D45" i="5907"/>
  <c r="C44" i="5907"/>
  <c r="C41" i="5907"/>
  <c r="C152" i="5907" s="1"/>
  <c r="D40" i="5907"/>
  <c r="C35" i="5907"/>
  <c r="C33" i="5907"/>
  <c r="C27" i="5907"/>
  <c r="D26" i="5907"/>
  <c r="C25" i="5907"/>
  <c r="E16" i="5907"/>
  <c r="D16" i="5907"/>
  <c r="E15" i="5907"/>
  <c r="D15" i="5907"/>
  <c r="E13" i="5907"/>
  <c r="D13" i="5907"/>
  <c r="E12" i="5907"/>
  <c r="D12" i="5907"/>
  <c r="C8" i="5907"/>
  <c r="D21" i="5907" s="1"/>
  <c r="D5" i="5907"/>
  <c r="A1" i="5907"/>
  <c r="D179" i="5906"/>
  <c r="C179" i="5906"/>
  <c r="D178" i="5906"/>
  <c r="C178" i="5906"/>
  <c r="D177" i="5906"/>
  <c r="C177" i="5906"/>
  <c r="B177" i="5906"/>
  <c r="D176" i="5906"/>
  <c r="C176" i="5906"/>
  <c r="B176" i="5906"/>
  <c r="D175" i="5906"/>
  <c r="C175" i="5906"/>
  <c r="B175" i="5906"/>
  <c r="D174" i="5906"/>
  <c r="C174" i="5906"/>
  <c r="B174" i="5906"/>
  <c r="D173" i="5906"/>
  <c r="B173" i="5906"/>
  <c r="D172" i="5906"/>
  <c r="C172" i="5906"/>
  <c r="C173" i="5906" s="1"/>
  <c r="B172" i="5906"/>
  <c r="D171" i="5906"/>
  <c r="C171" i="5906"/>
  <c r="D170" i="5906"/>
  <c r="C170" i="5906"/>
  <c r="D169" i="5906"/>
  <c r="D168" i="5906"/>
  <c r="C168" i="5906"/>
  <c r="C169" i="5906" s="1"/>
  <c r="D167" i="5906"/>
  <c r="C167" i="5906"/>
  <c r="D166" i="5906"/>
  <c r="C166" i="5906"/>
  <c r="D165" i="5906"/>
  <c r="D164" i="5906"/>
  <c r="C164" i="5906"/>
  <c r="C165" i="5906" s="1"/>
  <c r="C154" i="5906"/>
  <c r="D151" i="5906"/>
  <c r="AR147" i="5906"/>
  <c r="AQ147" i="5906"/>
  <c r="AP147" i="5906"/>
  <c r="AO147" i="5906"/>
  <c r="AN147" i="5906"/>
  <c r="AM147" i="5906"/>
  <c r="AL147" i="5906"/>
  <c r="AK147" i="5906"/>
  <c r="AJ147" i="5906"/>
  <c r="AI147" i="5906"/>
  <c r="AH147" i="5906"/>
  <c r="AG147" i="5906"/>
  <c r="AF147" i="5906"/>
  <c r="AE147" i="5906"/>
  <c r="AD147" i="5906"/>
  <c r="AC147" i="5906"/>
  <c r="AB147" i="5906"/>
  <c r="AA147" i="5906"/>
  <c r="Z147" i="5906"/>
  <c r="Y147" i="5906"/>
  <c r="X147" i="5906"/>
  <c r="W147" i="5906"/>
  <c r="V147" i="5906"/>
  <c r="U147" i="5906"/>
  <c r="T147" i="5906"/>
  <c r="AR145" i="5906"/>
  <c r="AQ145" i="5906"/>
  <c r="AP145" i="5906"/>
  <c r="AO145" i="5906"/>
  <c r="AN145" i="5906"/>
  <c r="AM145" i="5906"/>
  <c r="AL145" i="5906"/>
  <c r="AK145" i="5906"/>
  <c r="AJ145" i="5906"/>
  <c r="AI145" i="5906"/>
  <c r="AH145" i="5906"/>
  <c r="AG145" i="5906"/>
  <c r="AF145" i="5906"/>
  <c r="AE145" i="5906"/>
  <c r="AD145" i="5906"/>
  <c r="AC145" i="5906"/>
  <c r="AB145" i="5906"/>
  <c r="AA145" i="5906"/>
  <c r="Z145" i="5906"/>
  <c r="Y145" i="5906"/>
  <c r="X145" i="5906"/>
  <c r="W145" i="5906"/>
  <c r="V145" i="5906"/>
  <c r="U145" i="5906"/>
  <c r="T145" i="5906"/>
  <c r="C145" i="5906"/>
  <c r="AK137" i="5906"/>
  <c r="AI137" i="5906"/>
  <c r="AH137" i="5906"/>
  <c r="Y137" i="5906"/>
  <c r="X137" i="5906"/>
  <c r="V137" i="5906"/>
  <c r="AR136" i="5906"/>
  <c r="AQ136" i="5906"/>
  <c r="AP136" i="5906"/>
  <c r="AO136" i="5906"/>
  <c r="AN136" i="5906"/>
  <c r="AN137" i="5906" s="1"/>
  <c r="AM136" i="5906"/>
  <c r="AM137" i="5906" s="1"/>
  <c r="AL136" i="5906"/>
  <c r="AK136" i="5906"/>
  <c r="AJ136" i="5906"/>
  <c r="AI136" i="5906"/>
  <c r="AH136" i="5906"/>
  <c r="AG136" i="5906"/>
  <c r="AF136" i="5906"/>
  <c r="AE136" i="5906"/>
  <c r="AD136" i="5906"/>
  <c r="AC136" i="5906"/>
  <c r="AB136" i="5906"/>
  <c r="AB137" i="5906" s="1"/>
  <c r="AA136" i="5906"/>
  <c r="AA137" i="5906" s="1"/>
  <c r="Z136" i="5906"/>
  <c r="Y136" i="5906"/>
  <c r="X136" i="5906"/>
  <c r="W136" i="5906"/>
  <c r="V136" i="5906"/>
  <c r="U136" i="5906"/>
  <c r="T136" i="5906"/>
  <c r="AR135" i="5906"/>
  <c r="AQ135" i="5906"/>
  <c r="AQ137" i="5906" s="1"/>
  <c r="AP135" i="5906"/>
  <c r="AP137" i="5906" s="1"/>
  <c r="AO135" i="5906"/>
  <c r="AN135" i="5906"/>
  <c r="AM135" i="5906"/>
  <c r="AL135" i="5906"/>
  <c r="AL137" i="5906" s="1"/>
  <c r="AK135" i="5906"/>
  <c r="AJ135" i="5906"/>
  <c r="AJ137" i="5906" s="1"/>
  <c r="AI135" i="5906"/>
  <c r="AH135" i="5906"/>
  <c r="AG135" i="5906"/>
  <c r="AG137" i="5906" s="1"/>
  <c r="AF135" i="5906"/>
  <c r="AE135" i="5906"/>
  <c r="AE137" i="5906" s="1"/>
  <c r="AD135" i="5906"/>
  <c r="AD137" i="5906" s="1"/>
  <c r="AC135" i="5906"/>
  <c r="AB135" i="5906"/>
  <c r="AA135" i="5906"/>
  <c r="Z135" i="5906"/>
  <c r="Z137" i="5906" s="1"/>
  <c r="Y135" i="5906"/>
  <c r="X135" i="5906"/>
  <c r="W135" i="5906"/>
  <c r="W137" i="5906" s="1"/>
  <c r="V135" i="5906"/>
  <c r="U135" i="5906"/>
  <c r="U137" i="5906" s="1"/>
  <c r="T135" i="5906"/>
  <c r="AR134" i="5906"/>
  <c r="AQ134" i="5906"/>
  <c r="AP134" i="5906"/>
  <c r="AO134" i="5906"/>
  <c r="AN134" i="5906"/>
  <c r="AM134" i="5906"/>
  <c r="AL134" i="5906"/>
  <c r="AK134" i="5906"/>
  <c r="AJ134" i="5906"/>
  <c r="AI134" i="5906"/>
  <c r="AH134" i="5906"/>
  <c r="AG134" i="5906"/>
  <c r="AF134" i="5906"/>
  <c r="AE134" i="5906"/>
  <c r="AD134" i="5906"/>
  <c r="AC134" i="5906"/>
  <c r="AB134" i="5906"/>
  <c r="AA134" i="5906"/>
  <c r="Z134" i="5906"/>
  <c r="Y134" i="5906"/>
  <c r="AQ131" i="5906"/>
  <c r="AJ131" i="5906"/>
  <c r="AI131" i="5906"/>
  <c r="AH131" i="5906"/>
  <c r="AI127" i="5906"/>
  <c r="W126" i="5906"/>
  <c r="AH125" i="5906"/>
  <c r="AF125" i="5906"/>
  <c r="AA125" i="5906"/>
  <c r="X125" i="5906"/>
  <c r="W125" i="5906"/>
  <c r="V125" i="5906"/>
  <c r="T125" i="5906"/>
  <c r="L125" i="5906"/>
  <c r="J125" i="5906"/>
  <c r="H125" i="5906"/>
  <c r="E125" i="5906"/>
  <c r="C125" i="5906"/>
  <c r="AR124" i="5906"/>
  <c r="AG124" i="5906"/>
  <c r="AF124" i="5906"/>
  <c r="AE124" i="5906"/>
  <c r="J124" i="5906"/>
  <c r="E124" i="5906"/>
  <c r="C124" i="5906"/>
  <c r="AR123" i="5906"/>
  <c r="AQ123" i="5906"/>
  <c r="AP123" i="5906"/>
  <c r="AO123" i="5906"/>
  <c r="AN123" i="5906"/>
  <c r="AM123" i="5906"/>
  <c r="AL123" i="5906"/>
  <c r="AK123" i="5906"/>
  <c r="AJ123" i="5906"/>
  <c r="AI123" i="5906"/>
  <c r="AH123" i="5906"/>
  <c r="AG123" i="5906"/>
  <c r="AF123" i="5906"/>
  <c r="AE123" i="5906"/>
  <c r="AD123" i="5906"/>
  <c r="AC123" i="5906"/>
  <c r="AB123" i="5906"/>
  <c r="AA123" i="5906"/>
  <c r="Z123" i="5906"/>
  <c r="Y123" i="5906"/>
  <c r="X123" i="5906"/>
  <c r="W123" i="5906"/>
  <c r="V123" i="5906"/>
  <c r="U123" i="5906"/>
  <c r="T123" i="5906"/>
  <c r="S123" i="5906"/>
  <c r="R123" i="5906"/>
  <c r="Q123" i="5906"/>
  <c r="P123" i="5906"/>
  <c r="O123" i="5906"/>
  <c r="N123" i="5906"/>
  <c r="M123" i="5906"/>
  <c r="L123" i="5906"/>
  <c r="K123" i="5906"/>
  <c r="J123" i="5906"/>
  <c r="I123" i="5906"/>
  <c r="H123" i="5906"/>
  <c r="G123" i="5906"/>
  <c r="F123" i="5906"/>
  <c r="E123" i="5906"/>
  <c r="AR122" i="5906"/>
  <c r="AQ122" i="5906"/>
  <c r="AP122" i="5906"/>
  <c r="AO122" i="5906"/>
  <c r="AN122" i="5906"/>
  <c r="AM122" i="5906"/>
  <c r="AL122" i="5906"/>
  <c r="AK122" i="5906"/>
  <c r="AJ122" i="5906"/>
  <c r="AI122" i="5906"/>
  <c r="AH122" i="5906"/>
  <c r="AG122" i="5906"/>
  <c r="AF122" i="5906"/>
  <c r="AE122" i="5906"/>
  <c r="AD122" i="5906"/>
  <c r="AC122" i="5906"/>
  <c r="AB122" i="5906"/>
  <c r="AA122" i="5906"/>
  <c r="Z122" i="5906"/>
  <c r="Y122" i="5906"/>
  <c r="X122" i="5906"/>
  <c r="U122" i="5906"/>
  <c r="S122" i="5906"/>
  <c r="R122" i="5906"/>
  <c r="Q122" i="5906"/>
  <c r="P122" i="5906"/>
  <c r="O122" i="5906"/>
  <c r="N122" i="5906"/>
  <c r="M122" i="5906"/>
  <c r="L122" i="5906"/>
  <c r="K122" i="5906"/>
  <c r="J122" i="5906"/>
  <c r="I122" i="5906"/>
  <c r="H122" i="5906"/>
  <c r="G122" i="5906"/>
  <c r="F122" i="5906"/>
  <c r="E122" i="5906"/>
  <c r="AR121" i="5906"/>
  <c r="AQ121" i="5906"/>
  <c r="AP121" i="5906"/>
  <c r="AO121" i="5906"/>
  <c r="AN121" i="5906"/>
  <c r="AM121" i="5906"/>
  <c r="AL121" i="5906"/>
  <c r="AL131" i="5906" s="1"/>
  <c r="AK121" i="5906"/>
  <c r="AJ121" i="5906"/>
  <c r="AI121" i="5906"/>
  <c r="AH121" i="5906"/>
  <c r="AG121" i="5906"/>
  <c r="AF121" i="5906"/>
  <c r="AE121" i="5906"/>
  <c r="AD121" i="5906"/>
  <c r="AC121" i="5906"/>
  <c r="AB121" i="5906"/>
  <c r="AA121" i="5906"/>
  <c r="Z121" i="5906"/>
  <c r="Y121" i="5906"/>
  <c r="X121" i="5906"/>
  <c r="W121" i="5906"/>
  <c r="V121" i="5906"/>
  <c r="U121" i="5906"/>
  <c r="T121" i="5906"/>
  <c r="S121" i="5906"/>
  <c r="R121" i="5906"/>
  <c r="Q121" i="5906"/>
  <c r="P121" i="5906"/>
  <c r="O121" i="5906"/>
  <c r="N121" i="5906"/>
  <c r="M121" i="5906"/>
  <c r="L121" i="5906"/>
  <c r="K121" i="5906"/>
  <c r="J121" i="5906"/>
  <c r="I121" i="5906"/>
  <c r="H121" i="5906"/>
  <c r="G121" i="5906"/>
  <c r="F121" i="5906"/>
  <c r="E121" i="5906"/>
  <c r="AR120" i="5906"/>
  <c r="AR131" i="5906" s="1"/>
  <c r="AQ120" i="5906"/>
  <c r="AP120" i="5906"/>
  <c r="AP131" i="5906" s="1"/>
  <c r="AO120" i="5906"/>
  <c r="AO131" i="5906" s="1"/>
  <c r="AN120" i="5906"/>
  <c r="AM120" i="5906"/>
  <c r="AM131" i="5906" s="1"/>
  <c r="AL120" i="5906"/>
  <c r="AK120" i="5906"/>
  <c r="AJ120" i="5906"/>
  <c r="AI120" i="5906"/>
  <c r="AH120" i="5906"/>
  <c r="AG120" i="5906"/>
  <c r="AG131" i="5906" s="1"/>
  <c r="AF120" i="5906"/>
  <c r="AF131" i="5906" s="1"/>
  <c r="AE120" i="5906"/>
  <c r="AE131" i="5906" s="1"/>
  <c r="AD120" i="5906"/>
  <c r="AD131" i="5906" s="1"/>
  <c r="AC120" i="5906"/>
  <c r="AC131" i="5906" s="1"/>
  <c r="AB120" i="5906"/>
  <c r="AA120" i="5906"/>
  <c r="AA131" i="5906" s="1"/>
  <c r="Z120" i="5906"/>
  <c r="Y120" i="5906"/>
  <c r="AI118" i="5906"/>
  <c r="O118" i="5906"/>
  <c r="O145" i="5906" s="1"/>
  <c r="C118" i="5906"/>
  <c r="AR117" i="5906"/>
  <c r="AQ117" i="5906"/>
  <c r="AP117" i="5906"/>
  <c r="AO117" i="5906"/>
  <c r="AN117" i="5906"/>
  <c r="AM117" i="5906"/>
  <c r="AL117" i="5906"/>
  <c r="AK117" i="5906"/>
  <c r="AJ117" i="5906"/>
  <c r="AI117" i="5906"/>
  <c r="AH117" i="5906"/>
  <c r="AG117" i="5906"/>
  <c r="AF117" i="5906"/>
  <c r="AE117" i="5906"/>
  <c r="AD117" i="5906"/>
  <c r="AC117" i="5906"/>
  <c r="AB117" i="5906"/>
  <c r="AA117" i="5906"/>
  <c r="Z117" i="5906"/>
  <c r="Y117" i="5906"/>
  <c r="X117" i="5906"/>
  <c r="W117" i="5906"/>
  <c r="V117" i="5906"/>
  <c r="U117" i="5906"/>
  <c r="T117" i="5906"/>
  <c r="S117" i="5906"/>
  <c r="R117" i="5906"/>
  <c r="Q117" i="5906"/>
  <c r="P117" i="5906"/>
  <c r="O117" i="5906"/>
  <c r="N117" i="5906"/>
  <c r="M117" i="5906"/>
  <c r="L117" i="5906"/>
  <c r="K117" i="5906"/>
  <c r="J117" i="5906"/>
  <c r="I117" i="5906"/>
  <c r="H117" i="5906"/>
  <c r="G117" i="5906"/>
  <c r="F117" i="5906"/>
  <c r="E117" i="5906"/>
  <c r="AR116" i="5906"/>
  <c r="AQ116" i="5906"/>
  <c r="AP116" i="5906"/>
  <c r="AO116" i="5906"/>
  <c r="AN116" i="5906"/>
  <c r="AM116" i="5906"/>
  <c r="AL116" i="5906"/>
  <c r="AK116" i="5906"/>
  <c r="AJ116" i="5906"/>
  <c r="AI116" i="5906"/>
  <c r="AH116" i="5906"/>
  <c r="AG116" i="5906"/>
  <c r="AF116" i="5906"/>
  <c r="AE116" i="5906"/>
  <c r="AD116" i="5906"/>
  <c r="AC116" i="5906"/>
  <c r="AB116" i="5906"/>
  <c r="AA116" i="5906"/>
  <c r="Z116" i="5906"/>
  <c r="Y116" i="5906"/>
  <c r="X116" i="5906"/>
  <c r="W116" i="5906"/>
  <c r="V116" i="5906"/>
  <c r="U116" i="5906"/>
  <c r="T116" i="5906"/>
  <c r="S116" i="5906"/>
  <c r="R116" i="5906"/>
  <c r="Q116" i="5906"/>
  <c r="P116" i="5906"/>
  <c r="O116" i="5906"/>
  <c r="N116" i="5906"/>
  <c r="M116" i="5906"/>
  <c r="L116" i="5906"/>
  <c r="K116" i="5906"/>
  <c r="J116" i="5906"/>
  <c r="I116" i="5906"/>
  <c r="H116" i="5906"/>
  <c r="G116" i="5906"/>
  <c r="F116" i="5906"/>
  <c r="E116" i="5906"/>
  <c r="C116" i="5906"/>
  <c r="AO115" i="5906"/>
  <c r="AO118" i="5906" s="1"/>
  <c r="AN115" i="5906"/>
  <c r="AN118" i="5906" s="1"/>
  <c r="AN128" i="5906" s="1"/>
  <c r="AM115" i="5906"/>
  <c r="AM118" i="5906" s="1"/>
  <c r="AL115" i="5906"/>
  <c r="AL118" i="5906" s="1"/>
  <c r="AK115" i="5906"/>
  <c r="AK118" i="5906" s="1"/>
  <c r="AJ115" i="5906"/>
  <c r="AJ118" i="5906" s="1"/>
  <c r="AI115" i="5906"/>
  <c r="AA115" i="5906"/>
  <c r="AA118" i="5906" s="1"/>
  <c r="Y115" i="5906"/>
  <c r="Y118" i="5906" s="1"/>
  <c r="X115" i="5906"/>
  <c r="X118" i="5906" s="1"/>
  <c r="W115" i="5906"/>
  <c r="W118" i="5906" s="1"/>
  <c r="S115" i="5906"/>
  <c r="S118" i="5906" s="1"/>
  <c r="S145" i="5906" s="1"/>
  <c r="Q115" i="5906"/>
  <c r="Q118" i="5906" s="1"/>
  <c r="Q145" i="5906" s="1"/>
  <c r="P115" i="5906"/>
  <c r="P118" i="5906" s="1"/>
  <c r="P145" i="5906" s="1"/>
  <c r="O115" i="5906"/>
  <c r="K115" i="5906"/>
  <c r="K118" i="5906" s="1"/>
  <c r="E115" i="5906"/>
  <c r="C159" i="5906" s="1"/>
  <c r="C160" i="5906" s="1"/>
  <c r="C115" i="5906"/>
  <c r="AR109" i="5906"/>
  <c r="AQ109" i="5906"/>
  <c r="AP109" i="5906"/>
  <c r="AO109" i="5906"/>
  <c r="AN109" i="5906"/>
  <c r="AM109" i="5906"/>
  <c r="AL109" i="5906"/>
  <c r="AK109" i="5906"/>
  <c r="AJ109" i="5906"/>
  <c r="AI109" i="5906"/>
  <c r="AH109" i="5906"/>
  <c r="AG109" i="5906"/>
  <c r="AF109" i="5906"/>
  <c r="AE109" i="5906"/>
  <c r="AD109" i="5906"/>
  <c r="AC109" i="5906"/>
  <c r="AB109" i="5906"/>
  <c r="AA109" i="5906"/>
  <c r="Z109" i="5906"/>
  <c r="Y109" i="5906"/>
  <c r="X109" i="5906"/>
  <c r="W109" i="5906"/>
  <c r="W122" i="5906" s="1"/>
  <c r="V109" i="5906"/>
  <c r="V122" i="5906" s="1"/>
  <c r="U109" i="5906"/>
  <c r="T109" i="5906"/>
  <c r="S109" i="5906"/>
  <c r="S108" i="5906" s="1"/>
  <c r="S127" i="5906" s="1"/>
  <c r="R109" i="5906"/>
  <c r="R108" i="5906" s="1"/>
  <c r="Q109" i="5906"/>
  <c r="P109" i="5906"/>
  <c r="P108" i="5906" s="1"/>
  <c r="P124" i="5906" s="1"/>
  <c r="O109" i="5906"/>
  <c r="N109" i="5906"/>
  <c r="M109" i="5906"/>
  <c r="L109" i="5906"/>
  <c r="K109" i="5906"/>
  <c r="J109" i="5906"/>
  <c r="I109" i="5906"/>
  <c r="H109" i="5906"/>
  <c r="H108" i="5906" s="1"/>
  <c r="H124" i="5906" s="1"/>
  <c r="G109" i="5906"/>
  <c r="G108" i="5906" s="1"/>
  <c r="G124" i="5906" s="1"/>
  <c r="F109" i="5906"/>
  <c r="F108" i="5906" s="1"/>
  <c r="E109" i="5906"/>
  <c r="AR108" i="5906"/>
  <c r="AQ108" i="5906"/>
  <c r="AQ124" i="5906" s="1"/>
  <c r="AP108" i="5906"/>
  <c r="AP124" i="5906" s="1"/>
  <c r="AO108" i="5906"/>
  <c r="AN108" i="5906"/>
  <c r="AN124" i="5906" s="1"/>
  <c r="AM108" i="5906"/>
  <c r="AM124" i="5906" s="1"/>
  <c r="AL108" i="5906"/>
  <c r="AK108" i="5906"/>
  <c r="AJ108" i="5906"/>
  <c r="AJ124" i="5906" s="1"/>
  <c r="AI108" i="5906"/>
  <c r="AI124" i="5906" s="1"/>
  <c r="AH108" i="5906"/>
  <c r="AH124" i="5906" s="1"/>
  <c r="AG108" i="5906"/>
  <c r="AF108" i="5906"/>
  <c r="AE108" i="5906"/>
  <c r="AD108" i="5906"/>
  <c r="AD124" i="5906" s="1"/>
  <c r="AC108" i="5906"/>
  <c r="AB108" i="5906"/>
  <c r="AB124" i="5906" s="1"/>
  <c r="AA108" i="5906"/>
  <c r="Z108" i="5906"/>
  <c r="Z124" i="5906" s="1"/>
  <c r="Y108" i="5906"/>
  <c r="X108" i="5906"/>
  <c r="X124" i="5906" s="1"/>
  <c r="X128" i="5906" s="1"/>
  <c r="W108" i="5906"/>
  <c r="W124" i="5906" s="1"/>
  <c r="V108" i="5906"/>
  <c r="O108" i="5906"/>
  <c r="O124" i="5906" s="1"/>
  <c r="N108" i="5906"/>
  <c r="N124" i="5906" s="1"/>
  <c r="L108" i="5906"/>
  <c r="L124" i="5906" s="1"/>
  <c r="K108" i="5906"/>
  <c r="K124" i="5906" s="1"/>
  <c r="J108" i="5906"/>
  <c r="I108" i="5906"/>
  <c r="I124" i="5906" s="1"/>
  <c r="D108" i="5906"/>
  <c r="AR107" i="5906"/>
  <c r="AR125" i="5906" s="1"/>
  <c r="AQ107" i="5906"/>
  <c r="AQ125" i="5906" s="1"/>
  <c r="AP107" i="5906"/>
  <c r="AP125" i="5906" s="1"/>
  <c r="AO107" i="5906"/>
  <c r="AO125" i="5906" s="1"/>
  <c r="AN107" i="5906"/>
  <c r="AN125" i="5906" s="1"/>
  <c r="AN126" i="5906" s="1"/>
  <c r="AM107" i="5906"/>
  <c r="AM125" i="5906" s="1"/>
  <c r="AM126" i="5906" s="1"/>
  <c r="AL107" i="5906"/>
  <c r="AL125" i="5906" s="1"/>
  <c r="AK107" i="5906"/>
  <c r="AK125" i="5906" s="1"/>
  <c r="AJ107" i="5906"/>
  <c r="AJ125" i="5906" s="1"/>
  <c r="AI107" i="5906"/>
  <c r="AI125" i="5906" s="1"/>
  <c r="AH107" i="5906"/>
  <c r="AG107" i="5906"/>
  <c r="AG125" i="5906" s="1"/>
  <c r="AF107" i="5906"/>
  <c r="AE107" i="5906"/>
  <c r="AE125" i="5906" s="1"/>
  <c r="AD107" i="5906"/>
  <c r="AD125" i="5906" s="1"/>
  <c r="AC107" i="5906"/>
  <c r="AC125" i="5906" s="1"/>
  <c r="AB107" i="5906"/>
  <c r="AB125" i="5906" s="1"/>
  <c r="AA107" i="5906"/>
  <c r="Z107" i="5906"/>
  <c r="Z125" i="5906" s="1"/>
  <c r="Y107" i="5906"/>
  <c r="Y125" i="5906" s="1"/>
  <c r="X107" i="5906"/>
  <c r="W107" i="5906"/>
  <c r="V107" i="5906"/>
  <c r="U107" i="5906"/>
  <c r="U125" i="5906" s="1"/>
  <c r="T107" i="5906"/>
  <c r="S107" i="5906"/>
  <c r="S125" i="5906" s="1"/>
  <c r="R107" i="5906"/>
  <c r="R125" i="5906" s="1"/>
  <c r="Q107" i="5906"/>
  <c r="Q125" i="5906" s="1"/>
  <c r="P107" i="5906"/>
  <c r="P125" i="5906" s="1"/>
  <c r="O107" i="5906"/>
  <c r="O125" i="5906" s="1"/>
  <c r="N107" i="5906"/>
  <c r="N125" i="5906" s="1"/>
  <c r="M107" i="5906"/>
  <c r="M125" i="5906" s="1"/>
  <c r="L107" i="5906"/>
  <c r="K107" i="5906"/>
  <c r="K125" i="5906" s="1"/>
  <c r="J107" i="5906"/>
  <c r="I107" i="5906"/>
  <c r="I125" i="5906" s="1"/>
  <c r="H107" i="5906"/>
  <c r="G107" i="5906"/>
  <c r="G125" i="5906" s="1"/>
  <c r="F107" i="5906"/>
  <c r="F125" i="5906" s="1"/>
  <c r="D107" i="5906"/>
  <c r="V106" i="5906"/>
  <c r="W106" i="5906" s="1"/>
  <c r="X106" i="5906" s="1"/>
  <c r="Y106" i="5906" s="1"/>
  <c r="Z106" i="5906" s="1"/>
  <c r="AA106" i="5906" s="1"/>
  <c r="AB106" i="5906" s="1"/>
  <c r="AC106" i="5906" s="1"/>
  <c r="AD106" i="5906" s="1"/>
  <c r="AE106" i="5906" s="1"/>
  <c r="AF106" i="5906" s="1"/>
  <c r="AG106" i="5906" s="1"/>
  <c r="AH106" i="5906" s="1"/>
  <c r="AI106" i="5906" s="1"/>
  <c r="AJ106" i="5906" s="1"/>
  <c r="AK106" i="5906" s="1"/>
  <c r="AL106" i="5906" s="1"/>
  <c r="AM106" i="5906" s="1"/>
  <c r="AN106" i="5906" s="1"/>
  <c r="AO106" i="5906" s="1"/>
  <c r="AP106" i="5906" s="1"/>
  <c r="AQ106" i="5906" s="1"/>
  <c r="AR106" i="5906" s="1"/>
  <c r="F106" i="5906"/>
  <c r="G106" i="5906" s="1"/>
  <c r="H106" i="5906" s="1"/>
  <c r="I106" i="5906" s="1"/>
  <c r="J106" i="5906" s="1"/>
  <c r="K106" i="5906" s="1"/>
  <c r="L106" i="5906" s="1"/>
  <c r="M106" i="5906" s="1"/>
  <c r="N106" i="5906" s="1"/>
  <c r="O106" i="5906" s="1"/>
  <c r="P106" i="5906" s="1"/>
  <c r="Q106" i="5906" s="1"/>
  <c r="R106" i="5906" s="1"/>
  <c r="S106" i="5906" s="1"/>
  <c r="T106" i="5906" s="1"/>
  <c r="U106" i="5906" s="1"/>
  <c r="E106" i="5906"/>
  <c r="E102" i="5906" s="1"/>
  <c r="C92" i="5906"/>
  <c r="D85" i="5906"/>
  <c r="D84" i="5906"/>
  <c r="D70" i="5906"/>
  <c r="D65" i="5906"/>
  <c r="D64" i="5906"/>
  <c r="D63" i="5906"/>
  <c r="C60" i="5906"/>
  <c r="D59" i="5906"/>
  <c r="C58" i="5906"/>
  <c r="D57" i="5906"/>
  <c r="C56" i="5906"/>
  <c r="D55" i="5906"/>
  <c r="C53" i="5906"/>
  <c r="D49" i="5906"/>
  <c r="C49" i="5906"/>
  <c r="D48" i="5906"/>
  <c r="E47" i="5906"/>
  <c r="D47" i="5906"/>
  <c r="E46" i="5906"/>
  <c r="D46" i="5906"/>
  <c r="E45" i="5906"/>
  <c r="D45" i="5906"/>
  <c r="C44" i="5906"/>
  <c r="D43" i="5906"/>
  <c r="D42" i="5906"/>
  <c r="C41" i="5906"/>
  <c r="C152" i="5906" s="1"/>
  <c r="K134" i="5906" s="1"/>
  <c r="D40" i="5906"/>
  <c r="D39" i="5906"/>
  <c r="C35" i="5906"/>
  <c r="C34" i="5906"/>
  <c r="AQ115" i="5906" s="1"/>
  <c r="C33" i="5906"/>
  <c r="C27" i="5906"/>
  <c r="D26" i="5906"/>
  <c r="C25" i="5906"/>
  <c r="D21" i="5906"/>
  <c r="E16" i="5906"/>
  <c r="D16" i="5906"/>
  <c r="E15" i="5906"/>
  <c r="D15" i="5906"/>
  <c r="E13" i="5906"/>
  <c r="D13" i="5906"/>
  <c r="E12" i="5906"/>
  <c r="D12" i="5906"/>
  <c r="C8" i="5906"/>
  <c r="D28" i="5906" s="1"/>
  <c r="D5" i="5906"/>
  <c r="A1" i="5906"/>
  <c r="D179" i="5905"/>
  <c r="C179" i="5905"/>
  <c r="D178" i="5905"/>
  <c r="C178" i="5905"/>
  <c r="D177" i="5905"/>
  <c r="C177" i="5905"/>
  <c r="B177" i="5905"/>
  <c r="D176" i="5905"/>
  <c r="C176" i="5905"/>
  <c r="B176" i="5905"/>
  <c r="D175" i="5905"/>
  <c r="C175" i="5905"/>
  <c r="B175" i="5905"/>
  <c r="D174" i="5905"/>
  <c r="C174" i="5905"/>
  <c r="C173" i="5905" s="1"/>
  <c r="B174" i="5905"/>
  <c r="D173" i="5905"/>
  <c r="B173" i="5905"/>
  <c r="D172" i="5905"/>
  <c r="C172" i="5905"/>
  <c r="B172" i="5905"/>
  <c r="D171" i="5905"/>
  <c r="C171" i="5905"/>
  <c r="D170" i="5905"/>
  <c r="C170" i="5905"/>
  <c r="D169" i="5905"/>
  <c r="C169" i="5905"/>
  <c r="D168" i="5905"/>
  <c r="C168" i="5905"/>
  <c r="D167" i="5905"/>
  <c r="C167" i="5905"/>
  <c r="D166" i="5905"/>
  <c r="C166" i="5905"/>
  <c r="D165" i="5905"/>
  <c r="C165" i="5905"/>
  <c r="D164" i="5905"/>
  <c r="C164" i="5905"/>
  <c r="D151" i="5905"/>
  <c r="AR147" i="5905"/>
  <c r="AQ147" i="5905"/>
  <c r="AP147" i="5905"/>
  <c r="AO147" i="5905"/>
  <c r="AN147" i="5905"/>
  <c r="AM147" i="5905"/>
  <c r="AL147" i="5905"/>
  <c r="AK147" i="5905"/>
  <c r="AJ147" i="5905"/>
  <c r="AI147" i="5905"/>
  <c r="AH147" i="5905"/>
  <c r="AG147" i="5905"/>
  <c r="AF147" i="5905"/>
  <c r="AE147" i="5905"/>
  <c r="AD147" i="5905"/>
  <c r="AC147" i="5905"/>
  <c r="AB147" i="5905"/>
  <c r="AA147" i="5905"/>
  <c r="Z147" i="5905"/>
  <c r="Y147" i="5905"/>
  <c r="X147" i="5905"/>
  <c r="W147" i="5905"/>
  <c r="V147" i="5905"/>
  <c r="U147" i="5905"/>
  <c r="T147" i="5905"/>
  <c r="AR145" i="5905"/>
  <c r="AQ145" i="5905"/>
  <c r="AP145" i="5905"/>
  <c r="AO145" i="5905"/>
  <c r="AN145" i="5905"/>
  <c r="AM145" i="5905"/>
  <c r="AL145" i="5905"/>
  <c r="AK145" i="5905"/>
  <c r="AJ145" i="5905"/>
  <c r="AI145" i="5905"/>
  <c r="AH145" i="5905"/>
  <c r="AG145" i="5905"/>
  <c r="AF145" i="5905"/>
  <c r="AE145" i="5905"/>
  <c r="AD145" i="5905"/>
  <c r="AC145" i="5905"/>
  <c r="AB145" i="5905"/>
  <c r="AA145" i="5905"/>
  <c r="Z145" i="5905"/>
  <c r="Y145" i="5905"/>
  <c r="X145" i="5905"/>
  <c r="W145" i="5905"/>
  <c r="V145" i="5905"/>
  <c r="U145" i="5905"/>
  <c r="T145" i="5905"/>
  <c r="C145" i="5905"/>
  <c r="AR137" i="5905"/>
  <c r="AQ137" i="5905"/>
  <c r="AP137" i="5905"/>
  <c r="AO137" i="5905"/>
  <c r="AM137" i="5905"/>
  <c r="AJ137" i="5905"/>
  <c r="AF137" i="5905"/>
  <c r="AD137" i="5905"/>
  <c r="AC137" i="5905"/>
  <c r="AA137" i="5905"/>
  <c r="T137" i="5905"/>
  <c r="AR136" i="5905"/>
  <c r="AQ136" i="5905"/>
  <c r="AP136" i="5905"/>
  <c r="AO136" i="5905"/>
  <c r="AN136" i="5905"/>
  <c r="AM136" i="5905"/>
  <c r="AL136" i="5905"/>
  <c r="AK136" i="5905"/>
  <c r="AJ136" i="5905"/>
  <c r="AI136" i="5905"/>
  <c r="AH136" i="5905"/>
  <c r="AH137" i="5905" s="1"/>
  <c r="AG136" i="5905"/>
  <c r="AF136" i="5905"/>
  <c r="AE136" i="5905"/>
  <c r="AE137" i="5905" s="1"/>
  <c r="AD136" i="5905"/>
  <c r="AC136" i="5905"/>
  <c r="AB136" i="5905"/>
  <c r="AA136" i="5905"/>
  <c r="Z136" i="5905"/>
  <c r="Y136" i="5905"/>
  <c r="X136" i="5905"/>
  <c r="W136" i="5905"/>
  <c r="V136" i="5905"/>
  <c r="V137" i="5905" s="1"/>
  <c r="U136" i="5905"/>
  <c r="T136" i="5905"/>
  <c r="AR135" i="5905"/>
  <c r="AQ135" i="5905"/>
  <c r="AP135" i="5905"/>
  <c r="AO135" i="5905"/>
  <c r="AN135" i="5905"/>
  <c r="AN137" i="5905" s="1"/>
  <c r="AM135" i="5905"/>
  <c r="AL135" i="5905"/>
  <c r="AK135" i="5905"/>
  <c r="AK137" i="5905" s="1"/>
  <c r="AJ135" i="5905"/>
  <c r="AI135" i="5905"/>
  <c r="AI137" i="5905" s="1"/>
  <c r="AH135" i="5905"/>
  <c r="AG135" i="5905"/>
  <c r="AF135" i="5905"/>
  <c r="AE135" i="5905"/>
  <c r="AD135" i="5905"/>
  <c r="AC135" i="5905"/>
  <c r="AB135" i="5905"/>
  <c r="AB137" i="5905" s="1"/>
  <c r="AA135" i="5905"/>
  <c r="Z135" i="5905"/>
  <c r="Y135" i="5905"/>
  <c r="Y137" i="5905" s="1"/>
  <c r="X135" i="5905"/>
  <c r="X137" i="5905" s="1"/>
  <c r="W135" i="5905"/>
  <c r="W137" i="5905" s="1"/>
  <c r="V135" i="5905"/>
  <c r="U135" i="5905"/>
  <c r="T135" i="5905"/>
  <c r="AR134" i="5905"/>
  <c r="AQ134" i="5905"/>
  <c r="AP134" i="5905"/>
  <c r="AO134" i="5905"/>
  <c r="AN134" i="5905"/>
  <c r="AM134" i="5905"/>
  <c r="AL134" i="5905"/>
  <c r="AK134" i="5905"/>
  <c r="AJ134" i="5905"/>
  <c r="AI134" i="5905"/>
  <c r="AH134" i="5905"/>
  <c r="AG134" i="5905"/>
  <c r="AF134" i="5905"/>
  <c r="AE134" i="5905"/>
  <c r="AD134" i="5905"/>
  <c r="AC134" i="5905"/>
  <c r="AB134" i="5905"/>
  <c r="AA134" i="5905"/>
  <c r="Z134" i="5905"/>
  <c r="Y134" i="5905"/>
  <c r="AP131" i="5905"/>
  <c r="AK131" i="5905"/>
  <c r="AH131" i="5905"/>
  <c r="AD131" i="5905"/>
  <c r="AQ125" i="5905"/>
  <c r="AP125" i="5905"/>
  <c r="AO125" i="5905"/>
  <c r="AN125" i="5905"/>
  <c r="AL125" i="5905"/>
  <c r="AG125" i="5905"/>
  <c r="AE125" i="5905"/>
  <c r="AD125" i="5905"/>
  <c r="AC125" i="5905"/>
  <c r="AB125" i="5905"/>
  <c r="AA125" i="5905"/>
  <c r="Z125" i="5905"/>
  <c r="U125" i="5905"/>
  <c r="S125" i="5905"/>
  <c r="R125" i="5905"/>
  <c r="Q125" i="5905"/>
  <c r="P125" i="5905"/>
  <c r="O125" i="5905"/>
  <c r="N125" i="5905"/>
  <c r="G125" i="5905"/>
  <c r="F125" i="5905"/>
  <c r="E125" i="5905"/>
  <c r="C125" i="5905"/>
  <c r="AL124" i="5905"/>
  <c r="AJ124" i="5905"/>
  <c r="AH124" i="5905"/>
  <c r="AF124" i="5905"/>
  <c r="Z124" i="5905"/>
  <c r="U124" i="5905"/>
  <c r="L124" i="5905"/>
  <c r="F124" i="5905"/>
  <c r="E124" i="5905"/>
  <c r="C124" i="5905"/>
  <c r="AR123" i="5905"/>
  <c r="AQ123" i="5905"/>
  <c r="AP123" i="5905"/>
  <c r="AO123" i="5905"/>
  <c r="AN123" i="5905"/>
  <c r="AM123" i="5905"/>
  <c r="AL123" i="5905"/>
  <c r="AK123" i="5905"/>
  <c r="AJ123" i="5905"/>
  <c r="AI123" i="5905"/>
  <c r="AH123" i="5905"/>
  <c r="AG123" i="5905"/>
  <c r="AF123" i="5905"/>
  <c r="AE123" i="5905"/>
  <c r="AD123" i="5905"/>
  <c r="AC123" i="5905"/>
  <c r="AB123" i="5905"/>
  <c r="AA123" i="5905"/>
  <c r="Z123" i="5905"/>
  <c r="Y123" i="5905"/>
  <c r="X123" i="5905"/>
  <c r="W123" i="5905"/>
  <c r="V123" i="5905"/>
  <c r="U123" i="5905"/>
  <c r="T123" i="5905"/>
  <c r="S123" i="5905"/>
  <c r="R123" i="5905"/>
  <c r="Q123" i="5905"/>
  <c r="P123" i="5905"/>
  <c r="O123" i="5905"/>
  <c r="N123" i="5905"/>
  <c r="M123" i="5905"/>
  <c r="L123" i="5905"/>
  <c r="K123" i="5905"/>
  <c r="J123" i="5905"/>
  <c r="I123" i="5905"/>
  <c r="H123" i="5905"/>
  <c r="G123" i="5905"/>
  <c r="F123" i="5905"/>
  <c r="E123" i="5905"/>
  <c r="AR122" i="5905"/>
  <c r="AQ122" i="5905"/>
  <c r="AP122" i="5905"/>
  <c r="AO122" i="5905"/>
  <c r="AN122" i="5905"/>
  <c r="AM122" i="5905"/>
  <c r="AL122" i="5905"/>
  <c r="AK122" i="5905"/>
  <c r="AJ122" i="5905"/>
  <c r="AI122" i="5905"/>
  <c r="AH122" i="5905"/>
  <c r="AG122" i="5905"/>
  <c r="AF122" i="5905"/>
  <c r="AE122" i="5905"/>
  <c r="AD122" i="5905"/>
  <c r="AC122" i="5905"/>
  <c r="AB122" i="5905"/>
  <c r="AA122" i="5905"/>
  <c r="Z122" i="5905"/>
  <c r="Y122" i="5905"/>
  <c r="U122" i="5905"/>
  <c r="T122" i="5905"/>
  <c r="S122" i="5905"/>
  <c r="R122" i="5905"/>
  <c r="Q122" i="5905"/>
  <c r="P122" i="5905"/>
  <c r="O122" i="5905"/>
  <c r="N122" i="5905"/>
  <c r="M122" i="5905"/>
  <c r="L122" i="5905"/>
  <c r="K122" i="5905"/>
  <c r="J122" i="5905"/>
  <c r="I122" i="5905"/>
  <c r="H122" i="5905"/>
  <c r="G122" i="5905"/>
  <c r="F122" i="5905"/>
  <c r="E122" i="5905"/>
  <c r="AR121" i="5905"/>
  <c r="AR131" i="5905" s="1"/>
  <c r="AQ121" i="5905"/>
  <c r="AP121" i="5905"/>
  <c r="AO121" i="5905"/>
  <c r="AN121" i="5905"/>
  <c r="AM121" i="5905"/>
  <c r="AL121" i="5905"/>
  <c r="AK121" i="5905"/>
  <c r="AJ121" i="5905"/>
  <c r="AI121" i="5905"/>
  <c r="AH121" i="5905"/>
  <c r="AG121" i="5905"/>
  <c r="AG131" i="5905" s="1"/>
  <c r="AF121" i="5905"/>
  <c r="AF131" i="5905" s="1"/>
  <c r="AE121" i="5905"/>
  <c r="AD121" i="5905"/>
  <c r="AC121" i="5905"/>
  <c r="AB121" i="5905"/>
  <c r="AA121" i="5905"/>
  <c r="Z121" i="5905"/>
  <c r="Y121" i="5905"/>
  <c r="X121" i="5905"/>
  <c r="W121" i="5905"/>
  <c r="V121" i="5905"/>
  <c r="U121" i="5905"/>
  <c r="T121" i="5905"/>
  <c r="S121" i="5905"/>
  <c r="R121" i="5905"/>
  <c r="Q121" i="5905"/>
  <c r="P121" i="5905"/>
  <c r="O121" i="5905"/>
  <c r="N121" i="5905"/>
  <c r="M121" i="5905"/>
  <c r="L121" i="5905"/>
  <c r="K121" i="5905"/>
  <c r="J121" i="5905"/>
  <c r="I121" i="5905"/>
  <c r="H121" i="5905"/>
  <c r="G121" i="5905"/>
  <c r="F121" i="5905"/>
  <c r="E121" i="5905"/>
  <c r="AR120" i="5905"/>
  <c r="AQ120" i="5905"/>
  <c r="AQ131" i="5905" s="1"/>
  <c r="AP120" i="5905"/>
  <c r="AO120" i="5905"/>
  <c r="AO131" i="5905" s="1"/>
  <c r="AN120" i="5905"/>
  <c r="AN131" i="5905" s="1"/>
  <c r="AM120" i="5905"/>
  <c r="AM131" i="5905" s="1"/>
  <c r="AL120" i="5905"/>
  <c r="AL131" i="5905" s="1"/>
  <c r="AK120" i="5905"/>
  <c r="AJ120" i="5905"/>
  <c r="AJ131" i="5905" s="1"/>
  <c r="AI120" i="5905"/>
  <c r="AH120" i="5905"/>
  <c r="AG120" i="5905"/>
  <c r="AF120" i="5905"/>
  <c r="AE120" i="5905"/>
  <c r="AE131" i="5905" s="1"/>
  <c r="AD120" i="5905"/>
  <c r="AC120" i="5905"/>
  <c r="AC131" i="5905" s="1"/>
  <c r="AB120" i="5905"/>
  <c r="AB131" i="5905" s="1"/>
  <c r="AA120" i="5905"/>
  <c r="AA131" i="5905" s="1"/>
  <c r="Z120" i="5905"/>
  <c r="Z131" i="5905" s="1"/>
  <c r="Y120" i="5905"/>
  <c r="Y131" i="5905" s="1"/>
  <c r="C118" i="5905"/>
  <c r="AR117" i="5905"/>
  <c r="AQ117" i="5905"/>
  <c r="AP117" i="5905"/>
  <c r="AO117" i="5905"/>
  <c r="AN117" i="5905"/>
  <c r="AM117" i="5905"/>
  <c r="AL117" i="5905"/>
  <c r="AK117" i="5905"/>
  <c r="AJ117" i="5905"/>
  <c r="AI117" i="5905"/>
  <c r="AH117" i="5905"/>
  <c r="AG117" i="5905"/>
  <c r="AF117" i="5905"/>
  <c r="AE117" i="5905"/>
  <c r="AD117" i="5905"/>
  <c r="AC117" i="5905"/>
  <c r="AB117" i="5905"/>
  <c r="AA117" i="5905"/>
  <c r="Z117" i="5905"/>
  <c r="Y117" i="5905"/>
  <c r="X117" i="5905"/>
  <c r="W117" i="5905"/>
  <c r="V117" i="5905"/>
  <c r="U117" i="5905"/>
  <c r="T117" i="5905"/>
  <c r="S117" i="5905"/>
  <c r="R117" i="5905"/>
  <c r="Q117" i="5905"/>
  <c r="P117" i="5905"/>
  <c r="O117" i="5905"/>
  <c r="N117" i="5905"/>
  <c r="M117" i="5905"/>
  <c r="L117" i="5905"/>
  <c r="K117" i="5905"/>
  <c r="J117" i="5905"/>
  <c r="I117" i="5905"/>
  <c r="H117" i="5905"/>
  <c r="G117" i="5905"/>
  <c r="F117" i="5905"/>
  <c r="E117" i="5905"/>
  <c r="AR116" i="5905"/>
  <c r="AQ116" i="5905"/>
  <c r="AP116" i="5905"/>
  <c r="AO116" i="5905"/>
  <c r="AN116" i="5905"/>
  <c r="AM116" i="5905"/>
  <c r="AL116" i="5905"/>
  <c r="AK116" i="5905"/>
  <c r="AJ116" i="5905"/>
  <c r="AI116" i="5905"/>
  <c r="AH116" i="5905"/>
  <c r="AG116" i="5905"/>
  <c r="AF116" i="5905"/>
  <c r="AE116" i="5905"/>
  <c r="AD116" i="5905"/>
  <c r="AC116" i="5905"/>
  <c r="AB116" i="5905"/>
  <c r="AA116" i="5905"/>
  <c r="Z116" i="5905"/>
  <c r="Y116" i="5905"/>
  <c r="X116" i="5905"/>
  <c r="W116" i="5905"/>
  <c r="V116" i="5905"/>
  <c r="U116" i="5905"/>
  <c r="T116" i="5905"/>
  <c r="S116" i="5905"/>
  <c r="R116" i="5905"/>
  <c r="Q116" i="5905"/>
  <c r="P116" i="5905"/>
  <c r="O116" i="5905"/>
  <c r="N116" i="5905"/>
  <c r="M116" i="5905"/>
  <c r="L116" i="5905"/>
  <c r="K116" i="5905"/>
  <c r="J116" i="5905"/>
  <c r="I116" i="5905"/>
  <c r="H116" i="5905"/>
  <c r="G116" i="5905"/>
  <c r="F116" i="5905"/>
  <c r="E116" i="5905"/>
  <c r="C116" i="5905"/>
  <c r="C115" i="5905"/>
  <c r="AR109" i="5905"/>
  <c r="AQ109" i="5905"/>
  <c r="AP109" i="5905"/>
  <c r="AO109" i="5905"/>
  <c r="AN109" i="5905"/>
  <c r="AM109" i="5905"/>
  <c r="AL109" i="5905"/>
  <c r="AK109" i="5905"/>
  <c r="AJ109" i="5905"/>
  <c r="AI109" i="5905"/>
  <c r="AH109" i="5905"/>
  <c r="AG109" i="5905"/>
  <c r="AF109" i="5905"/>
  <c r="AE109" i="5905"/>
  <c r="AD109" i="5905"/>
  <c r="AC109" i="5905"/>
  <c r="AB109" i="5905"/>
  <c r="AA109" i="5905"/>
  <c r="Z109" i="5905"/>
  <c r="Y109" i="5905"/>
  <c r="X109" i="5905"/>
  <c r="W109" i="5905"/>
  <c r="V109" i="5905"/>
  <c r="V122" i="5905" s="1"/>
  <c r="U109" i="5905"/>
  <c r="T109" i="5905"/>
  <c r="S109" i="5905"/>
  <c r="S108" i="5905" s="1"/>
  <c r="R109" i="5905"/>
  <c r="Q109" i="5905"/>
  <c r="P109" i="5905"/>
  <c r="O109" i="5905"/>
  <c r="O108" i="5905" s="1"/>
  <c r="N109" i="5905"/>
  <c r="N108" i="5905" s="1"/>
  <c r="N124" i="5905" s="1"/>
  <c r="M109" i="5905"/>
  <c r="M108" i="5905" s="1"/>
  <c r="M124" i="5905" s="1"/>
  <c r="L109" i="5905"/>
  <c r="L108" i="5905" s="1"/>
  <c r="K109" i="5905"/>
  <c r="K108" i="5905" s="1"/>
  <c r="J109" i="5905"/>
  <c r="J108" i="5905" s="1"/>
  <c r="J124" i="5905" s="1"/>
  <c r="I109" i="5905"/>
  <c r="H109" i="5905"/>
  <c r="G109" i="5905"/>
  <c r="F109" i="5905"/>
  <c r="E109" i="5905"/>
  <c r="AR108" i="5905"/>
  <c r="AR124" i="5905" s="1"/>
  <c r="AQ108" i="5905"/>
  <c r="AQ124" i="5905" s="1"/>
  <c r="AP108" i="5905"/>
  <c r="AP124" i="5905" s="1"/>
  <c r="AO108" i="5905"/>
  <c r="AO124" i="5905" s="1"/>
  <c r="AN108" i="5905"/>
  <c r="AM108" i="5905"/>
  <c r="AL108" i="5905"/>
  <c r="AK108" i="5905"/>
  <c r="AK124" i="5905" s="1"/>
  <c r="AJ108" i="5905"/>
  <c r="AI108" i="5905"/>
  <c r="AH108" i="5905"/>
  <c r="AG108" i="5905"/>
  <c r="AG124" i="5905" s="1"/>
  <c r="AF108" i="5905"/>
  <c r="AE108" i="5905"/>
  <c r="AE124" i="5905" s="1"/>
  <c r="AD108" i="5905"/>
  <c r="AD124" i="5905" s="1"/>
  <c r="AC108" i="5905"/>
  <c r="AC124" i="5905" s="1"/>
  <c r="AB108" i="5905"/>
  <c r="AA108" i="5905"/>
  <c r="Z108" i="5905"/>
  <c r="Y108" i="5905"/>
  <c r="Y124" i="5905" s="1"/>
  <c r="U108" i="5905"/>
  <c r="T108" i="5905"/>
  <c r="T124" i="5905" s="1"/>
  <c r="R108" i="5905"/>
  <c r="Q108" i="5905"/>
  <c r="Q124" i="5905" s="1"/>
  <c r="P108" i="5905"/>
  <c r="I108" i="5905"/>
  <c r="I124" i="5905" s="1"/>
  <c r="H108" i="5905"/>
  <c r="H124" i="5905" s="1"/>
  <c r="F108" i="5905"/>
  <c r="D108" i="5905"/>
  <c r="AR107" i="5905"/>
  <c r="AR125" i="5905" s="1"/>
  <c r="AQ107" i="5905"/>
  <c r="AP107" i="5905"/>
  <c r="AO107" i="5905"/>
  <c r="AN107" i="5905"/>
  <c r="AM107" i="5905"/>
  <c r="AM125" i="5905" s="1"/>
  <c r="AL107" i="5905"/>
  <c r="AK107" i="5905"/>
  <c r="AK125" i="5905" s="1"/>
  <c r="AJ107" i="5905"/>
  <c r="AJ125" i="5905" s="1"/>
  <c r="AI107" i="5905"/>
  <c r="AI125" i="5905" s="1"/>
  <c r="AH107" i="5905"/>
  <c r="AH125" i="5905" s="1"/>
  <c r="AG107" i="5905"/>
  <c r="AF107" i="5905"/>
  <c r="AF125" i="5905" s="1"/>
  <c r="AE107" i="5905"/>
  <c r="AD107" i="5905"/>
  <c r="AC107" i="5905"/>
  <c r="AB107" i="5905"/>
  <c r="AA107" i="5905"/>
  <c r="Z107" i="5905"/>
  <c r="Y107" i="5905"/>
  <c r="Y125" i="5905" s="1"/>
  <c r="X107" i="5905"/>
  <c r="X125" i="5905" s="1"/>
  <c r="W107" i="5905"/>
  <c r="W125" i="5905" s="1"/>
  <c r="V107" i="5905"/>
  <c r="V125" i="5905" s="1"/>
  <c r="U107" i="5905"/>
  <c r="T107" i="5905"/>
  <c r="T125" i="5905" s="1"/>
  <c r="S107" i="5905"/>
  <c r="R107" i="5905"/>
  <c r="Q107" i="5905"/>
  <c r="P107" i="5905"/>
  <c r="O107" i="5905"/>
  <c r="N107" i="5905"/>
  <c r="M107" i="5905"/>
  <c r="M125" i="5905" s="1"/>
  <c r="L107" i="5905"/>
  <c r="L125" i="5905" s="1"/>
  <c r="K107" i="5905"/>
  <c r="K125" i="5905" s="1"/>
  <c r="J107" i="5905"/>
  <c r="J125" i="5905" s="1"/>
  <c r="I107" i="5905"/>
  <c r="I125" i="5905" s="1"/>
  <c r="H107" i="5905"/>
  <c r="H125" i="5905" s="1"/>
  <c r="G107" i="5905"/>
  <c r="F107" i="5905"/>
  <c r="D107" i="5905"/>
  <c r="G106" i="5905"/>
  <c r="H106" i="5905" s="1"/>
  <c r="I106" i="5905" s="1"/>
  <c r="J106" i="5905" s="1"/>
  <c r="K106" i="5905" s="1"/>
  <c r="L106" i="5905" s="1"/>
  <c r="M106" i="5905" s="1"/>
  <c r="N106" i="5905" s="1"/>
  <c r="O106" i="5905" s="1"/>
  <c r="P106" i="5905" s="1"/>
  <c r="Q106" i="5905" s="1"/>
  <c r="R106" i="5905" s="1"/>
  <c r="S106" i="5905" s="1"/>
  <c r="T106" i="5905" s="1"/>
  <c r="U106" i="5905" s="1"/>
  <c r="V106" i="5905" s="1"/>
  <c r="W106" i="5905" s="1"/>
  <c r="X106" i="5905" s="1"/>
  <c r="Y106" i="5905" s="1"/>
  <c r="Z106" i="5905" s="1"/>
  <c r="AA106" i="5905" s="1"/>
  <c r="AB106" i="5905" s="1"/>
  <c r="AC106" i="5905" s="1"/>
  <c r="AD106" i="5905" s="1"/>
  <c r="AE106" i="5905" s="1"/>
  <c r="AF106" i="5905" s="1"/>
  <c r="AG106" i="5905" s="1"/>
  <c r="AH106" i="5905" s="1"/>
  <c r="AI106" i="5905" s="1"/>
  <c r="AJ106" i="5905" s="1"/>
  <c r="AK106" i="5905" s="1"/>
  <c r="AL106" i="5905" s="1"/>
  <c r="AM106" i="5905" s="1"/>
  <c r="AN106" i="5905" s="1"/>
  <c r="AO106" i="5905" s="1"/>
  <c r="AP106" i="5905" s="1"/>
  <c r="AQ106" i="5905" s="1"/>
  <c r="AR106" i="5905" s="1"/>
  <c r="E106" i="5905"/>
  <c r="F106" i="5905" s="1"/>
  <c r="E102" i="5905"/>
  <c r="C92" i="5905"/>
  <c r="D85" i="5905"/>
  <c r="D84" i="5905"/>
  <c r="D70" i="5905"/>
  <c r="D65" i="5905"/>
  <c r="D64" i="5905"/>
  <c r="D63" i="5905"/>
  <c r="C60" i="5905"/>
  <c r="D59" i="5905"/>
  <c r="C58" i="5905"/>
  <c r="D57" i="5905"/>
  <c r="C56" i="5905"/>
  <c r="D55" i="5905"/>
  <c r="C53" i="5905"/>
  <c r="D49" i="5905"/>
  <c r="C49" i="5905"/>
  <c r="D48" i="5905"/>
  <c r="E47" i="5905"/>
  <c r="D47" i="5905"/>
  <c r="E46" i="5905"/>
  <c r="D46" i="5905"/>
  <c r="E45" i="5905"/>
  <c r="D45" i="5905"/>
  <c r="C44" i="5905"/>
  <c r="C35" i="5905"/>
  <c r="C34" i="5905"/>
  <c r="AG115" i="5905" s="1"/>
  <c r="AG118" i="5905" s="1"/>
  <c r="C33" i="5905"/>
  <c r="C27" i="5905"/>
  <c r="D26" i="5905"/>
  <c r="C25" i="5905"/>
  <c r="D21" i="5905"/>
  <c r="E16" i="5905"/>
  <c r="D16" i="5905"/>
  <c r="E15" i="5905"/>
  <c r="D15" i="5905"/>
  <c r="E13" i="5905"/>
  <c r="D13" i="5905"/>
  <c r="E12" i="5905"/>
  <c r="D12" i="5905"/>
  <c r="C8" i="5905"/>
  <c r="D43" i="5905" s="1"/>
  <c r="D5" i="5905"/>
  <c r="A1" i="5905"/>
  <c r="D179" i="5904"/>
  <c r="C179" i="5904"/>
  <c r="D178" i="5904"/>
  <c r="C178" i="5904"/>
  <c r="D177" i="5904"/>
  <c r="C177" i="5904"/>
  <c r="B177" i="5904"/>
  <c r="D176" i="5904"/>
  <c r="C176" i="5904"/>
  <c r="B176" i="5904"/>
  <c r="D175" i="5904"/>
  <c r="C175" i="5904"/>
  <c r="B175" i="5904"/>
  <c r="D174" i="5904"/>
  <c r="C174" i="5904"/>
  <c r="C173" i="5904" s="1"/>
  <c r="B174" i="5904"/>
  <c r="D173" i="5904"/>
  <c r="B173" i="5904"/>
  <c r="D172" i="5904"/>
  <c r="C172" i="5904"/>
  <c r="B172" i="5904"/>
  <c r="D171" i="5904"/>
  <c r="C171" i="5904"/>
  <c r="D170" i="5904"/>
  <c r="C170" i="5904"/>
  <c r="C169" i="5904" s="1"/>
  <c r="D169" i="5904"/>
  <c r="D168" i="5904"/>
  <c r="C168" i="5904"/>
  <c r="D167" i="5904"/>
  <c r="C167" i="5904"/>
  <c r="D166" i="5904"/>
  <c r="C166" i="5904"/>
  <c r="C165" i="5904" s="1"/>
  <c r="D165" i="5904"/>
  <c r="D164" i="5904"/>
  <c r="C164" i="5904"/>
  <c r="D151" i="5904"/>
  <c r="AR147" i="5904"/>
  <c r="AQ147" i="5904"/>
  <c r="AP147" i="5904"/>
  <c r="AO147" i="5904"/>
  <c r="AN147" i="5904"/>
  <c r="AM147" i="5904"/>
  <c r="AL147" i="5904"/>
  <c r="AK147" i="5904"/>
  <c r="AJ147" i="5904"/>
  <c r="AI147" i="5904"/>
  <c r="AH147" i="5904"/>
  <c r="AG147" i="5904"/>
  <c r="AF147" i="5904"/>
  <c r="AE147" i="5904"/>
  <c r="AD147" i="5904"/>
  <c r="AC147" i="5904"/>
  <c r="AB147" i="5904"/>
  <c r="AA147" i="5904"/>
  <c r="Z147" i="5904"/>
  <c r="Y147" i="5904"/>
  <c r="X147" i="5904"/>
  <c r="W147" i="5904"/>
  <c r="V147" i="5904"/>
  <c r="U147" i="5904"/>
  <c r="T147" i="5904"/>
  <c r="AR145" i="5904"/>
  <c r="AQ145" i="5904"/>
  <c r="AP145" i="5904"/>
  <c r="AO145" i="5904"/>
  <c r="AN145" i="5904"/>
  <c r="AM145" i="5904"/>
  <c r="AL145" i="5904"/>
  <c r="AK145" i="5904"/>
  <c r="AJ145" i="5904"/>
  <c r="AI145" i="5904"/>
  <c r="AH145" i="5904"/>
  <c r="AG145" i="5904"/>
  <c r="AF145" i="5904"/>
  <c r="AE145" i="5904"/>
  <c r="AD145" i="5904"/>
  <c r="AC145" i="5904"/>
  <c r="AB145" i="5904"/>
  <c r="AA145" i="5904"/>
  <c r="Z145" i="5904"/>
  <c r="Y145" i="5904"/>
  <c r="X145" i="5904"/>
  <c r="W145" i="5904"/>
  <c r="V145" i="5904"/>
  <c r="U145" i="5904"/>
  <c r="T145" i="5904"/>
  <c r="C145" i="5904"/>
  <c r="AQ137" i="5904"/>
  <c r="AL137" i="5904"/>
  <c r="AK137" i="5904"/>
  <c r="AJ137" i="5904"/>
  <c r="AE137" i="5904"/>
  <c r="Z137" i="5904"/>
  <c r="Y137" i="5904"/>
  <c r="X137" i="5904"/>
  <c r="AR136" i="5904"/>
  <c r="AQ136" i="5904"/>
  <c r="AP136" i="5904"/>
  <c r="AO136" i="5904"/>
  <c r="AO137" i="5904" s="1"/>
  <c r="AN136" i="5904"/>
  <c r="AN137" i="5904" s="1"/>
  <c r="AM136" i="5904"/>
  <c r="AL136" i="5904"/>
  <c r="AK136" i="5904"/>
  <c r="AJ136" i="5904"/>
  <c r="AI136" i="5904"/>
  <c r="AH136" i="5904"/>
  <c r="AG136" i="5904"/>
  <c r="AF136" i="5904"/>
  <c r="AE136" i="5904"/>
  <c r="AD136" i="5904"/>
  <c r="AC136" i="5904"/>
  <c r="AC137" i="5904" s="1"/>
  <c r="AB136" i="5904"/>
  <c r="AB137" i="5904" s="1"/>
  <c r="AA136" i="5904"/>
  <c r="Z136" i="5904"/>
  <c r="Y136" i="5904"/>
  <c r="X136" i="5904"/>
  <c r="W136" i="5904"/>
  <c r="V136" i="5904"/>
  <c r="U136" i="5904"/>
  <c r="T136" i="5904"/>
  <c r="AR135" i="5904"/>
  <c r="AR137" i="5904" s="1"/>
  <c r="AQ135" i="5904"/>
  <c r="AP135" i="5904"/>
  <c r="AP137" i="5904" s="1"/>
  <c r="AO135" i="5904"/>
  <c r="AN135" i="5904"/>
  <c r="AM135" i="5904"/>
  <c r="AM137" i="5904" s="1"/>
  <c r="AL135" i="5904"/>
  <c r="AK135" i="5904"/>
  <c r="AJ135" i="5904"/>
  <c r="AI135" i="5904"/>
  <c r="AH135" i="5904"/>
  <c r="AH137" i="5904" s="1"/>
  <c r="AG135" i="5904"/>
  <c r="AG137" i="5904" s="1"/>
  <c r="AF135" i="5904"/>
  <c r="AF137" i="5904" s="1"/>
  <c r="AE135" i="5904"/>
  <c r="AD135" i="5904"/>
  <c r="AD137" i="5904" s="1"/>
  <c r="AC135" i="5904"/>
  <c r="AB135" i="5904"/>
  <c r="AA135" i="5904"/>
  <c r="AA137" i="5904" s="1"/>
  <c r="Z135" i="5904"/>
  <c r="Y135" i="5904"/>
  <c r="X135" i="5904"/>
  <c r="W135" i="5904"/>
  <c r="V135" i="5904"/>
  <c r="V137" i="5904" s="1"/>
  <c r="U135" i="5904"/>
  <c r="U137" i="5904" s="1"/>
  <c r="T135" i="5904"/>
  <c r="T137" i="5904" s="1"/>
  <c r="AR134" i="5904"/>
  <c r="AQ134" i="5904"/>
  <c r="AP134" i="5904"/>
  <c r="AO134" i="5904"/>
  <c r="AN134" i="5904"/>
  <c r="AM134" i="5904"/>
  <c r="AL134" i="5904"/>
  <c r="AK134" i="5904"/>
  <c r="AJ134" i="5904"/>
  <c r="AI134" i="5904"/>
  <c r="AH134" i="5904"/>
  <c r="AG134" i="5904"/>
  <c r="AF134" i="5904"/>
  <c r="AE134" i="5904"/>
  <c r="AD134" i="5904"/>
  <c r="AC134" i="5904"/>
  <c r="AB134" i="5904"/>
  <c r="AA134" i="5904"/>
  <c r="Z134" i="5904"/>
  <c r="Y134" i="5904"/>
  <c r="G134" i="5904"/>
  <c r="AR131" i="5904"/>
  <c r="AQ131" i="5904"/>
  <c r="AM131" i="5904"/>
  <c r="AI131" i="5904"/>
  <c r="AF131" i="5904"/>
  <c r="AE131" i="5904"/>
  <c r="AA131" i="5904"/>
  <c r="AM127" i="5904"/>
  <c r="K127" i="5904"/>
  <c r="AA126" i="5904"/>
  <c r="AR125" i="5904"/>
  <c r="AR126" i="5904" s="1"/>
  <c r="AQ125" i="5904"/>
  <c r="AP125" i="5904"/>
  <c r="AN125" i="5904"/>
  <c r="AM125" i="5904"/>
  <c r="AI125" i="5904"/>
  <c r="AF125" i="5904"/>
  <c r="AE125" i="5904"/>
  <c r="AD125" i="5904"/>
  <c r="AB125" i="5904"/>
  <c r="AA125" i="5904"/>
  <c r="W125" i="5904"/>
  <c r="T125" i="5904"/>
  <c r="S125" i="5904"/>
  <c r="R125" i="5904"/>
  <c r="P125" i="5904"/>
  <c r="O125" i="5904"/>
  <c r="K125" i="5904"/>
  <c r="K126" i="5904" s="1"/>
  <c r="H125" i="5904"/>
  <c r="G125" i="5904"/>
  <c r="F125" i="5904"/>
  <c r="E125" i="5904"/>
  <c r="C125" i="5904"/>
  <c r="AR124" i="5904"/>
  <c r="AN124" i="5904"/>
  <c r="AL124" i="5904"/>
  <c r="AJ124" i="5904"/>
  <c r="AF124" i="5904"/>
  <c r="AB124" i="5904"/>
  <c r="Z124" i="5904"/>
  <c r="T124" i="5904"/>
  <c r="T128" i="5904" s="1"/>
  <c r="I124" i="5904"/>
  <c r="H124" i="5904"/>
  <c r="H128" i="5904" s="1"/>
  <c r="E124" i="5904"/>
  <c r="C124" i="5904"/>
  <c r="AR123" i="5904"/>
  <c r="AQ123" i="5904"/>
  <c r="AP123" i="5904"/>
  <c r="AO123" i="5904"/>
  <c r="AN123" i="5904"/>
  <c r="AM123" i="5904"/>
  <c r="AL123" i="5904"/>
  <c r="AK123" i="5904"/>
  <c r="AJ123" i="5904"/>
  <c r="AI123" i="5904"/>
  <c r="AH123" i="5904"/>
  <c r="AG123" i="5904"/>
  <c r="AF123" i="5904"/>
  <c r="AE123" i="5904"/>
  <c r="AD123" i="5904"/>
  <c r="AC123" i="5904"/>
  <c r="AB123" i="5904"/>
  <c r="AA123" i="5904"/>
  <c r="Z123" i="5904"/>
  <c r="Y123" i="5904"/>
  <c r="X123" i="5904"/>
  <c r="W123" i="5904"/>
  <c r="V123" i="5904"/>
  <c r="U123" i="5904"/>
  <c r="T123" i="5904"/>
  <c r="S123" i="5904"/>
  <c r="R123" i="5904"/>
  <c r="Q123" i="5904"/>
  <c r="P123" i="5904"/>
  <c r="O123" i="5904"/>
  <c r="N123" i="5904"/>
  <c r="M123" i="5904"/>
  <c r="L123" i="5904"/>
  <c r="K123" i="5904"/>
  <c r="J123" i="5904"/>
  <c r="I123" i="5904"/>
  <c r="H123" i="5904"/>
  <c r="G123" i="5904"/>
  <c r="F123" i="5904"/>
  <c r="E123" i="5904"/>
  <c r="AR122" i="5904"/>
  <c r="AQ122" i="5904"/>
  <c r="AP122" i="5904"/>
  <c r="AO122" i="5904"/>
  <c r="AN122" i="5904"/>
  <c r="AM122" i="5904"/>
  <c r="AL122" i="5904"/>
  <c r="AK122" i="5904"/>
  <c r="AJ122" i="5904"/>
  <c r="AI122" i="5904"/>
  <c r="AH122" i="5904"/>
  <c r="AG122" i="5904"/>
  <c r="AF122" i="5904"/>
  <c r="AE122" i="5904"/>
  <c r="AD122" i="5904"/>
  <c r="AC122" i="5904"/>
  <c r="AB122" i="5904"/>
  <c r="AA122" i="5904"/>
  <c r="Z122" i="5904"/>
  <c r="Y122" i="5904"/>
  <c r="W122" i="5904"/>
  <c r="V122" i="5904"/>
  <c r="T122" i="5904"/>
  <c r="S122" i="5904"/>
  <c r="R122" i="5904"/>
  <c r="Q122" i="5904"/>
  <c r="P122" i="5904"/>
  <c r="O122" i="5904"/>
  <c r="N122" i="5904"/>
  <c r="M122" i="5904"/>
  <c r="L122" i="5904"/>
  <c r="K122" i="5904"/>
  <c r="J122" i="5904"/>
  <c r="I122" i="5904"/>
  <c r="H122" i="5904"/>
  <c r="G122" i="5904"/>
  <c r="F122" i="5904"/>
  <c r="E122" i="5904"/>
  <c r="AR121" i="5904"/>
  <c r="AQ121" i="5904"/>
  <c r="AP121" i="5904"/>
  <c r="AO121" i="5904"/>
  <c r="AN121" i="5904"/>
  <c r="AM121" i="5904"/>
  <c r="AL121" i="5904"/>
  <c r="AK121" i="5904"/>
  <c r="AJ121" i="5904"/>
  <c r="AJ131" i="5904" s="1"/>
  <c r="AI121" i="5904"/>
  <c r="AH121" i="5904"/>
  <c r="AH131" i="5904" s="1"/>
  <c r="AG121" i="5904"/>
  <c r="AF121" i="5904"/>
  <c r="AE121" i="5904"/>
  <c r="AD121" i="5904"/>
  <c r="AC121" i="5904"/>
  <c r="AB121" i="5904"/>
  <c r="AA121" i="5904"/>
  <c r="Z121" i="5904"/>
  <c r="Y121" i="5904"/>
  <c r="X121" i="5904"/>
  <c r="W121" i="5904"/>
  <c r="V121" i="5904"/>
  <c r="U121" i="5904"/>
  <c r="T121" i="5904"/>
  <c r="S121" i="5904"/>
  <c r="R121" i="5904"/>
  <c r="Q121" i="5904"/>
  <c r="P121" i="5904"/>
  <c r="O121" i="5904"/>
  <c r="N121" i="5904"/>
  <c r="M121" i="5904"/>
  <c r="L121" i="5904"/>
  <c r="K121" i="5904"/>
  <c r="J121" i="5904"/>
  <c r="I121" i="5904"/>
  <c r="H121" i="5904"/>
  <c r="G121" i="5904"/>
  <c r="F121" i="5904"/>
  <c r="E121" i="5904"/>
  <c r="AR120" i="5904"/>
  <c r="AQ120" i="5904"/>
  <c r="AP120" i="5904"/>
  <c r="AP131" i="5904" s="1"/>
  <c r="AO120" i="5904"/>
  <c r="AN120" i="5904"/>
  <c r="AN131" i="5904" s="1"/>
  <c r="AM120" i="5904"/>
  <c r="AL120" i="5904"/>
  <c r="AL131" i="5904" s="1"/>
  <c r="AK120" i="5904"/>
  <c r="AJ120" i="5904"/>
  <c r="AI120" i="5904"/>
  <c r="AH120" i="5904"/>
  <c r="AG120" i="5904"/>
  <c r="AG131" i="5904" s="1"/>
  <c r="AF120" i="5904"/>
  <c r="AE120" i="5904"/>
  <c r="AD120" i="5904"/>
  <c r="AD131" i="5904" s="1"/>
  <c r="AC120" i="5904"/>
  <c r="AB120" i="5904"/>
  <c r="AB131" i="5904" s="1"/>
  <c r="AA120" i="5904"/>
  <c r="Z120" i="5904"/>
  <c r="Z131" i="5904" s="1"/>
  <c r="Y120" i="5904"/>
  <c r="C118" i="5904"/>
  <c r="AR117" i="5904"/>
  <c r="AQ117" i="5904"/>
  <c r="AP117" i="5904"/>
  <c r="AO117" i="5904"/>
  <c r="AN117" i="5904"/>
  <c r="AM117" i="5904"/>
  <c r="AL117" i="5904"/>
  <c r="AK117" i="5904"/>
  <c r="AJ117" i="5904"/>
  <c r="AI117" i="5904"/>
  <c r="AH117" i="5904"/>
  <c r="AG117" i="5904"/>
  <c r="AF117" i="5904"/>
  <c r="AE117" i="5904"/>
  <c r="AD117" i="5904"/>
  <c r="AC117" i="5904"/>
  <c r="AB117" i="5904"/>
  <c r="AA117" i="5904"/>
  <c r="Z117" i="5904"/>
  <c r="Y117" i="5904"/>
  <c r="X117" i="5904"/>
  <c r="W117" i="5904"/>
  <c r="V117" i="5904"/>
  <c r="U117" i="5904"/>
  <c r="T117" i="5904"/>
  <c r="S117" i="5904"/>
  <c r="R117" i="5904"/>
  <c r="Q117" i="5904"/>
  <c r="P117" i="5904"/>
  <c r="O117" i="5904"/>
  <c r="N117" i="5904"/>
  <c r="M117" i="5904"/>
  <c r="L117" i="5904"/>
  <c r="K117" i="5904"/>
  <c r="J117" i="5904"/>
  <c r="I117" i="5904"/>
  <c r="H117" i="5904"/>
  <c r="G117" i="5904"/>
  <c r="F117" i="5904"/>
  <c r="E117" i="5904"/>
  <c r="AR116" i="5904"/>
  <c r="AQ116" i="5904"/>
  <c r="AP116" i="5904"/>
  <c r="AO116" i="5904"/>
  <c r="AN116" i="5904"/>
  <c r="AM116" i="5904"/>
  <c r="AL116" i="5904"/>
  <c r="AK116" i="5904"/>
  <c r="AJ116" i="5904"/>
  <c r="AI116" i="5904"/>
  <c r="AH116" i="5904"/>
  <c r="AG116" i="5904"/>
  <c r="AF116" i="5904"/>
  <c r="AE116" i="5904"/>
  <c r="AD116" i="5904"/>
  <c r="AC116" i="5904"/>
  <c r="AB116" i="5904"/>
  <c r="AA116" i="5904"/>
  <c r="Z116" i="5904"/>
  <c r="Y116" i="5904"/>
  <c r="X116" i="5904"/>
  <c r="W116" i="5904"/>
  <c r="V116" i="5904"/>
  <c r="U116" i="5904"/>
  <c r="T116" i="5904"/>
  <c r="S116" i="5904"/>
  <c r="R116" i="5904"/>
  <c r="Q116" i="5904"/>
  <c r="P116" i="5904"/>
  <c r="O116" i="5904"/>
  <c r="N116" i="5904"/>
  <c r="M116" i="5904"/>
  <c r="L116" i="5904"/>
  <c r="K116" i="5904"/>
  <c r="J116" i="5904"/>
  <c r="I116" i="5904"/>
  <c r="H116" i="5904"/>
  <c r="G116" i="5904"/>
  <c r="F116" i="5904"/>
  <c r="E116" i="5904"/>
  <c r="C116" i="5904"/>
  <c r="AR115" i="5904"/>
  <c r="AR118" i="5904" s="1"/>
  <c r="AQ115" i="5904"/>
  <c r="AM115" i="5904"/>
  <c r="AF115" i="5904"/>
  <c r="AA115" i="5904"/>
  <c r="AA118" i="5904" s="1"/>
  <c r="W115" i="5904"/>
  <c r="W118" i="5904" s="1"/>
  <c r="T115" i="5904"/>
  <c r="T118" i="5904" s="1"/>
  <c r="S115" i="5904"/>
  <c r="O115" i="5904"/>
  <c r="O118" i="5904" s="1"/>
  <c r="O145" i="5904" s="1"/>
  <c r="K115" i="5904"/>
  <c r="K118" i="5904" s="1"/>
  <c r="K145" i="5904" s="1"/>
  <c r="H115" i="5904"/>
  <c r="H118" i="5904" s="1"/>
  <c r="H145" i="5904" s="1"/>
  <c r="G115" i="5904"/>
  <c r="C115" i="5904"/>
  <c r="AR109" i="5904"/>
  <c r="AQ109" i="5904"/>
  <c r="AP109" i="5904"/>
  <c r="AO109" i="5904"/>
  <c r="AN109" i="5904"/>
  <c r="AM109" i="5904"/>
  <c r="AL109" i="5904"/>
  <c r="AK109" i="5904"/>
  <c r="AJ109" i="5904"/>
  <c r="AI109" i="5904"/>
  <c r="AH109" i="5904"/>
  <c r="AG109" i="5904"/>
  <c r="AF109" i="5904"/>
  <c r="AE109" i="5904"/>
  <c r="AD109" i="5904"/>
  <c r="AC109" i="5904"/>
  <c r="AB109" i="5904"/>
  <c r="AA109" i="5904"/>
  <c r="Z109" i="5904"/>
  <c r="Y109" i="5904"/>
  <c r="X109" i="5904"/>
  <c r="X122" i="5904" s="1"/>
  <c r="W109" i="5904"/>
  <c r="V109" i="5904"/>
  <c r="U109" i="5904"/>
  <c r="U122" i="5904" s="1"/>
  <c r="T109" i="5904"/>
  <c r="T120" i="5904" s="1"/>
  <c r="T131" i="5904" s="1"/>
  <c r="S109" i="5904"/>
  <c r="R109" i="5904"/>
  <c r="Q109" i="5904"/>
  <c r="P109" i="5904"/>
  <c r="O109" i="5904"/>
  <c r="N109" i="5904"/>
  <c r="N108" i="5904" s="1"/>
  <c r="M109" i="5904"/>
  <c r="L109" i="5904"/>
  <c r="L108" i="5904" s="1"/>
  <c r="K109" i="5904"/>
  <c r="J109" i="5904"/>
  <c r="I109" i="5904"/>
  <c r="H109" i="5904"/>
  <c r="H120" i="5904" s="1"/>
  <c r="H131" i="5904" s="1"/>
  <c r="G109" i="5904"/>
  <c r="F109" i="5904"/>
  <c r="E109" i="5904"/>
  <c r="AR108" i="5904"/>
  <c r="AQ108" i="5904"/>
  <c r="AQ124" i="5904" s="1"/>
  <c r="AP108" i="5904"/>
  <c r="AO108" i="5904"/>
  <c r="AN108" i="5904"/>
  <c r="AM108" i="5904"/>
  <c r="AM124" i="5904" s="1"/>
  <c r="AL108" i="5904"/>
  <c r="AK108" i="5904"/>
  <c r="AJ108" i="5904"/>
  <c r="AI108" i="5904"/>
  <c r="AI124" i="5904" s="1"/>
  <c r="AH108" i="5904"/>
  <c r="AG108" i="5904"/>
  <c r="AG124" i="5904" s="1"/>
  <c r="AF108" i="5904"/>
  <c r="AE108" i="5904"/>
  <c r="AE124" i="5904" s="1"/>
  <c r="AD108" i="5904"/>
  <c r="AC108" i="5904"/>
  <c r="AB108" i="5904"/>
  <c r="AA108" i="5904"/>
  <c r="AA124" i="5904" s="1"/>
  <c r="Z108" i="5904"/>
  <c r="Y108" i="5904"/>
  <c r="W108" i="5904"/>
  <c r="W124" i="5904" s="1"/>
  <c r="W128" i="5904" s="1"/>
  <c r="V108" i="5904"/>
  <c r="U108" i="5904"/>
  <c r="U124" i="5904" s="1"/>
  <c r="T108" i="5904"/>
  <c r="S108" i="5904"/>
  <c r="S124" i="5904" s="1"/>
  <c r="R108" i="5904"/>
  <c r="Q108" i="5904"/>
  <c r="M108" i="5904"/>
  <c r="K108" i="5904"/>
  <c r="K124" i="5904" s="1"/>
  <c r="J108" i="5904"/>
  <c r="I108" i="5904"/>
  <c r="H108" i="5904"/>
  <c r="G108" i="5904"/>
  <c r="G124" i="5904" s="1"/>
  <c r="F108" i="5904"/>
  <c r="D108" i="5904"/>
  <c r="AR107" i="5904"/>
  <c r="AQ107" i="5904"/>
  <c r="AP107" i="5904"/>
  <c r="AO107" i="5904"/>
  <c r="AO125" i="5904" s="1"/>
  <c r="AN107" i="5904"/>
  <c r="AM107" i="5904"/>
  <c r="AL107" i="5904"/>
  <c r="AL125" i="5904" s="1"/>
  <c r="AK107" i="5904"/>
  <c r="AK125" i="5904" s="1"/>
  <c r="AJ107" i="5904"/>
  <c r="AJ125" i="5904" s="1"/>
  <c r="AI107" i="5904"/>
  <c r="AH107" i="5904"/>
  <c r="AH125" i="5904" s="1"/>
  <c r="AG107" i="5904"/>
  <c r="AG125" i="5904" s="1"/>
  <c r="AF107" i="5904"/>
  <c r="AE107" i="5904"/>
  <c r="AD107" i="5904"/>
  <c r="AC107" i="5904"/>
  <c r="AC125" i="5904" s="1"/>
  <c r="AB107" i="5904"/>
  <c r="AA107" i="5904"/>
  <c r="Z107" i="5904"/>
  <c r="Z125" i="5904" s="1"/>
  <c r="Y107" i="5904"/>
  <c r="Y125" i="5904" s="1"/>
  <c r="X107" i="5904"/>
  <c r="X125" i="5904" s="1"/>
  <c r="W107" i="5904"/>
  <c r="V107" i="5904"/>
  <c r="V125" i="5904" s="1"/>
  <c r="U107" i="5904"/>
  <c r="U125" i="5904" s="1"/>
  <c r="T107" i="5904"/>
  <c r="S107" i="5904"/>
  <c r="R107" i="5904"/>
  <c r="Q107" i="5904"/>
  <c r="Q125" i="5904" s="1"/>
  <c r="P107" i="5904"/>
  <c r="O107" i="5904"/>
  <c r="N107" i="5904"/>
  <c r="N125" i="5904" s="1"/>
  <c r="M107" i="5904"/>
  <c r="M125" i="5904" s="1"/>
  <c r="L107" i="5904"/>
  <c r="L125" i="5904" s="1"/>
  <c r="K107" i="5904"/>
  <c r="J107" i="5904"/>
  <c r="J125" i="5904" s="1"/>
  <c r="I107" i="5904"/>
  <c r="I125" i="5904" s="1"/>
  <c r="H107" i="5904"/>
  <c r="G107" i="5904"/>
  <c r="F107" i="5904"/>
  <c r="D107" i="5904"/>
  <c r="E106" i="5904"/>
  <c r="C92" i="5904"/>
  <c r="C41" i="5904" s="1"/>
  <c r="C152" i="5904" s="1"/>
  <c r="D85" i="5904"/>
  <c r="D84" i="5904"/>
  <c r="D70" i="5904"/>
  <c r="D65" i="5904"/>
  <c r="D64" i="5904"/>
  <c r="D63" i="5904"/>
  <c r="C60" i="5904"/>
  <c r="D59" i="5904"/>
  <c r="C58" i="5904"/>
  <c r="D57" i="5904"/>
  <c r="C56" i="5904"/>
  <c r="D55" i="5904"/>
  <c r="C53" i="5904"/>
  <c r="D49" i="5904"/>
  <c r="C49" i="5904"/>
  <c r="D48" i="5904"/>
  <c r="E47" i="5904"/>
  <c r="D47" i="5904"/>
  <c r="E46" i="5904"/>
  <c r="D46" i="5904"/>
  <c r="E45" i="5904"/>
  <c r="D45" i="5904"/>
  <c r="C44" i="5904"/>
  <c r="C35" i="5904"/>
  <c r="C34" i="5904"/>
  <c r="AE115" i="5904" s="1"/>
  <c r="C33" i="5904"/>
  <c r="AL115" i="5904" s="1"/>
  <c r="AL118" i="5904" s="1"/>
  <c r="C27" i="5904"/>
  <c r="C25" i="5904"/>
  <c r="E16" i="5904"/>
  <c r="D16" i="5904"/>
  <c r="E15" i="5904"/>
  <c r="D15" i="5904"/>
  <c r="E13" i="5904"/>
  <c r="D13" i="5904"/>
  <c r="E12" i="5904"/>
  <c r="D12" i="5904"/>
  <c r="C8" i="5904"/>
  <c r="D26" i="5904" s="1"/>
  <c r="D5" i="5904"/>
  <c r="A1" i="5904"/>
  <c r="D179" i="5903"/>
  <c r="C179" i="5903"/>
  <c r="D178" i="5903"/>
  <c r="C178" i="5903"/>
  <c r="D177" i="5903"/>
  <c r="C177" i="5903"/>
  <c r="B177" i="5903"/>
  <c r="D176" i="5903"/>
  <c r="C176" i="5903"/>
  <c r="B176" i="5903"/>
  <c r="D175" i="5903"/>
  <c r="C175" i="5903"/>
  <c r="B175" i="5903"/>
  <c r="D174" i="5903"/>
  <c r="C174" i="5903"/>
  <c r="B174" i="5903"/>
  <c r="D173" i="5903"/>
  <c r="C173" i="5903"/>
  <c r="B173" i="5903"/>
  <c r="D172" i="5903"/>
  <c r="C172" i="5903"/>
  <c r="B172" i="5903"/>
  <c r="D171" i="5903"/>
  <c r="C171" i="5903"/>
  <c r="D170" i="5903"/>
  <c r="C170" i="5903"/>
  <c r="D169" i="5903"/>
  <c r="C169" i="5903"/>
  <c r="D168" i="5903"/>
  <c r="C168" i="5903"/>
  <c r="D167" i="5903"/>
  <c r="C167" i="5903"/>
  <c r="D166" i="5903"/>
  <c r="C166" i="5903"/>
  <c r="C165" i="5903" s="1"/>
  <c r="D165" i="5903"/>
  <c r="D164" i="5903"/>
  <c r="C164" i="5903"/>
  <c r="C157" i="5903"/>
  <c r="D151" i="5903"/>
  <c r="AR147" i="5903"/>
  <c r="AQ147" i="5903"/>
  <c r="AP147" i="5903"/>
  <c r="AO147" i="5903"/>
  <c r="AN147" i="5903"/>
  <c r="AM147" i="5903"/>
  <c r="AL147" i="5903"/>
  <c r="AK147" i="5903"/>
  <c r="AJ147" i="5903"/>
  <c r="AI147" i="5903"/>
  <c r="AH147" i="5903"/>
  <c r="AG147" i="5903"/>
  <c r="AF147" i="5903"/>
  <c r="AE147" i="5903"/>
  <c r="AD147" i="5903"/>
  <c r="AC147" i="5903"/>
  <c r="AB147" i="5903"/>
  <c r="AA147" i="5903"/>
  <c r="Z147" i="5903"/>
  <c r="Y147" i="5903"/>
  <c r="X147" i="5903"/>
  <c r="W147" i="5903"/>
  <c r="V147" i="5903"/>
  <c r="U147" i="5903"/>
  <c r="T147" i="5903"/>
  <c r="AR145" i="5903"/>
  <c r="AQ145" i="5903"/>
  <c r="AP145" i="5903"/>
  <c r="AO145" i="5903"/>
  <c r="AN145" i="5903"/>
  <c r="AM145" i="5903"/>
  <c r="AL145" i="5903"/>
  <c r="AK145" i="5903"/>
  <c r="AJ145" i="5903"/>
  <c r="AI145" i="5903"/>
  <c r="AH145" i="5903"/>
  <c r="AG145" i="5903"/>
  <c r="AF145" i="5903"/>
  <c r="AE145" i="5903"/>
  <c r="AD145" i="5903"/>
  <c r="AC145" i="5903"/>
  <c r="AB145" i="5903"/>
  <c r="AA145" i="5903"/>
  <c r="Z145" i="5903"/>
  <c r="Y145" i="5903"/>
  <c r="X145" i="5903"/>
  <c r="W145" i="5903"/>
  <c r="V145" i="5903"/>
  <c r="U145" i="5903"/>
  <c r="T145" i="5903"/>
  <c r="C145" i="5903"/>
  <c r="D143" i="5903"/>
  <c r="AR137" i="5903"/>
  <c r="AP137" i="5903"/>
  <c r="AO137" i="5903"/>
  <c r="AI137" i="5903"/>
  <c r="AF137" i="5903"/>
  <c r="AD137" i="5903"/>
  <c r="AR136" i="5903"/>
  <c r="AQ136" i="5903"/>
  <c r="AP136" i="5903"/>
  <c r="AO136" i="5903"/>
  <c r="AN136" i="5903"/>
  <c r="AM136" i="5903"/>
  <c r="AL136" i="5903"/>
  <c r="AK136" i="5903"/>
  <c r="AJ136" i="5903"/>
  <c r="AI136" i="5903"/>
  <c r="AH136" i="5903"/>
  <c r="AG136" i="5903"/>
  <c r="AG137" i="5903" s="1"/>
  <c r="AF136" i="5903"/>
  <c r="AE136" i="5903"/>
  <c r="AD136" i="5903"/>
  <c r="AC136" i="5903"/>
  <c r="AB136" i="5903"/>
  <c r="AA136" i="5903"/>
  <c r="Z136" i="5903"/>
  <c r="Y136" i="5903"/>
  <c r="X136" i="5903"/>
  <c r="W136" i="5903"/>
  <c r="V136" i="5903"/>
  <c r="U136" i="5903"/>
  <c r="U137" i="5903" s="1"/>
  <c r="T136" i="5903"/>
  <c r="T137" i="5903" s="1"/>
  <c r="AR135" i="5903"/>
  <c r="AQ135" i="5903"/>
  <c r="AQ137" i="5903" s="1"/>
  <c r="AP135" i="5903"/>
  <c r="AO135" i="5903"/>
  <c r="AN135" i="5903"/>
  <c r="AN137" i="5903" s="1"/>
  <c r="AM135" i="5903"/>
  <c r="AM137" i="5903" s="1"/>
  <c r="AL135" i="5903"/>
  <c r="AL137" i="5903" s="1"/>
  <c r="AK135" i="5903"/>
  <c r="AK137" i="5903" s="1"/>
  <c r="AJ135" i="5903"/>
  <c r="AJ137" i="5903" s="1"/>
  <c r="AI135" i="5903"/>
  <c r="AH135" i="5903"/>
  <c r="AH137" i="5903" s="1"/>
  <c r="AG135" i="5903"/>
  <c r="AF135" i="5903"/>
  <c r="AE135" i="5903"/>
  <c r="AE137" i="5903" s="1"/>
  <c r="AD135" i="5903"/>
  <c r="AC135" i="5903"/>
  <c r="AC137" i="5903" s="1"/>
  <c r="AB135" i="5903"/>
  <c r="AB137" i="5903" s="1"/>
  <c r="AA135" i="5903"/>
  <c r="AA137" i="5903" s="1"/>
  <c r="Z135" i="5903"/>
  <c r="Z137" i="5903" s="1"/>
  <c r="Y135" i="5903"/>
  <c r="Y137" i="5903" s="1"/>
  <c r="X135" i="5903"/>
  <c r="X137" i="5903" s="1"/>
  <c r="W135" i="5903"/>
  <c r="W137" i="5903" s="1"/>
  <c r="V135" i="5903"/>
  <c r="V137" i="5903" s="1"/>
  <c r="U135" i="5903"/>
  <c r="T135" i="5903"/>
  <c r="S135" i="5903"/>
  <c r="AR134" i="5903"/>
  <c r="AQ134" i="5903"/>
  <c r="AP134" i="5903"/>
  <c r="AO134" i="5903"/>
  <c r="AN134" i="5903"/>
  <c r="AM134" i="5903"/>
  <c r="AL134" i="5903"/>
  <c r="AK134" i="5903"/>
  <c r="AJ134" i="5903"/>
  <c r="AI134" i="5903"/>
  <c r="AH134" i="5903"/>
  <c r="AG134" i="5903"/>
  <c r="AF134" i="5903"/>
  <c r="AE134" i="5903"/>
  <c r="AD134" i="5903"/>
  <c r="AC134" i="5903"/>
  <c r="AB134" i="5903"/>
  <c r="AA134" i="5903"/>
  <c r="Z134" i="5903"/>
  <c r="Y134" i="5903"/>
  <c r="U134" i="5903"/>
  <c r="P134" i="5903"/>
  <c r="E134" i="5903"/>
  <c r="AN131" i="5903"/>
  <c r="AL131" i="5903"/>
  <c r="AJ131" i="5903"/>
  <c r="AC131" i="5903"/>
  <c r="Z131" i="5903"/>
  <c r="AR125" i="5903"/>
  <c r="AK125" i="5903"/>
  <c r="AJ125" i="5903"/>
  <c r="AI125" i="5903"/>
  <c r="AG125" i="5903"/>
  <c r="AF125" i="5903"/>
  <c r="X125" i="5903"/>
  <c r="W125" i="5903"/>
  <c r="U125" i="5903"/>
  <c r="T125" i="5903"/>
  <c r="M125" i="5903"/>
  <c r="K125" i="5903"/>
  <c r="H125" i="5903"/>
  <c r="E125" i="5903"/>
  <c r="C125" i="5903"/>
  <c r="AR124" i="5903"/>
  <c r="AP124" i="5903"/>
  <c r="AN124" i="5903"/>
  <c r="AF124" i="5903"/>
  <c r="AB124" i="5903"/>
  <c r="X124" i="5903"/>
  <c r="O124" i="5903"/>
  <c r="E124" i="5903"/>
  <c r="C124" i="5903"/>
  <c r="AR123" i="5903"/>
  <c r="AQ123" i="5903"/>
  <c r="AP123" i="5903"/>
  <c r="AO123" i="5903"/>
  <c r="AN123" i="5903"/>
  <c r="AM123" i="5903"/>
  <c r="AL123" i="5903"/>
  <c r="AK123" i="5903"/>
  <c r="AJ123" i="5903"/>
  <c r="AI123" i="5903"/>
  <c r="AH123" i="5903"/>
  <c r="AG123" i="5903"/>
  <c r="AF123" i="5903"/>
  <c r="AE123" i="5903"/>
  <c r="AD123" i="5903"/>
  <c r="AC123" i="5903"/>
  <c r="AB123" i="5903"/>
  <c r="AA123" i="5903"/>
  <c r="Z123" i="5903"/>
  <c r="Y123" i="5903"/>
  <c r="X123" i="5903"/>
  <c r="W123" i="5903"/>
  <c r="V123" i="5903"/>
  <c r="U123" i="5903"/>
  <c r="T123" i="5903"/>
  <c r="S123" i="5903"/>
  <c r="R123" i="5903"/>
  <c r="Q123" i="5903"/>
  <c r="P123" i="5903"/>
  <c r="O123" i="5903"/>
  <c r="N123" i="5903"/>
  <c r="M123" i="5903"/>
  <c r="L123" i="5903"/>
  <c r="K123" i="5903"/>
  <c r="J123" i="5903"/>
  <c r="I123" i="5903"/>
  <c r="H123" i="5903"/>
  <c r="G123" i="5903"/>
  <c r="F123" i="5903"/>
  <c r="E123" i="5903"/>
  <c r="AR122" i="5903"/>
  <c r="AQ122" i="5903"/>
  <c r="AP122" i="5903"/>
  <c r="AO122" i="5903"/>
  <c r="AN122" i="5903"/>
  <c r="AM122" i="5903"/>
  <c r="AL122" i="5903"/>
  <c r="AK122" i="5903"/>
  <c r="AJ122" i="5903"/>
  <c r="AI122" i="5903"/>
  <c r="AH122" i="5903"/>
  <c r="AG122" i="5903"/>
  <c r="AF122" i="5903"/>
  <c r="AE122" i="5903"/>
  <c r="AD122" i="5903"/>
  <c r="AC122" i="5903"/>
  <c r="AB122" i="5903"/>
  <c r="AA122" i="5903"/>
  <c r="Z122" i="5903"/>
  <c r="Y122" i="5903"/>
  <c r="X122" i="5903"/>
  <c r="S122" i="5903"/>
  <c r="R122" i="5903"/>
  <c r="Q122" i="5903"/>
  <c r="P122" i="5903"/>
  <c r="O122" i="5903"/>
  <c r="N122" i="5903"/>
  <c r="M122" i="5903"/>
  <c r="L122" i="5903"/>
  <c r="K122" i="5903"/>
  <c r="J122" i="5903"/>
  <c r="I122" i="5903"/>
  <c r="H122" i="5903"/>
  <c r="G122" i="5903"/>
  <c r="F122" i="5903"/>
  <c r="E122" i="5903"/>
  <c r="AR121" i="5903"/>
  <c r="AQ121" i="5903"/>
  <c r="AP121" i="5903"/>
  <c r="AO121" i="5903"/>
  <c r="AN121" i="5903"/>
  <c r="AM121" i="5903"/>
  <c r="AM131" i="5903" s="1"/>
  <c r="AL121" i="5903"/>
  <c r="AK121" i="5903"/>
  <c r="AJ121" i="5903"/>
  <c r="AI121" i="5903"/>
  <c r="AH121" i="5903"/>
  <c r="AG121" i="5903"/>
  <c r="AF121" i="5903"/>
  <c r="AE121" i="5903"/>
  <c r="AD121" i="5903"/>
  <c r="AC121" i="5903"/>
  <c r="AB121" i="5903"/>
  <c r="AB131" i="5903" s="1"/>
  <c r="AA121" i="5903"/>
  <c r="AA131" i="5903" s="1"/>
  <c r="Z121" i="5903"/>
  <c r="Y121" i="5903"/>
  <c r="X121" i="5903"/>
  <c r="W121" i="5903"/>
  <c r="V121" i="5903"/>
  <c r="U121" i="5903"/>
  <c r="T121" i="5903"/>
  <c r="S121" i="5903"/>
  <c r="R121" i="5903"/>
  <c r="Q121" i="5903"/>
  <c r="P121" i="5903"/>
  <c r="O121" i="5903"/>
  <c r="N121" i="5903"/>
  <c r="M121" i="5903"/>
  <c r="L121" i="5903"/>
  <c r="K121" i="5903"/>
  <c r="J121" i="5903"/>
  <c r="I121" i="5903"/>
  <c r="H121" i="5903"/>
  <c r="G121" i="5903"/>
  <c r="F121" i="5903"/>
  <c r="E121" i="5903"/>
  <c r="AR120" i="5903"/>
  <c r="AR131" i="5903" s="1"/>
  <c r="AQ120" i="5903"/>
  <c r="AQ131" i="5903" s="1"/>
  <c r="AP120" i="5903"/>
  <c r="AO120" i="5903"/>
  <c r="AO131" i="5903" s="1"/>
  <c r="AN120" i="5903"/>
  <c r="AM120" i="5903"/>
  <c r="AL120" i="5903"/>
  <c r="AK120" i="5903"/>
  <c r="AK131" i="5903" s="1"/>
  <c r="AJ120" i="5903"/>
  <c r="AI120" i="5903"/>
  <c r="AI131" i="5903" s="1"/>
  <c r="AH120" i="5903"/>
  <c r="AH131" i="5903" s="1"/>
  <c r="AG120" i="5903"/>
  <c r="AG131" i="5903" s="1"/>
  <c r="AF120" i="5903"/>
  <c r="AF131" i="5903" s="1"/>
  <c r="AE120" i="5903"/>
  <c r="AE131" i="5903" s="1"/>
  <c r="AD120" i="5903"/>
  <c r="AC120" i="5903"/>
  <c r="AB120" i="5903"/>
  <c r="AA120" i="5903"/>
  <c r="Z120" i="5903"/>
  <c r="Y120" i="5903"/>
  <c r="Y131" i="5903" s="1"/>
  <c r="C118" i="5903"/>
  <c r="AR117" i="5903"/>
  <c r="AQ117" i="5903"/>
  <c r="AP117" i="5903"/>
  <c r="AO117" i="5903"/>
  <c r="AN117" i="5903"/>
  <c r="AM117" i="5903"/>
  <c r="AL117" i="5903"/>
  <c r="AK117" i="5903"/>
  <c r="AJ117" i="5903"/>
  <c r="AI117" i="5903"/>
  <c r="AH117" i="5903"/>
  <c r="AG117" i="5903"/>
  <c r="AF117" i="5903"/>
  <c r="AE117" i="5903"/>
  <c r="AD117" i="5903"/>
  <c r="AC117" i="5903"/>
  <c r="AB117" i="5903"/>
  <c r="AA117" i="5903"/>
  <c r="Z117" i="5903"/>
  <c r="Y117" i="5903"/>
  <c r="X117" i="5903"/>
  <c r="W117" i="5903"/>
  <c r="V117" i="5903"/>
  <c r="U117" i="5903"/>
  <c r="T117" i="5903"/>
  <c r="S117" i="5903"/>
  <c r="R117" i="5903"/>
  <c r="Q117" i="5903"/>
  <c r="P117" i="5903"/>
  <c r="O117" i="5903"/>
  <c r="N117" i="5903"/>
  <c r="M117" i="5903"/>
  <c r="L117" i="5903"/>
  <c r="K117" i="5903"/>
  <c r="J117" i="5903"/>
  <c r="I117" i="5903"/>
  <c r="H117" i="5903"/>
  <c r="G117" i="5903"/>
  <c r="F117" i="5903"/>
  <c r="E117" i="5903"/>
  <c r="AR116" i="5903"/>
  <c r="AQ116" i="5903"/>
  <c r="AP116" i="5903"/>
  <c r="AO116" i="5903"/>
  <c r="AN116" i="5903"/>
  <c r="AM116" i="5903"/>
  <c r="AL116" i="5903"/>
  <c r="AK116" i="5903"/>
  <c r="AJ116" i="5903"/>
  <c r="AI116" i="5903"/>
  <c r="AH116" i="5903"/>
  <c r="AG116" i="5903"/>
  <c r="AF116" i="5903"/>
  <c r="AE116" i="5903"/>
  <c r="AD116" i="5903"/>
  <c r="AC116" i="5903"/>
  <c r="AB116" i="5903"/>
  <c r="AA116" i="5903"/>
  <c r="Z116" i="5903"/>
  <c r="Y116" i="5903"/>
  <c r="X116" i="5903"/>
  <c r="W116" i="5903"/>
  <c r="V116" i="5903"/>
  <c r="U116" i="5903"/>
  <c r="T116" i="5903"/>
  <c r="S116" i="5903"/>
  <c r="R116" i="5903"/>
  <c r="Q116" i="5903"/>
  <c r="P116" i="5903"/>
  <c r="O116" i="5903"/>
  <c r="N116" i="5903"/>
  <c r="M116" i="5903"/>
  <c r="L116" i="5903"/>
  <c r="K116" i="5903"/>
  <c r="J116" i="5903"/>
  <c r="I116" i="5903"/>
  <c r="H116" i="5903"/>
  <c r="G116" i="5903"/>
  <c r="F116" i="5903"/>
  <c r="E116" i="5903"/>
  <c r="C116" i="5903"/>
  <c r="C115" i="5903"/>
  <c r="D113" i="5903"/>
  <c r="D146" i="5903" s="1"/>
  <c r="AR109" i="5903"/>
  <c r="AQ109" i="5903"/>
  <c r="AP109" i="5903"/>
  <c r="AO109" i="5903"/>
  <c r="AN109" i="5903"/>
  <c r="AM109" i="5903"/>
  <c r="AL109" i="5903"/>
  <c r="AK109" i="5903"/>
  <c r="AJ109" i="5903"/>
  <c r="AI109" i="5903"/>
  <c r="AH109" i="5903"/>
  <c r="AG109" i="5903"/>
  <c r="AF109" i="5903"/>
  <c r="AE109" i="5903"/>
  <c r="AD109" i="5903"/>
  <c r="AC109" i="5903"/>
  <c r="AB109" i="5903"/>
  <c r="AA109" i="5903"/>
  <c r="Z109" i="5903"/>
  <c r="Y109" i="5903"/>
  <c r="X109" i="5903"/>
  <c r="W109" i="5903"/>
  <c r="V109" i="5903"/>
  <c r="U109" i="5903"/>
  <c r="T109" i="5903"/>
  <c r="T122" i="5903" s="1"/>
  <c r="S109" i="5903"/>
  <c r="S108" i="5903" s="1"/>
  <c r="S124" i="5903" s="1"/>
  <c r="R109" i="5903"/>
  <c r="Q109" i="5903"/>
  <c r="P109" i="5903"/>
  <c r="P108" i="5903" s="1"/>
  <c r="P124" i="5903" s="1"/>
  <c r="O109" i="5903"/>
  <c r="N109" i="5903"/>
  <c r="M109" i="5903"/>
  <c r="L109" i="5903"/>
  <c r="K109" i="5903"/>
  <c r="K108" i="5903" s="1"/>
  <c r="J109" i="5903"/>
  <c r="J108" i="5903" s="1"/>
  <c r="I109" i="5903"/>
  <c r="H109" i="5903"/>
  <c r="H108" i="5903" s="1"/>
  <c r="G109" i="5903"/>
  <c r="G108" i="5903" s="1"/>
  <c r="G124" i="5903" s="1"/>
  <c r="F109" i="5903"/>
  <c r="E109" i="5903"/>
  <c r="AR108" i="5903"/>
  <c r="AQ108" i="5903"/>
  <c r="AQ124" i="5903" s="1"/>
  <c r="AP108" i="5903"/>
  <c r="AO108" i="5903"/>
  <c r="AO124" i="5903" s="1"/>
  <c r="AN108" i="5903"/>
  <c r="AM108" i="5903"/>
  <c r="AM124" i="5903" s="1"/>
  <c r="AL108" i="5903"/>
  <c r="AL124" i="5903" s="1"/>
  <c r="AK108" i="5903"/>
  <c r="AK124" i="5903" s="1"/>
  <c r="AJ108" i="5903"/>
  <c r="AJ124" i="5903" s="1"/>
  <c r="AI108" i="5903"/>
  <c r="AI124" i="5903" s="1"/>
  <c r="AH108" i="5903"/>
  <c r="AG108" i="5903"/>
  <c r="AF108" i="5903"/>
  <c r="AE108" i="5903"/>
  <c r="AE124" i="5903" s="1"/>
  <c r="AD108" i="5903"/>
  <c r="AC108" i="5903"/>
  <c r="AC124" i="5903" s="1"/>
  <c r="AB108" i="5903"/>
  <c r="AA108" i="5903"/>
  <c r="AA124" i="5903" s="1"/>
  <c r="Z108" i="5903"/>
  <c r="Z124" i="5903" s="1"/>
  <c r="Y108" i="5903"/>
  <c r="Y124" i="5903" s="1"/>
  <c r="X108" i="5903"/>
  <c r="U108" i="5903"/>
  <c r="R108" i="5903"/>
  <c r="R124" i="5903" s="1"/>
  <c r="O108" i="5903"/>
  <c r="N108" i="5903"/>
  <c r="N124" i="5903" s="1"/>
  <c r="M108" i="5903"/>
  <c r="M124" i="5903" s="1"/>
  <c r="L108" i="5903"/>
  <c r="L124" i="5903" s="1"/>
  <c r="F108" i="5903"/>
  <c r="D108" i="5903"/>
  <c r="AR107" i="5903"/>
  <c r="AQ107" i="5903"/>
  <c r="AQ125" i="5903" s="1"/>
  <c r="AP107" i="5903"/>
  <c r="AP125" i="5903" s="1"/>
  <c r="AO107" i="5903"/>
  <c r="AO125" i="5903" s="1"/>
  <c r="AN107" i="5903"/>
  <c r="AN125" i="5903" s="1"/>
  <c r="AM107" i="5903"/>
  <c r="AM125" i="5903" s="1"/>
  <c r="AL107" i="5903"/>
  <c r="AL125" i="5903" s="1"/>
  <c r="AK107" i="5903"/>
  <c r="AJ107" i="5903"/>
  <c r="AI107" i="5903"/>
  <c r="AH107" i="5903"/>
  <c r="AH125" i="5903" s="1"/>
  <c r="AG107" i="5903"/>
  <c r="AF107" i="5903"/>
  <c r="AE107" i="5903"/>
  <c r="AE125" i="5903" s="1"/>
  <c r="AD107" i="5903"/>
  <c r="AD125" i="5903" s="1"/>
  <c r="AC107" i="5903"/>
  <c r="AC125" i="5903" s="1"/>
  <c r="AB107" i="5903"/>
  <c r="AB125" i="5903" s="1"/>
  <c r="AA107" i="5903"/>
  <c r="AA125" i="5903" s="1"/>
  <c r="Z107" i="5903"/>
  <c r="Z125" i="5903" s="1"/>
  <c r="Y107" i="5903"/>
  <c r="Y125" i="5903" s="1"/>
  <c r="X107" i="5903"/>
  <c r="W107" i="5903"/>
  <c r="V107" i="5903"/>
  <c r="V125" i="5903" s="1"/>
  <c r="U107" i="5903"/>
  <c r="T107" i="5903"/>
  <c r="S107" i="5903"/>
  <c r="S125" i="5903" s="1"/>
  <c r="R107" i="5903"/>
  <c r="R125" i="5903" s="1"/>
  <c r="Q107" i="5903"/>
  <c r="Q125" i="5903" s="1"/>
  <c r="P107" i="5903"/>
  <c r="P125" i="5903" s="1"/>
  <c r="O107" i="5903"/>
  <c r="O125" i="5903" s="1"/>
  <c r="N107" i="5903"/>
  <c r="N125" i="5903" s="1"/>
  <c r="M107" i="5903"/>
  <c r="L107" i="5903"/>
  <c r="L125" i="5903" s="1"/>
  <c r="K107" i="5903"/>
  <c r="J107" i="5903"/>
  <c r="J125" i="5903" s="1"/>
  <c r="I107" i="5903"/>
  <c r="I125" i="5903" s="1"/>
  <c r="H107" i="5903"/>
  <c r="G107" i="5903"/>
  <c r="G125" i="5903" s="1"/>
  <c r="F107" i="5903"/>
  <c r="F125" i="5903" s="1"/>
  <c r="D107" i="5903"/>
  <c r="AK106" i="5903"/>
  <c r="AL106" i="5903" s="1"/>
  <c r="AM106" i="5903" s="1"/>
  <c r="AN106" i="5903" s="1"/>
  <c r="AO106" i="5903" s="1"/>
  <c r="AP106" i="5903" s="1"/>
  <c r="AQ106" i="5903" s="1"/>
  <c r="AR106" i="5903" s="1"/>
  <c r="V106" i="5903"/>
  <c r="W106" i="5903" s="1"/>
  <c r="X106" i="5903" s="1"/>
  <c r="Y106" i="5903" s="1"/>
  <c r="Z106" i="5903" s="1"/>
  <c r="AA106" i="5903" s="1"/>
  <c r="AB106" i="5903" s="1"/>
  <c r="AC106" i="5903" s="1"/>
  <c r="AD106" i="5903" s="1"/>
  <c r="AE106" i="5903" s="1"/>
  <c r="AF106" i="5903" s="1"/>
  <c r="AG106" i="5903" s="1"/>
  <c r="AH106" i="5903" s="1"/>
  <c r="AI106" i="5903" s="1"/>
  <c r="AJ106" i="5903" s="1"/>
  <c r="H106" i="5903"/>
  <c r="I106" i="5903" s="1"/>
  <c r="J106" i="5903" s="1"/>
  <c r="K106" i="5903" s="1"/>
  <c r="L106" i="5903" s="1"/>
  <c r="M106" i="5903" s="1"/>
  <c r="N106" i="5903" s="1"/>
  <c r="O106" i="5903" s="1"/>
  <c r="P106" i="5903" s="1"/>
  <c r="Q106" i="5903" s="1"/>
  <c r="R106" i="5903" s="1"/>
  <c r="S106" i="5903" s="1"/>
  <c r="T106" i="5903" s="1"/>
  <c r="U106" i="5903" s="1"/>
  <c r="E106" i="5903"/>
  <c r="F106" i="5903" s="1"/>
  <c r="G106" i="5903" s="1"/>
  <c r="E102" i="5903"/>
  <c r="C92" i="5903"/>
  <c r="C154" i="5903" s="1"/>
  <c r="D85" i="5903"/>
  <c r="D84" i="5903"/>
  <c r="D70" i="5903"/>
  <c r="D65" i="5903"/>
  <c r="D64" i="5903"/>
  <c r="D63" i="5903"/>
  <c r="C60" i="5903"/>
  <c r="D59" i="5903"/>
  <c r="C58" i="5903"/>
  <c r="D57" i="5903"/>
  <c r="C56" i="5903"/>
  <c r="D55" i="5903"/>
  <c r="C53" i="5903"/>
  <c r="D49" i="5903"/>
  <c r="C49" i="5903"/>
  <c r="D48" i="5903"/>
  <c r="E47" i="5903"/>
  <c r="D47" i="5903"/>
  <c r="E46" i="5903"/>
  <c r="D46" i="5903"/>
  <c r="E45" i="5903"/>
  <c r="D45" i="5903"/>
  <c r="C44" i="5903"/>
  <c r="C41" i="5903"/>
  <c r="C152" i="5903" s="1"/>
  <c r="C158" i="5903" s="1"/>
  <c r="D39" i="5903"/>
  <c r="C35" i="5903"/>
  <c r="C33" i="5903"/>
  <c r="C27" i="5903"/>
  <c r="C25" i="5903"/>
  <c r="D21" i="5903"/>
  <c r="E16" i="5903"/>
  <c r="D16" i="5903"/>
  <c r="E15" i="5903"/>
  <c r="D15" i="5903"/>
  <c r="E13" i="5903"/>
  <c r="D13" i="5903"/>
  <c r="E12" i="5903"/>
  <c r="D12" i="5903"/>
  <c r="C8" i="5903"/>
  <c r="D28" i="5903" s="1"/>
  <c r="D5" i="5903"/>
  <c r="A1" i="5903"/>
  <c r="D179" i="5902"/>
  <c r="C179" i="5902"/>
  <c r="D178" i="5902"/>
  <c r="C178" i="5902"/>
  <c r="D177" i="5902"/>
  <c r="C177" i="5902"/>
  <c r="B177" i="5902"/>
  <c r="D176" i="5902"/>
  <c r="C176" i="5902"/>
  <c r="B176" i="5902"/>
  <c r="D175" i="5902"/>
  <c r="C175" i="5902"/>
  <c r="B175" i="5902"/>
  <c r="D174" i="5902"/>
  <c r="C174" i="5902"/>
  <c r="B174" i="5902"/>
  <c r="D173" i="5902"/>
  <c r="C173" i="5902"/>
  <c r="B173" i="5902"/>
  <c r="D172" i="5902"/>
  <c r="C172" i="5902"/>
  <c r="B172" i="5902"/>
  <c r="D171" i="5902"/>
  <c r="C171" i="5902"/>
  <c r="D170" i="5902"/>
  <c r="C170" i="5902"/>
  <c r="D169" i="5902"/>
  <c r="C169" i="5902"/>
  <c r="D168" i="5902"/>
  <c r="C168" i="5902"/>
  <c r="D167" i="5902"/>
  <c r="C167" i="5902"/>
  <c r="D166" i="5902"/>
  <c r="C166" i="5902"/>
  <c r="C165" i="5902" s="1"/>
  <c r="D165" i="5902"/>
  <c r="D164" i="5902"/>
  <c r="C164" i="5902"/>
  <c r="D151" i="5902"/>
  <c r="AR147" i="5902"/>
  <c r="AQ147" i="5902"/>
  <c r="AP147" i="5902"/>
  <c r="AO147" i="5902"/>
  <c r="AN147" i="5902"/>
  <c r="AM147" i="5902"/>
  <c r="AL147" i="5902"/>
  <c r="AK147" i="5902"/>
  <c r="AJ147" i="5902"/>
  <c r="AI147" i="5902"/>
  <c r="AH147" i="5902"/>
  <c r="AG147" i="5902"/>
  <c r="AF147" i="5902"/>
  <c r="AE147" i="5902"/>
  <c r="AD147" i="5902"/>
  <c r="AC147" i="5902"/>
  <c r="AB147" i="5902"/>
  <c r="AA147" i="5902"/>
  <c r="Z147" i="5902"/>
  <c r="Y147" i="5902"/>
  <c r="X147" i="5902"/>
  <c r="W147" i="5902"/>
  <c r="V147" i="5902"/>
  <c r="U147" i="5902"/>
  <c r="T147" i="5902"/>
  <c r="AR145" i="5902"/>
  <c r="AQ145" i="5902"/>
  <c r="AP145" i="5902"/>
  <c r="AO145" i="5902"/>
  <c r="AN145" i="5902"/>
  <c r="AM145" i="5902"/>
  <c r="AL145" i="5902"/>
  <c r="AK145" i="5902"/>
  <c r="AJ145" i="5902"/>
  <c r="AI145" i="5902"/>
  <c r="AH145" i="5902"/>
  <c r="AG145" i="5902"/>
  <c r="AF145" i="5902"/>
  <c r="AE145" i="5902"/>
  <c r="AD145" i="5902"/>
  <c r="AC145" i="5902"/>
  <c r="AB145" i="5902"/>
  <c r="AA145" i="5902"/>
  <c r="Z145" i="5902"/>
  <c r="Y145" i="5902"/>
  <c r="X145" i="5902"/>
  <c r="W145" i="5902"/>
  <c r="V145" i="5902"/>
  <c r="U145" i="5902"/>
  <c r="T145" i="5902"/>
  <c r="C145" i="5902"/>
  <c r="AR137" i="5902"/>
  <c r="AP137" i="5902"/>
  <c r="AM137" i="5902"/>
  <c r="AK137" i="5902"/>
  <c r="AF137" i="5902"/>
  <c r="AD137" i="5902"/>
  <c r="AA137" i="5902"/>
  <c r="Y137" i="5902"/>
  <c r="T137" i="5902"/>
  <c r="AR136" i="5902"/>
  <c r="AQ136" i="5902"/>
  <c r="AP136" i="5902"/>
  <c r="AO136" i="5902"/>
  <c r="AO137" i="5902" s="1"/>
  <c r="AN136" i="5902"/>
  <c r="AM136" i="5902"/>
  <c r="AL136" i="5902"/>
  <c r="AK136" i="5902"/>
  <c r="AJ136" i="5902"/>
  <c r="AI136" i="5902"/>
  <c r="AH136" i="5902"/>
  <c r="AG136" i="5902"/>
  <c r="AF136" i="5902"/>
  <c r="AE136" i="5902"/>
  <c r="AD136" i="5902"/>
  <c r="AC136" i="5902"/>
  <c r="AC137" i="5902" s="1"/>
  <c r="AB136" i="5902"/>
  <c r="AA136" i="5902"/>
  <c r="Z136" i="5902"/>
  <c r="Y136" i="5902"/>
  <c r="X136" i="5902"/>
  <c r="W136" i="5902"/>
  <c r="V136" i="5902"/>
  <c r="U136" i="5902"/>
  <c r="T136" i="5902"/>
  <c r="AR135" i="5902"/>
  <c r="AQ135" i="5902"/>
  <c r="AQ137" i="5902" s="1"/>
  <c r="AP135" i="5902"/>
  <c r="AO135" i="5902"/>
  <c r="AN135" i="5902"/>
  <c r="AN137" i="5902" s="1"/>
  <c r="AM135" i="5902"/>
  <c r="AL135" i="5902"/>
  <c r="AL137" i="5902" s="1"/>
  <c r="AK135" i="5902"/>
  <c r="AJ135" i="5902"/>
  <c r="AI135" i="5902"/>
  <c r="AI137" i="5902" s="1"/>
  <c r="AH135" i="5902"/>
  <c r="AH137" i="5902" s="1"/>
  <c r="AG135" i="5902"/>
  <c r="AG137" i="5902" s="1"/>
  <c r="AF135" i="5902"/>
  <c r="AE135" i="5902"/>
  <c r="AE137" i="5902" s="1"/>
  <c r="AD135" i="5902"/>
  <c r="AC135" i="5902"/>
  <c r="AB135" i="5902"/>
  <c r="AB137" i="5902" s="1"/>
  <c r="AA135" i="5902"/>
  <c r="Z135" i="5902"/>
  <c r="Z137" i="5902" s="1"/>
  <c r="Y135" i="5902"/>
  <c r="X135" i="5902"/>
  <c r="W135" i="5902"/>
  <c r="W137" i="5902" s="1"/>
  <c r="V135" i="5902"/>
  <c r="V137" i="5902" s="1"/>
  <c r="U135" i="5902"/>
  <c r="U137" i="5902" s="1"/>
  <c r="T135" i="5902"/>
  <c r="AR134" i="5902"/>
  <c r="AQ134" i="5902"/>
  <c r="AP134" i="5902"/>
  <c r="AO134" i="5902"/>
  <c r="AN134" i="5902"/>
  <c r="AM134" i="5902"/>
  <c r="AL134" i="5902"/>
  <c r="AK134" i="5902"/>
  <c r="AJ134" i="5902"/>
  <c r="AI134" i="5902"/>
  <c r="AH134" i="5902"/>
  <c r="AG134" i="5902"/>
  <c r="AF134" i="5902"/>
  <c r="AE134" i="5902"/>
  <c r="AD134" i="5902"/>
  <c r="AC134" i="5902"/>
  <c r="AB134" i="5902"/>
  <c r="AA134" i="5902"/>
  <c r="Z134" i="5902"/>
  <c r="Y134" i="5902"/>
  <c r="X134" i="5902"/>
  <c r="W134" i="5902"/>
  <c r="V134" i="5902"/>
  <c r="U134" i="5902"/>
  <c r="T134" i="5902"/>
  <c r="AG131" i="5902"/>
  <c r="U131" i="5902"/>
  <c r="AR125" i="5902"/>
  <c r="AQ125" i="5902"/>
  <c r="AO125" i="5902"/>
  <c r="AG125" i="5902"/>
  <c r="AF125" i="5902"/>
  <c r="AE125" i="5902"/>
  <c r="AC125" i="5902"/>
  <c r="U125" i="5902"/>
  <c r="T125" i="5902"/>
  <c r="S125" i="5902"/>
  <c r="Q125" i="5902"/>
  <c r="I125" i="5902"/>
  <c r="H125" i="5902"/>
  <c r="G125" i="5902"/>
  <c r="E125" i="5902"/>
  <c r="C125" i="5902"/>
  <c r="AO124" i="5902"/>
  <c r="AM124" i="5902"/>
  <c r="AK124" i="5902"/>
  <c r="AC124" i="5902"/>
  <c r="AA124" i="5902"/>
  <c r="Y124" i="5902"/>
  <c r="E124" i="5902"/>
  <c r="C124" i="5902"/>
  <c r="AR123" i="5902"/>
  <c r="AQ123" i="5902"/>
  <c r="AP123" i="5902"/>
  <c r="AO123" i="5902"/>
  <c r="AN123" i="5902"/>
  <c r="AM123" i="5902"/>
  <c r="AL123" i="5902"/>
  <c r="AK123" i="5902"/>
  <c r="AJ123" i="5902"/>
  <c r="AI123" i="5902"/>
  <c r="AH123" i="5902"/>
  <c r="AG123" i="5902"/>
  <c r="AF123" i="5902"/>
  <c r="AE123" i="5902"/>
  <c r="AD123" i="5902"/>
  <c r="AC123" i="5902"/>
  <c r="AB123" i="5902"/>
  <c r="AA123" i="5902"/>
  <c r="Z123" i="5902"/>
  <c r="Y123" i="5902"/>
  <c r="X123" i="5902"/>
  <c r="W123" i="5902"/>
  <c r="V123" i="5902"/>
  <c r="U123" i="5902"/>
  <c r="T123" i="5902"/>
  <c r="S123" i="5902"/>
  <c r="R123" i="5902"/>
  <c r="Q123" i="5902"/>
  <c r="P123" i="5902"/>
  <c r="O123" i="5902"/>
  <c r="N123" i="5902"/>
  <c r="M123" i="5902"/>
  <c r="L123" i="5902"/>
  <c r="K123" i="5902"/>
  <c r="J123" i="5902"/>
  <c r="I123" i="5902"/>
  <c r="H123" i="5902"/>
  <c r="G123" i="5902"/>
  <c r="F123" i="5902"/>
  <c r="E123" i="5902"/>
  <c r="AR122" i="5902"/>
  <c r="AQ122" i="5902"/>
  <c r="AP122" i="5902"/>
  <c r="AO122" i="5902"/>
  <c r="AN122" i="5902"/>
  <c r="AM122" i="5902"/>
  <c r="AL122" i="5902"/>
  <c r="AK122" i="5902"/>
  <c r="AJ122" i="5902"/>
  <c r="AI122" i="5902"/>
  <c r="AH122" i="5902"/>
  <c r="AG122" i="5902"/>
  <c r="AF122" i="5902"/>
  <c r="AE122" i="5902"/>
  <c r="AD122" i="5902"/>
  <c r="AC122" i="5902"/>
  <c r="AB122" i="5902"/>
  <c r="AA122" i="5902"/>
  <c r="Z122" i="5902"/>
  <c r="Y122" i="5902"/>
  <c r="X122" i="5902"/>
  <c r="W122" i="5902"/>
  <c r="V122" i="5902"/>
  <c r="U122" i="5902"/>
  <c r="T122" i="5902"/>
  <c r="S122" i="5902"/>
  <c r="R122" i="5902"/>
  <c r="Q122" i="5902"/>
  <c r="P122" i="5902"/>
  <c r="O122" i="5902"/>
  <c r="N122" i="5902"/>
  <c r="M122" i="5902"/>
  <c r="L122" i="5902"/>
  <c r="K122" i="5902"/>
  <c r="J122" i="5902"/>
  <c r="I122" i="5902"/>
  <c r="H122" i="5902"/>
  <c r="G122" i="5902"/>
  <c r="F122" i="5902"/>
  <c r="E122" i="5902"/>
  <c r="AR121" i="5902"/>
  <c r="AQ121" i="5902"/>
  <c r="AP121" i="5902"/>
  <c r="AO121" i="5902"/>
  <c r="AN121" i="5902"/>
  <c r="AN131" i="5902" s="1"/>
  <c r="AM121" i="5902"/>
  <c r="AL121" i="5902"/>
  <c r="AK121" i="5902"/>
  <c r="AK131" i="5902" s="1"/>
  <c r="AJ121" i="5902"/>
  <c r="AJ131" i="5902" s="1"/>
  <c r="AI121" i="5902"/>
  <c r="AI131" i="5902" s="1"/>
  <c r="AH121" i="5902"/>
  <c r="AG121" i="5902"/>
  <c r="AF121" i="5902"/>
  <c r="AE121" i="5902"/>
  <c r="AD121" i="5902"/>
  <c r="AC121" i="5902"/>
  <c r="AB121" i="5902"/>
  <c r="AB131" i="5902" s="1"/>
  <c r="AA121" i="5902"/>
  <c r="Z121" i="5902"/>
  <c r="Y121" i="5902"/>
  <c r="Y131" i="5902" s="1"/>
  <c r="X121" i="5902"/>
  <c r="X131" i="5902" s="1"/>
  <c r="W121" i="5902"/>
  <c r="W131" i="5902" s="1"/>
  <c r="V121" i="5902"/>
  <c r="U121" i="5902"/>
  <c r="T121" i="5902"/>
  <c r="S121" i="5902"/>
  <c r="R121" i="5902"/>
  <c r="Q121" i="5902"/>
  <c r="P121" i="5902"/>
  <c r="O121" i="5902"/>
  <c r="N121" i="5902"/>
  <c r="M121" i="5902"/>
  <c r="L121" i="5902"/>
  <c r="K121" i="5902"/>
  <c r="J121" i="5902"/>
  <c r="I121" i="5902"/>
  <c r="H121" i="5902"/>
  <c r="G121" i="5902"/>
  <c r="F121" i="5902"/>
  <c r="E121" i="5902"/>
  <c r="AR120" i="5902"/>
  <c r="AR131" i="5902" s="1"/>
  <c r="AQ120" i="5902"/>
  <c r="AQ131" i="5902" s="1"/>
  <c r="AP120" i="5902"/>
  <c r="AO120" i="5902"/>
  <c r="AO131" i="5902" s="1"/>
  <c r="AN120" i="5902"/>
  <c r="AM120" i="5902"/>
  <c r="AM131" i="5902" s="1"/>
  <c r="AL120" i="5902"/>
  <c r="AL131" i="5902" s="1"/>
  <c r="AK120" i="5902"/>
  <c r="AJ120" i="5902"/>
  <c r="AI120" i="5902"/>
  <c r="AH120" i="5902"/>
  <c r="AH131" i="5902" s="1"/>
  <c r="AG120" i="5902"/>
  <c r="AF120" i="5902"/>
  <c r="AF131" i="5902" s="1"/>
  <c r="AE120" i="5902"/>
  <c r="AE131" i="5902" s="1"/>
  <c r="AD120" i="5902"/>
  <c r="AC120" i="5902"/>
  <c r="AC131" i="5902" s="1"/>
  <c r="AB120" i="5902"/>
  <c r="AA120" i="5902"/>
  <c r="AA131" i="5902" s="1"/>
  <c r="Z120" i="5902"/>
  <c r="Z131" i="5902" s="1"/>
  <c r="Y120" i="5902"/>
  <c r="X120" i="5902"/>
  <c r="W120" i="5902"/>
  <c r="V120" i="5902"/>
  <c r="V131" i="5902" s="1"/>
  <c r="U120" i="5902"/>
  <c r="T120" i="5902"/>
  <c r="T131" i="5902" s="1"/>
  <c r="C118" i="5902"/>
  <c r="AR117" i="5902"/>
  <c r="AQ117" i="5902"/>
  <c r="AP117" i="5902"/>
  <c r="AO117" i="5902"/>
  <c r="AN117" i="5902"/>
  <c r="AM117" i="5902"/>
  <c r="AL117" i="5902"/>
  <c r="AK117" i="5902"/>
  <c r="AJ117" i="5902"/>
  <c r="AI117" i="5902"/>
  <c r="AH117" i="5902"/>
  <c r="AG117" i="5902"/>
  <c r="AF117" i="5902"/>
  <c r="AE117" i="5902"/>
  <c r="AD117" i="5902"/>
  <c r="AC117" i="5902"/>
  <c r="AB117" i="5902"/>
  <c r="AA117" i="5902"/>
  <c r="Z117" i="5902"/>
  <c r="Y117" i="5902"/>
  <c r="X117" i="5902"/>
  <c r="W117" i="5902"/>
  <c r="V117" i="5902"/>
  <c r="U117" i="5902"/>
  <c r="T117" i="5902"/>
  <c r="S117" i="5902"/>
  <c r="R117" i="5902"/>
  <c r="Q117" i="5902"/>
  <c r="P117" i="5902"/>
  <c r="O117" i="5902"/>
  <c r="N117" i="5902"/>
  <c r="M117" i="5902"/>
  <c r="L117" i="5902"/>
  <c r="K117" i="5902"/>
  <c r="J117" i="5902"/>
  <c r="I117" i="5902"/>
  <c r="H117" i="5902"/>
  <c r="G117" i="5902"/>
  <c r="F117" i="5902"/>
  <c r="E117" i="5902"/>
  <c r="AR116" i="5902"/>
  <c r="AQ116" i="5902"/>
  <c r="AP116" i="5902"/>
  <c r="AO116" i="5902"/>
  <c r="AN116" i="5902"/>
  <c r="AM116" i="5902"/>
  <c r="AL116" i="5902"/>
  <c r="AK116" i="5902"/>
  <c r="AJ116" i="5902"/>
  <c r="AI116" i="5902"/>
  <c r="AH116" i="5902"/>
  <c r="AG116" i="5902"/>
  <c r="AF116" i="5902"/>
  <c r="AE116" i="5902"/>
  <c r="AD116" i="5902"/>
  <c r="AC116" i="5902"/>
  <c r="AB116" i="5902"/>
  <c r="AA116" i="5902"/>
  <c r="Z116" i="5902"/>
  <c r="Y116" i="5902"/>
  <c r="X116" i="5902"/>
  <c r="W116" i="5902"/>
  <c r="V116" i="5902"/>
  <c r="U116" i="5902"/>
  <c r="T116" i="5902"/>
  <c r="S116" i="5902"/>
  <c r="R116" i="5902"/>
  <c r="Q116" i="5902"/>
  <c r="P116" i="5902"/>
  <c r="O116" i="5902"/>
  <c r="N116" i="5902"/>
  <c r="M116" i="5902"/>
  <c r="L116" i="5902"/>
  <c r="K116" i="5902"/>
  <c r="J116" i="5902"/>
  <c r="I116" i="5902"/>
  <c r="H116" i="5902"/>
  <c r="G116" i="5902"/>
  <c r="F116" i="5902"/>
  <c r="E116" i="5902"/>
  <c r="C116" i="5902"/>
  <c r="C115" i="5902"/>
  <c r="AR109" i="5902"/>
  <c r="AQ109" i="5902"/>
  <c r="AP109" i="5902"/>
  <c r="AO109" i="5902"/>
  <c r="AN109" i="5902"/>
  <c r="AM109" i="5902"/>
  <c r="AL109" i="5902"/>
  <c r="AK109" i="5902"/>
  <c r="AJ109" i="5902"/>
  <c r="AI109" i="5902"/>
  <c r="AH109" i="5902"/>
  <c r="AG109" i="5902"/>
  <c r="AF109" i="5902"/>
  <c r="AE109" i="5902"/>
  <c r="AD109" i="5902"/>
  <c r="AC109" i="5902"/>
  <c r="AB109" i="5902"/>
  <c r="AA109" i="5902"/>
  <c r="Z109" i="5902"/>
  <c r="Y109" i="5902"/>
  <c r="X109" i="5902"/>
  <c r="W109" i="5902"/>
  <c r="V109" i="5902"/>
  <c r="U109" i="5902"/>
  <c r="T109" i="5902"/>
  <c r="S109" i="5902"/>
  <c r="R109" i="5902"/>
  <c r="Q109" i="5902"/>
  <c r="P109" i="5902"/>
  <c r="O109" i="5902"/>
  <c r="O108" i="5902" s="1"/>
  <c r="N109" i="5902"/>
  <c r="M109" i="5902"/>
  <c r="M108" i="5902" s="1"/>
  <c r="L109" i="5902"/>
  <c r="K109" i="5902"/>
  <c r="J109" i="5902"/>
  <c r="I109" i="5902"/>
  <c r="H109" i="5902"/>
  <c r="G109" i="5902"/>
  <c r="F109" i="5902"/>
  <c r="E109" i="5902"/>
  <c r="AR108" i="5902"/>
  <c r="AQ108" i="5902"/>
  <c r="AP108" i="5902"/>
  <c r="AO108" i="5902"/>
  <c r="AN108" i="5902"/>
  <c r="AN124" i="5902" s="1"/>
  <c r="AM108" i="5902"/>
  <c r="AL108" i="5902"/>
  <c r="AK108" i="5902"/>
  <c r="AJ108" i="5902"/>
  <c r="AI108" i="5902"/>
  <c r="AH108" i="5902"/>
  <c r="AG108" i="5902"/>
  <c r="AG124" i="5902" s="1"/>
  <c r="AF108" i="5902"/>
  <c r="AE108" i="5902"/>
  <c r="AD108" i="5902"/>
  <c r="AC108" i="5902"/>
  <c r="AB108" i="5902"/>
  <c r="AB124" i="5902" s="1"/>
  <c r="AA108" i="5902"/>
  <c r="Z108" i="5902"/>
  <c r="Y108" i="5902"/>
  <c r="X108" i="5902"/>
  <c r="W108" i="5902"/>
  <c r="V108" i="5902"/>
  <c r="U108" i="5902"/>
  <c r="T108" i="5902"/>
  <c r="S108" i="5902"/>
  <c r="N108" i="5902"/>
  <c r="L108" i="5902"/>
  <c r="K108" i="5902"/>
  <c r="J108" i="5902"/>
  <c r="J124" i="5902" s="1"/>
  <c r="I108" i="5902"/>
  <c r="I124" i="5902" s="1"/>
  <c r="H108" i="5902"/>
  <c r="G108" i="5902"/>
  <c r="D108" i="5902"/>
  <c r="AR107" i="5902"/>
  <c r="AQ107" i="5902"/>
  <c r="AP107" i="5902"/>
  <c r="AP125" i="5902" s="1"/>
  <c r="AO107" i="5902"/>
  <c r="AN107" i="5902"/>
  <c r="AN125" i="5902" s="1"/>
  <c r="AM107" i="5902"/>
  <c r="AM125" i="5902" s="1"/>
  <c r="AL107" i="5902"/>
  <c r="AL125" i="5902" s="1"/>
  <c r="AK107" i="5902"/>
  <c r="AK125" i="5902" s="1"/>
  <c r="AJ107" i="5902"/>
  <c r="AJ125" i="5902" s="1"/>
  <c r="AI107" i="5902"/>
  <c r="AI125" i="5902" s="1"/>
  <c r="AH107" i="5902"/>
  <c r="AH125" i="5902" s="1"/>
  <c r="AG107" i="5902"/>
  <c r="AF107" i="5902"/>
  <c r="AE107" i="5902"/>
  <c r="AD107" i="5902"/>
  <c r="AD125" i="5902" s="1"/>
  <c r="AC107" i="5902"/>
  <c r="AB107" i="5902"/>
  <c r="AB125" i="5902" s="1"/>
  <c r="AA107" i="5902"/>
  <c r="AA125" i="5902" s="1"/>
  <c r="Z107" i="5902"/>
  <c r="Z125" i="5902" s="1"/>
  <c r="Y107" i="5902"/>
  <c r="Y125" i="5902" s="1"/>
  <c r="X107" i="5902"/>
  <c r="X125" i="5902" s="1"/>
  <c r="W107" i="5902"/>
  <c r="W125" i="5902" s="1"/>
  <c r="V107" i="5902"/>
  <c r="V125" i="5902" s="1"/>
  <c r="U107" i="5902"/>
  <c r="T107" i="5902"/>
  <c r="S107" i="5902"/>
  <c r="R107" i="5902"/>
  <c r="R125" i="5902" s="1"/>
  <c r="Q107" i="5902"/>
  <c r="P107" i="5902"/>
  <c r="P125" i="5902" s="1"/>
  <c r="O107" i="5902"/>
  <c r="O125" i="5902" s="1"/>
  <c r="N107" i="5902"/>
  <c r="N125" i="5902" s="1"/>
  <c r="M107" i="5902"/>
  <c r="M125" i="5902" s="1"/>
  <c r="L107" i="5902"/>
  <c r="L125" i="5902" s="1"/>
  <c r="K107" i="5902"/>
  <c r="K125" i="5902" s="1"/>
  <c r="J107" i="5902"/>
  <c r="J125" i="5902" s="1"/>
  <c r="I107" i="5902"/>
  <c r="H107" i="5902"/>
  <c r="G107" i="5902"/>
  <c r="F107" i="5902"/>
  <c r="F125" i="5902" s="1"/>
  <c r="D107" i="5902"/>
  <c r="E106" i="5902"/>
  <c r="E102" i="5902" s="1"/>
  <c r="C92" i="5902"/>
  <c r="D85" i="5902"/>
  <c r="D84" i="5902"/>
  <c r="D70" i="5902"/>
  <c r="D65" i="5902"/>
  <c r="D64" i="5902"/>
  <c r="D63" i="5902"/>
  <c r="C60" i="5902"/>
  <c r="D59" i="5902"/>
  <c r="C58" i="5902"/>
  <c r="D57" i="5902"/>
  <c r="C56" i="5902"/>
  <c r="D55" i="5902"/>
  <c r="C53" i="5902"/>
  <c r="D49" i="5902"/>
  <c r="C49" i="5902"/>
  <c r="D48" i="5902"/>
  <c r="E47" i="5902"/>
  <c r="D47" i="5902"/>
  <c r="E46" i="5902"/>
  <c r="D46" i="5902"/>
  <c r="E45" i="5902"/>
  <c r="D45" i="5902"/>
  <c r="C44" i="5902"/>
  <c r="C35" i="5902"/>
  <c r="C33" i="5902"/>
  <c r="C27" i="5902"/>
  <c r="C25" i="5902"/>
  <c r="E16" i="5902"/>
  <c r="D16" i="5902"/>
  <c r="E15" i="5902"/>
  <c r="D15" i="5902"/>
  <c r="E13" i="5902"/>
  <c r="D13" i="5902"/>
  <c r="E12" i="5902"/>
  <c r="D12" i="5902"/>
  <c r="C8" i="5902"/>
  <c r="D5" i="5902"/>
  <c r="A1" i="5902"/>
  <c r="D179" i="5901"/>
  <c r="C179" i="5901"/>
  <c r="D178" i="5901"/>
  <c r="C178" i="5901"/>
  <c r="D177" i="5901"/>
  <c r="C177" i="5901"/>
  <c r="B177" i="5901"/>
  <c r="D176" i="5901"/>
  <c r="C176" i="5901"/>
  <c r="B176" i="5901"/>
  <c r="D175" i="5901"/>
  <c r="C175" i="5901"/>
  <c r="B175" i="5901"/>
  <c r="D174" i="5901"/>
  <c r="C174" i="5901"/>
  <c r="B174" i="5901"/>
  <c r="D173" i="5901"/>
  <c r="C173" i="5901"/>
  <c r="B173" i="5901"/>
  <c r="D172" i="5901"/>
  <c r="C172" i="5901"/>
  <c r="B172" i="5901"/>
  <c r="D171" i="5901"/>
  <c r="C171" i="5901"/>
  <c r="C169" i="5901" s="1"/>
  <c r="D170" i="5901"/>
  <c r="C170" i="5901"/>
  <c r="D169" i="5901"/>
  <c r="D168" i="5901"/>
  <c r="C168" i="5901"/>
  <c r="D167" i="5901"/>
  <c r="C167" i="5901"/>
  <c r="C165" i="5901" s="1"/>
  <c r="D166" i="5901"/>
  <c r="C166" i="5901"/>
  <c r="D165" i="5901"/>
  <c r="D164" i="5901"/>
  <c r="C164" i="5901"/>
  <c r="C158" i="5901"/>
  <c r="D144" i="5901" s="1"/>
  <c r="D151" i="5901"/>
  <c r="AR147" i="5901"/>
  <c r="AQ147" i="5901"/>
  <c r="AP147" i="5901"/>
  <c r="AO147" i="5901"/>
  <c r="AN147" i="5901"/>
  <c r="AM147" i="5901"/>
  <c r="AL147" i="5901"/>
  <c r="AK147" i="5901"/>
  <c r="AJ147" i="5901"/>
  <c r="AI147" i="5901"/>
  <c r="AH147" i="5901"/>
  <c r="AG147" i="5901"/>
  <c r="AF147" i="5901"/>
  <c r="AE147" i="5901"/>
  <c r="AD147" i="5901"/>
  <c r="AC147" i="5901"/>
  <c r="AB147" i="5901"/>
  <c r="AA147" i="5901"/>
  <c r="Z147" i="5901"/>
  <c r="Y147" i="5901"/>
  <c r="X147" i="5901"/>
  <c r="W147" i="5901"/>
  <c r="V147" i="5901"/>
  <c r="U147" i="5901"/>
  <c r="T147" i="5901"/>
  <c r="AR145" i="5901"/>
  <c r="AQ145" i="5901"/>
  <c r="AP145" i="5901"/>
  <c r="AO145" i="5901"/>
  <c r="AN145" i="5901"/>
  <c r="AM145" i="5901"/>
  <c r="AL145" i="5901"/>
  <c r="AK145" i="5901"/>
  <c r="AJ145" i="5901"/>
  <c r="AI145" i="5901"/>
  <c r="AH145" i="5901"/>
  <c r="AG145" i="5901"/>
  <c r="AF145" i="5901"/>
  <c r="AE145" i="5901"/>
  <c r="AD145" i="5901"/>
  <c r="AC145" i="5901"/>
  <c r="AB145" i="5901"/>
  <c r="AA145" i="5901"/>
  <c r="Z145" i="5901"/>
  <c r="Y145" i="5901"/>
  <c r="X145" i="5901"/>
  <c r="W145" i="5901"/>
  <c r="V145" i="5901"/>
  <c r="U145" i="5901"/>
  <c r="T145" i="5901"/>
  <c r="C145" i="5901"/>
  <c r="AQ137" i="5901"/>
  <c r="AO137" i="5901"/>
  <c r="AH137" i="5901"/>
  <c r="AE137" i="5901"/>
  <c r="X137" i="5901"/>
  <c r="AR136" i="5901"/>
  <c r="AQ136" i="5901"/>
  <c r="AP136" i="5901"/>
  <c r="AO136" i="5901"/>
  <c r="AN136" i="5901"/>
  <c r="AM136" i="5901"/>
  <c r="AL136" i="5901"/>
  <c r="AK136" i="5901"/>
  <c r="AJ136" i="5901"/>
  <c r="AJ137" i="5901" s="1"/>
  <c r="AI136" i="5901"/>
  <c r="AH136" i="5901"/>
  <c r="AG136" i="5901"/>
  <c r="AG137" i="5901" s="1"/>
  <c r="AF136" i="5901"/>
  <c r="AE136" i="5901"/>
  <c r="AD136" i="5901"/>
  <c r="AC136" i="5901"/>
  <c r="AB136" i="5901"/>
  <c r="AA136" i="5901"/>
  <c r="Z136" i="5901"/>
  <c r="Y136" i="5901"/>
  <c r="X136" i="5901"/>
  <c r="W136" i="5901"/>
  <c r="V136" i="5901"/>
  <c r="V137" i="5901" s="1"/>
  <c r="U136" i="5901"/>
  <c r="U137" i="5901" s="1"/>
  <c r="T136" i="5901"/>
  <c r="T137" i="5901" s="1"/>
  <c r="AR135" i="5901"/>
  <c r="AR137" i="5901" s="1"/>
  <c r="AQ135" i="5901"/>
  <c r="AP135" i="5901"/>
  <c r="AP137" i="5901" s="1"/>
  <c r="AO135" i="5901"/>
  <c r="AN135" i="5901"/>
  <c r="AN137" i="5901" s="1"/>
  <c r="AM135" i="5901"/>
  <c r="AM137" i="5901" s="1"/>
  <c r="AL135" i="5901"/>
  <c r="AL137" i="5901" s="1"/>
  <c r="AK135" i="5901"/>
  <c r="AJ135" i="5901"/>
  <c r="AI135" i="5901"/>
  <c r="AH135" i="5901"/>
  <c r="AG135" i="5901"/>
  <c r="AF135" i="5901"/>
  <c r="AE135" i="5901"/>
  <c r="AD135" i="5901"/>
  <c r="AD137" i="5901" s="1"/>
  <c r="AC135" i="5901"/>
  <c r="AC137" i="5901" s="1"/>
  <c r="AB135" i="5901"/>
  <c r="AB137" i="5901" s="1"/>
  <c r="AA135" i="5901"/>
  <c r="AA137" i="5901" s="1"/>
  <c r="Z135" i="5901"/>
  <c r="Z137" i="5901" s="1"/>
  <c r="Y135" i="5901"/>
  <c r="X135" i="5901"/>
  <c r="W135" i="5901"/>
  <c r="V135" i="5901"/>
  <c r="U135" i="5901"/>
  <c r="T135" i="5901"/>
  <c r="AR134" i="5901"/>
  <c r="AQ134" i="5901"/>
  <c r="AP134" i="5901"/>
  <c r="AO134" i="5901"/>
  <c r="AN134" i="5901"/>
  <c r="AM134" i="5901"/>
  <c r="AL134" i="5901"/>
  <c r="AK134" i="5901"/>
  <c r="AJ134" i="5901"/>
  <c r="AI134" i="5901"/>
  <c r="AH134" i="5901"/>
  <c r="AG134" i="5901"/>
  <c r="AF134" i="5901"/>
  <c r="AE134" i="5901"/>
  <c r="AD134" i="5901"/>
  <c r="AC134" i="5901"/>
  <c r="AB134" i="5901"/>
  <c r="AA134" i="5901"/>
  <c r="Z134" i="5901"/>
  <c r="Y134" i="5901"/>
  <c r="X134" i="5901"/>
  <c r="W134" i="5901"/>
  <c r="V134" i="5901"/>
  <c r="U134" i="5901"/>
  <c r="T134" i="5901"/>
  <c r="S134" i="5901"/>
  <c r="J134" i="5901"/>
  <c r="AR131" i="5901"/>
  <c r="AO131" i="5901"/>
  <c r="AL131" i="5901"/>
  <c r="AK131" i="5901"/>
  <c r="AC131" i="5901"/>
  <c r="AA131" i="5901"/>
  <c r="Y131" i="5901"/>
  <c r="X131" i="5901"/>
  <c r="AN125" i="5901"/>
  <c r="AK125" i="5901"/>
  <c r="AI125" i="5901"/>
  <c r="AG125" i="5901"/>
  <c r="AF125" i="5901"/>
  <c r="Y125" i="5901"/>
  <c r="X125" i="5901"/>
  <c r="W125" i="5901"/>
  <c r="V125" i="5901"/>
  <c r="U125" i="5901"/>
  <c r="M125" i="5901"/>
  <c r="L125" i="5901"/>
  <c r="K125" i="5901"/>
  <c r="J125" i="5901"/>
  <c r="I125" i="5901"/>
  <c r="E125" i="5901"/>
  <c r="C125" i="5901"/>
  <c r="AQ124" i="5901"/>
  <c r="AO124" i="5901"/>
  <c r="AL124" i="5901"/>
  <c r="AK124" i="5901"/>
  <c r="AG124" i="5901"/>
  <c r="AE124" i="5901"/>
  <c r="AC124" i="5901"/>
  <c r="U124" i="5901"/>
  <c r="R124" i="5901"/>
  <c r="Q124" i="5901"/>
  <c r="O124" i="5901"/>
  <c r="M124" i="5901"/>
  <c r="I124" i="5901"/>
  <c r="E124" i="5901"/>
  <c r="C124" i="5901"/>
  <c r="AR123" i="5901"/>
  <c r="AQ123" i="5901"/>
  <c r="AP123" i="5901"/>
  <c r="AO123" i="5901"/>
  <c r="AN123" i="5901"/>
  <c r="AM123" i="5901"/>
  <c r="AL123" i="5901"/>
  <c r="AK123" i="5901"/>
  <c r="AJ123" i="5901"/>
  <c r="AI123" i="5901"/>
  <c r="AH123" i="5901"/>
  <c r="AG123" i="5901"/>
  <c r="AF123" i="5901"/>
  <c r="AE123" i="5901"/>
  <c r="AD123" i="5901"/>
  <c r="AC123" i="5901"/>
  <c r="AB123" i="5901"/>
  <c r="AA123" i="5901"/>
  <c r="Z123" i="5901"/>
  <c r="Y123" i="5901"/>
  <c r="X123" i="5901"/>
  <c r="W123" i="5901"/>
  <c r="V123" i="5901"/>
  <c r="U123" i="5901"/>
  <c r="T123" i="5901"/>
  <c r="S123" i="5901"/>
  <c r="R123" i="5901"/>
  <c r="Q123" i="5901"/>
  <c r="P123" i="5901"/>
  <c r="O123" i="5901"/>
  <c r="N123" i="5901"/>
  <c r="M123" i="5901"/>
  <c r="L123" i="5901"/>
  <c r="K123" i="5901"/>
  <c r="J123" i="5901"/>
  <c r="I123" i="5901"/>
  <c r="H123" i="5901"/>
  <c r="G123" i="5901"/>
  <c r="F123" i="5901"/>
  <c r="E123" i="5901"/>
  <c r="AR122" i="5901"/>
  <c r="AQ122" i="5901"/>
  <c r="AP122" i="5901"/>
  <c r="AO122" i="5901"/>
  <c r="AN122" i="5901"/>
  <c r="AM122" i="5901"/>
  <c r="AL122" i="5901"/>
  <c r="AK122" i="5901"/>
  <c r="AJ122" i="5901"/>
  <c r="AI122" i="5901"/>
  <c r="AH122" i="5901"/>
  <c r="AG122" i="5901"/>
  <c r="AF122" i="5901"/>
  <c r="AE122" i="5901"/>
  <c r="AD122" i="5901"/>
  <c r="AC122" i="5901"/>
  <c r="AB122" i="5901"/>
  <c r="AA122" i="5901"/>
  <c r="Z122" i="5901"/>
  <c r="Y122" i="5901"/>
  <c r="X122" i="5901"/>
  <c r="W122" i="5901"/>
  <c r="V122" i="5901"/>
  <c r="U122" i="5901"/>
  <c r="T122" i="5901"/>
  <c r="S122" i="5901"/>
  <c r="R122" i="5901"/>
  <c r="Q122" i="5901"/>
  <c r="P122" i="5901"/>
  <c r="O122" i="5901"/>
  <c r="N122" i="5901"/>
  <c r="M122" i="5901"/>
  <c r="L122" i="5901"/>
  <c r="K122" i="5901"/>
  <c r="J122" i="5901"/>
  <c r="I122" i="5901"/>
  <c r="H122" i="5901"/>
  <c r="G122" i="5901"/>
  <c r="F122" i="5901"/>
  <c r="E122" i="5901"/>
  <c r="AR121" i="5901"/>
  <c r="AQ121" i="5901"/>
  <c r="AP121" i="5901"/>
  <c r="AO121" i="5901"/>
  <c r="AN121" i="5901"/>
  <c r="AM121" i="5901"/>
  <c r="AM131" i="5901" s="1"/>
  <c r="AL121" i="5901"/>
  <c r="AK121" i="5901"/>
  <c r="AJ121" i="5901"/>
  <c r="AI121" i="5901"/>
  <c r="AH121" i="5901"/>
  <c r="AG121" i="5901"/>
  <c r="AF121" i="5901"/>
  <c r="AE121" i="5901"/>
  <c r="AD121" i="5901"/>
  <c r="AC121" i="5901"/>
  <c r="AB121" i="5901"/>
  <c r="AA121" i="5901"/>
  <c r="Z121" i="5901"/>
  <c r="Y121" i="5901"/>
  <c r="X121" i="5901"/>
  <c r="W121" i="5901"/>
  <c r="V121" i="5901"/>
  <c r="U121" i="5901"/>
  <c r="T121" i="5901"/>
  <c r="S121" i="5901"/>
  <c r="R121" i="5901"/>
  <c r="Q121" i="5901"/>
  <c r="P121" i="5901"/>
  <c r="O121" i="5901"/>
  <c r="N121" i="5901"/>
  <c r="M121" i="5901"/>
  <c r="L121" i="5901"/>
  <c r="K121" i="5901"/>
  <c r="J121" i="5901"/>
  <c r="I121" i="5901"/>
  <c r="H121" i="5901"/>
  <c r="G121" i="5901"/>
  <c r="F121" i="5901"/>
  <c r="E121" i="5901"/>
  <c r="AR120" i="5901"/>
  <c r="AQ120" i="5901"/>
  <c r="AQ131" i="5901" s="1"/>
  <c r="AP120" i="5901"/>
  <c r="AP131" i="5901" s="1"/>
  <c r="AO120" i="5901"/>
  <c r="AN120" i="5901"/>
  <c r="AN131" i="5901" s="1"/>
  <c r="AM120" i="5901"/>
  <c r="AL120" i="5901"/>
  <c r="AK120" i="5901"/>
  <c r="AJ120" i="5901"/>
  <c r="AI120" i="5901"/>
  <c r="AI131" i="5901" s="1"/>
  <c r="AH120" i="5901"/>
  <c r="AG120" i="5901"/>
  <c r="AG131" i="5901" s="1"/>
  <c r="AF120" i="5901"/>
  <c r="AE120" i="5901"/>
  <c r="AE131" i="5901" s="1"/>
  <c r="AD120" i="5901"/>
  <c r="AD131" i="5901" s="1"/>
  <c r="AC120" i="5901"/>
  <c r="AB120" i="5901"/>
  <c r="AB131" i="5901" s="1"/>
  <c r="AA120" i="5901"/>
  <c r="Z120" i="5901"/>
  <c r="Z131" i="5901" s="1"/>
  <c r="Y120" i="5901"/>
  <c r="X120" i="5901"/>
  <c r="W120" i="5901"/>
  <c r="W131" i="5901" s="1"/>
  <c r="V120" i="5901"/>
  <c r="U120" i="5901"/>
  <c r="U131" i="5901" s="1"/>
  <c r="T120" i="5901"/>
  <c r="T131" i="5901" s="1"/>
  <c r="C118" i="5901"/>
  <c r="AR117" i="5901"/>
  <c r="AQ117" i="5901"/>
  <c r="AP117" i="5901"/>
  <c r="AO117" i="5901"/>
  <c r="AN117" i="5901"/>
  <c r="AM117" i="5901"/>
  <c r="AL117" i="5901"/>
  <c r="AK117" i="5901"/>
  <c r="AJ117" i="5901"/>
  <c r="AI117" i="5901"/>
  <c r="AH117" i="5901"/>
  <c r="AG117" i="5901"/>
  <c r="AF117" i="5901"/>
  <c r="AE117" i="5901"/>
  <c r="AD117" i="5901"/>
  <c r="AC117" i="5901"/>
  <c r="AB117" i="5901"/>
  <c r="AA117" i="5901"/>
  <c r="Z117" i="5901"/>
  <c r="Y117" i="5901"/>
  <c r="X117" i="5901"/>
  <c r="W117" i="5901"/>
  <c r="V117" i="5901"/>
  <c r="U117" i="5901"/>
  <c r="T117" i="5901"/>
  <c r="S117" i="5901"/>
  <c r="R117" i="5901"/>
  <c r="Q117" i="5901"/>
  <c r="P117" i="5901"/>
  <c r="O117" i="5901"/>
  <c r="N117" i="5901"/>
  <c r="M117" i="5901"/>
  <c r="L117" i="5901"/>
  <c r="K117" i="5901"/>
  <c r="J117" i="5901"/>
  <c r="I117" i="5901"/>
  <c r="H117" i="5901"/>
  <c r="G117" i="5901"/>
  <c r="F117" i="5901"/>
  <c r="E117" i="5901"/>
  <c r="AR116" i="5901"/>
  <c r="AQ116" i="5901"/>
  <c r="AP116" i="5901"/>
  <c r="AO116" i="5901"/>
  <c r="AN116" i="5901"/>
  <c r="AM116" i="5901"/>
  <c r="AL116" i="5901"/>
  <c r="AK116" i="5901"/>
  <c r="AJ116" i="5901"/>
  <c r="AI116" i="5901"/>
  <c r="AH116" i="5901"/>
  <c r="AG116" i="5901"/>
  <c r="AF116" i="5901"/>
  <c r="AE116" i="5901"/>
  <c r="AD116" i="5901"/>
  <c r="AC116" i="5901"/>
  <c r="AB116" i="5901"/>
  <c r="AA116" i="5901"/>
  <c r="Z116" i="5901"/>
  <c r="Y116" i="5901"/>
  <c r="X116" i="5901"/>
  <c r="W116" i="5901"/>
  <c r="V116" i="5901"/>
  <c r="U116" i="5901"/>
  <c r="T116" i="5901"/>
  <c r="S116" i="5901"/>
  <c r="R116" i="5901"/>
  <c r="Q116" i="5901"/>
  <c r="P116" i="5901"/>
  <c r="O116" i="5901"/>
  <c r="N116" i="5901"/>
  <c r="M116" i="5901"/>
  <c r="L116" i="5901"/>
  <c r="K116" i="5901"/>
  <c r="J116" i="5901"/>
  <c r="I116" i="5901"/>
  <c r="H116" i="5901"/>
  <c r="G116" i="5901"/>
  <c r="F116" i="5901"/>
  <c r="E116" i="5901"/>
  <c r="C116" i="5901"/>
  <c r="C115" i="5901"/>
  <c r="AR109" i="5901"/>
  <c r="AQ109" i="5901"/>
  <c r="AP109" i="5901"/>
  <c r="AO109" i="5901"/>
  <c r="AN109" i="5901"/>
  <c r="AM109" i="5901"/>
  <c r="AL109" i="5901"/>
  <c r="AK109" i="5901"/>
  <c r="AJ109" i="5901"/>
  <c r="AI109" i="5901"/>
  <c r="AH109" i="5901"/>
  <c r="AG109" i="5901"/>
  <c r="AF109" i="5901"/>
  <c r="AE109" i="5901"/>
  <c r="AD109" i="5901"/>
  <c r="AC109" i="5901"/>
  <c r="AB109" i="5901"/>
  <c r="AA109" i="5901"/>
  <c r="Z109" i="5901"/>
  <c r="Y109" i="5901"/>
  <c r="X109" i="5901"/>
  <c r="W109" i="5901"/>
  <c r="V109" i="5901"/>
  <c r="U109" i="5901"/>
  <c r="T109" i="5901"/>
  <c r="S109" i="5901"/>
  <c r="S108" i="5901" s="1"/>
  <c r="S124" i="5901" s="1"/>
  <c r="R109" i="5901"/>
  <c r="Q109" i="5901"/>
  <c r="P109" i="5901"/>
  <c r="O109" i="5901"/>
  <c r="N109" i="5901"/>
  <c r="M109" i="5901"/>
  <c r="L109" i="5901"/>
  <c r="K109" i="5901"/>
  <c r="K108" i="5901" s="1"/>
  <c r="J109" i="5901"/>
  <c r="I109" i="5901"/>
  <c r="I108" i="5901" s="1"/>
  <c r="H109" i="5901"/>
  <c r="G109" i="5901"/>
  <c r="F109" i="5901"/>
  <c r="E109" i="5901"/>
  <c r="AR108" i="5901"/>
  <c r="AQ108" i="5901"/>
  <c r="AP108" i="5901"/>
  <c r="AO108" i="5901"/>
  <c r="AN108" i="5901"/>
  <c r="AN124" i="5901" s="1"/>
  <c r="AM108" i="5901"/>
  <c r="AL108" i="5901"/>
  <c r="AK108" i="5901"/>
  <c r="AJ108" i="5901"/>
  <c r="AJ124" i="5901" s="1"/>
  <c r="AI108" i="5901"/>
  <c r="AH108" i="5901"/>
  <c r="AG108" i="5901"/>
  <c r="AF108" i="5901"/>
  <c r="AF124" i="5901" s="1"/>
  <c r="AE108" i="5901"/>
  <c r="AD108" i="5901"/>
  <c r="AC108" i="5901"/>
  <c r="AB108" i="5901"/>
  <c r="AA108" i="5901"/>
  <c r="Z108" i="5901"/>
  <c r="Z124" i="5901" s="1"/>
  <c r="Y108" i="5901"/>
  <c r="Y124" i="5901" s="1"/>
  <c r="X108" i="5901"/>
  <c r="X124" i="5901" s="1"/>
  <c r="W108" i="5901"/>
  <c r="V108" i="5901"/>
  <c r="U108" i="5901"/>
  <c r="T108" i="5901"/>
  <c r="T124" i="5901" s="1"/>
  <c r="R108" i="5901"/>
  <c r="Q108" i="5901"/>
  <c r="O108" i="5901"/>
  <c r="M108" i="5901"/>
  <c r="L108" i="5901"/>
  <c r="J108" i="5901"/>
  <c r="H108" i="5901"/>
  <c r="F108" i="5901"/>
  <c r="D108" i="5901"/>
  <c r="AR107" i="5901"/>
  <c r="AR125" i="5901" s="1"/>
  <c r="AQ107" i="5901"/>
  <c r="AQ125" i="5901" s="1"/>
  <c r="AP107" i="5901"/>
  <c r="AP125" i="5901" s="1"/>
  <c r="AO107" i="5901"/>
  <c r="AO125" i="5901" s="1"/>
  <c r="AN107" i="5901"/>
  <c r="AM107" i="5901"/>
  <c r="AM125" i="5901" s="1"/>
  <c r="AL107" i="5901"/>
  <c r="AL125" i="5901" s="1"/>
  <c r="AK107" i="5901"/>
  <c r="AJ107" i="5901"/>
  <c r="AJ125" i="5901" s="1"/>
  <c r="AI107" i="5901"/>
  <c r="AH107" i="5901"/>
  <c r="AH125" i="5901" s="1"/>
  <c r="AG107" i="5901"/>
  <c r="AF107" i="5901"/>
  <c r="AE107" i="5901"/>
  <c r="AE125" i="5901" s="1"/>
  <c r="AD107" i="5901"/>
  <c r="AD125" i="5901" s="1"/>
  <c r="AC107" i="5901"/>
  <c r="AC125" i="5901" s="1"/>
  <c r="AB107" i="5901"/>
  <c r="AB125" i="5901" s="1"/>
  <c r="AA107" i="5901"/>
  <c r="AA125" i="5901" s="1"/>
  <c r="Z107" i="5901"/>
  <c r="Z125" i="5901" s="1"/>
  <c r="Y107" i="5901"/>
  <c r="X107" i="5901"/>
  <c r="W107" i="5901"/>
  <c r="V107" i="5901"/>
  <c r="U107" i="5901"/>
  <c r="T107" i="5901"/>
  <c r="T125" i="5901" s="1"/>
  <c r="S107" i="5901"/>
  <c r="S125" i="5901" s="1"/>
  <c r="R107" i="5901"/>
  <c r="R125" i="5901" s="1"/>
  <c r="Q107" i="5901"/>
  <c r="Q125" i="5901" s="1"/>
  <c r="P107" i="5901"/>
  <c r="P125" i="5901" s="1"/>
  <c r="O107" i="5901"/>
  <c r="O125" i="5901" s="1"/>
  <c r="N107" i="5901"/>
  <c r="N125" i="5901" s="1"/>
  <c r="M107" i="5901"/>
  <c r="L107" i="5901"/>
  <c r="K107" i="5901"/>
  <c r="J107" i="5901"/>
  <c r="I107" i="5901"/>
  <c r="H107" i="5901"/>
  <c r="H125" i="5901" s="1"/>
  <c r="G107" i="5901"/>
  <c r="G125" i="5901" s="1"/>
  <c r="F107" i="5901"/>
  <c r="F125" i="5901" s="1"/>
  <c r="D107" i="5901"/>
  <c r="L106" i="5901"/>
  <c r="M106" i="5901" s="1"/>
  <c r="N106" i="5901" s="1"/>
  <c r="O106" i="5901" s="1"/>
  <c r="P106" i="5901" s="1"/>
  <c r="Q106" i="5901" s="1"/>
  <c r="R106" i="5901" s="1"/>
  <c r="S106" i="5901" s="1"/>
  <c r="T106" i="5901" s="1"/>
  <c r="U106" i="5901" s="1"/>
  <c r="V106" i="5901" s="1"/>
  <c r="W106" i="5901" s="1"/>
  <c r="X106" i="5901" s="1"/>
  <c r="Y106" i="5901" s="1"/>
  <c r="Z106" i="5901" s="1"/>
  <c r="AA106" i="5901" s="1"/>
  <c r="AB106" i="5901" s="1"/>
  <c r="AC106" i="5901" s="1"/>
  <c r="AD106" i="5901" s="1"/>
  <c r="AE106" i="5901" s="1"/>
  <c r="AF106" i="5901" s="1"/>
  <c r="AG106" i="5901" s="1"/>
  <c r="AH106" i="5901" s="1"/>
  <c r="AI106" i="5901" s="1"/>
  <c r="AJ106" i="5901" s="1"/>
  <c r="AK106" i="5901" s="1"/>
  <c r="AL106" i="5901" s="1"/>
  <c r="AM106" i="5901" s="1"/>
  <c r="AN106" i="5901" s="1"/>
  <c r="AO106" i="5901" s="1"/>
  <c r="AP106" i="5901" s="1"/>
  <c r="AQ106" i="5901" s="1"/>
  <c r="AR106" i="5901" s="1"/>
  <c r="I106" i="5901"/>
  <c r="J106" i="5901" s="1"/>
  <c r="K106" i="5901" s="1"/>
  <c r="G106" i="5901"/>
  <c r="H106" i="5901" s="1"/>
  <c r="F106" i="5901"/>
  <c r="E106" i="5901"/>
  <c r="E102" i="5901"/>
  <c r="C92" i="5901"/>
  <c r="C154" i="5901" s="1"/>
  <c r="D85" i="5901"/>
  <c r="D84" i="5901"/>
  <c r="D70" i="5901"/>
  <c r="D65" i="5901"/>
  <c r="D64" i="5901"/>
  <c r="D63" i="5901"/>
  <c r="C60" i="5901"/>
  <c r="D59" i="5901"/>
  <c r="C58" i="5901"/>
  <c r="D57" i="5901"/>
  <c r="C56" i="5901"/>
  <c r="D55" i="5901"/>
  <c r="C53" i="5901"/>
  <c r="D49" i="5901"/>
  <c r="C49" i="5901"/>
  <c r="D48" i="5901"/>
  <c r="E47" i="5901"/>
  <c r="D47" i="5901"/>
  <c r="E46" i="5901"/>
  <c r="D46" i="5901"/>
  <c r="E45" i="5901"/>
  <c r="D45" i="5901"/>
  <c r="C44" i="5901"/>
  <c r="C41" i="5901"/>
  <c r="C152" i="5901" s="1"/>
  <c r="L134" i="5901" s="1"/>
  <c r="C35" i="5901"/>
  <c r="C33" i="5901"/>
  <c r="C27" i="5901"/>
  <c r="C25" i="5901"/>
  <c r="E16" i="5901"/>
  <c r="D16" i="5901"/>
  <c r="E15" i="5901"/>
  <c r="D15" i="5901"/>
  <c r="E13" i="5901"/>
  <c r="D13" i="5901"/>
  <c r="E12" i="5901"/>
  <c r="D12" i="5901"/>
  <c r="C8" i="5901"/>
  <c r="D21" i="5901" s="1"/>
  <c r="D5" i="5901"/>
  <c r="A1" i="5901"/>
  <c r="D179" i="5900"/>
  <c r="C179" i="5900"/>
  <c r="D178" i="5900"/>
  <c r="C178" i="5900"/>
  <c r="D177" i="5900"/>
  <c r="C177" i="5900"/>
  <c r="B177" i="5900"/>
  <c r="D176" i="5900"/>
  <c r="C176" i="5900"/>
  <c r="B176" i="5900"/>
  <c r="D175" i="5900"/>
  <c r="C175" i="5900"/>
  <c r="B175" i="5900"/>
  <c r="D174" i="5900"/>
  <c r="C174" i="5900"/>
  <c r="C173" i="5900" s="1"/>
  <c r="B174" i="5900"/>
  <c r="D173" i="5900"/>
  <c r="B173" i="5900"/>
  <c r="D172" i="5900"/>
  <c r="C172" i="5900"/>
  <c r="B172" i="5900"/>
  <c r="D171" i="5900"/>
  <c r="C171" i="5900"/>
  <c r="D170" i="5900"/>
  <c r="C170" i="5900"/>
  <c r="D169" i="5900"/>
  <c r="D168" i="5900"/>
  <c r="C168" i="5900"/>
  <c r="D167" i="5900"/>
  <c r="C167" i="5900"/>
  <c r="D166" i="5900"/>
  <c r="C166" i="5900"/>
  <c r="C165" i="5900" s="1"/>
  <c r="D165" i="5900"/>
  <c r="D164" i="5900"/>
  <c r="C164" i="5900"/>
  <c r="C158" i="5900"/>
  <c r="C154" i="5900"/>
  <c r="C152" i="5900"/>
  <c r="D151" i="5900"/>
  <c r="AR147" i="5900"/>
  <c r="AQ147" i="5900"/>
  <c r="AP147" i="5900"/>
  <c r="AO147" i="5900"/>
  <c r="AN147" i="5900"/>
  <c r="AM147" i="5900"/>
  <c r="AL147" i="5900"/>
  <c r="AK147" i="5900"/>
  <c r="AJ147" i="5900"/>
  <c r="AI147" i="5900"/>
  <c r="AH147" i="5900"/>
  <c r="AG147" i="5900"/>
  <c r="AF147" i="5900"/>
  <c r="AE147" i="5900"/>
  <c r="AD147" i="5900"/>
  <c r="AC147" i="5900"/>
  <c r="AB147" i="5900"/>
  <c r="AA147" i="5900"/>
  <c r="Z147" i="5900"/>
  <c r="Y147" i="5900"/>
  <c r="X147" i="5900"/>
  <c r="W147" i="5900"/>
  <c r="V147" i="5900"/>
  <c r="U147" i="5900"/>
  <c r="T147" i="5900"/>
  <c r="AR145" i="5900"/>
  <c r="AQ145" i="5900"/>
  <c r="AP145" i="5900"/>
  <c r="AO145" i="5900"/>
  <c r="AN145" i="5900"/>
  <c r="AM145" i="5900"/>
  <c r="AL145" i="5900"/>
  <c r="AK145" i="5900"/>
  <c r="AJ145" i="5900"/>
  <c r="AI145" i="5900"/>
  <c r="AH145" i="5900"/>
  <c r="AG145" i="5900"/>
  <c r="AF145" i="5900"/>
  <c r="AE145" i="5900"/>
  <c r="AD145" i="5900"/>
  <c r="AC145" i="5900"/>
  <c r="AB145" i="5900"/>
  <c r="AA145" i="5900"/>
  <c r="Z145" i="5900"/>
  <c r="Y145" i="5900"/>
  <c r="X145" i="5900"/>
  <c r="W145" i="5900"/>
  <c r="V145" i="5900"/>
  <c r="U145" i="5900"/>
  <c r="T145" i="5900"/>
  <c r="C145" i="5900"/>
  <c r="D143" i="5900"/>
  <c r="AN137" i="5900"/>
  <c r="AM137" i="5900"/>
  <c r="AL137" i="5900"/>
  <c r="AK137" i="5900"/>
  <c r="Z137" i="5900"/>
  <c r="V137" i="5900"/>
  <c r="U137" i="5900"/>
  <c r="AR136" i="5900"/>
  <c r="AQ136" i="5900"/>
  <c r="AP136" i="5900"/>
  <c r="AO136" i="5900"/>
  <c r="AN136" i="5900"/>
  <c r="AM136" i="5900"/>
  <c r="AL136" i="5900"/>
  <c r="AK136" i="5900"/>
  <c r="AJ136" i="5900"/>
  <c r="AI136" i="5900"/>
  <c r="AH136" i="5900"/>
  <c r="AG136" i="5900"/>
  <c r="AF136" i="5900"/>
  <c r="AE136" i="5900"/>
  <c r="AD136" i="5900"/>
  <c r="AD137" i="5900" s="1"/>
  <c r="AC136" i="5900"/>
  <c r="AB136" i="5900"/>
  <c r="AA136" i="5900"/>
  <c r="AA137" i="5900" s="1"/>
  <c r="Z136" i="5900"/>
  <c r="Y136" i="5900"/>
  <c r="Y137" i="5900" s="1"/>
  <c r="X136" i="5900"/>
  <c r="W136" i="5900"/>
  <c r="V136" i="5900"/>
  <c r="U136" i="5900"/>
  <c r="T136" i="5900"/>
  <c r="N136" i="5900"/>
  <c r="L136" i="5900"/>
  <c r="H136" i="5900"/>
  <c r="AR135" i="5900"/>
  <c r="AR137" i="5900" s="1"/>
  <c r="AQ135" i="5900"/>
  <c r="AQ137" i="5900" s="1"/>
  <c r="AP135" i="5900"/>
  <c r="AP137" i="5900" s="1"/>
  <c r="AO135" i="5900"/>
  <c r="AN135" i="5900"/>
  <c r="AM135" i="5900"/>
  <c r="AL135" i="5900"/>
  <c r="AK135" i="5900"/>
  <c r="AJ135" i="5900"/>
  <c r="AJ137" i="5900" s="1"/>
  <c r="AI135" i="5900"/>
  <c r="AI137" i="5900" s="1"/>
  <c r="AH135" i="5900"/>
  <c r="AH137" i="5900" s="1"/>
  <c r="AG135" i="5900"/>
  <c r="AG137" i="5900" s="1"/>
  <c r="AF135" i="5900"/>
  <c r="AF137" i="5900" s="1"/>
  <c r="AE135" i="5900"/>
  <c r="AE137" i="5900" s="1"/>
  <c r="AD135" i="5900"/>
  <c r="AC135" i="5900"/>
  <c r="AB135" i="5900"/>
  <c r="AB137" i="5900" s="1"/>
  <c r="AA135" i="5900"/>
  <c r="Z135" i="5900"/>
  <c r="Y135" i="5900"/>
  <c r="X135" i="5900"/>
  <c r="X137" i="5900" s="1"/>
  <c r="W135" i="5900"/>
  <c r="W137" i="5900" s="1"/>
  <c r="V135" i="5900"/>
  <c r="U135" i="5900"/>
  <c r="T135" i="5900"/>
  <c r="T137" i="5900" s="1"/>
  <c r="S135" i="5900"/>
  <c r="P135" i="5900"/>
  <c r="AR134" i="5900"/>
  <c r="AQ134" i="5900"/>
  <c r="AP134" i="5900"/>
  <c r="AO134" i="5900"/>
  <c r="AN134" i="5900"/>
  <c r="AM134" i="5900"/>
  <c r="AL134" i="5900"/>
  <c r="AK134" i="5900"/>
  <c r="AJ134" i="5900"/>
  <c r="AI134" i="5900"/>
  <c r="AH134" i="5900"/>
  <c r="AG134" i="5900"/>
  <c r="AF134" i="5900"/>
  <c r="AE134" i="5900"/>
  <c r="AD134" i="5900"/>
  <c r="AC134" i="5900"/>
  <c r="AB134" i="5900"/>
  <c r="AA134" i="5900"/>
  <c r="Z134" i="5900"/>
  <c r="Y134" i="5900"/>
  <c r="X134" i="5900"/>
  <c r="W134" i="5900"/>
  <c r="V134" i="5900"/>
  <c r="U134" i="5900"/>
  <c r="T134" i="5900"/>
  <c r="R134" i="5900"/>
  <c r="P134" i="5900"/>
  <c r="O134" i="5900"/>
  <c r="N134" i="5900"/>
  <c r="M134" i="5900"/>
  <c r="L134" i="5900"/>
  <c r="K134" i="5900"/>
  <c r="J134" i="5900"/>
  <c r="I134" i="5900"/>
  <c r="H134" i="5900"/>
  <c r="F134" i="5900"/>
  <c r="AQ131" i="5900"/>
  <c r="AN131" i="5900"/>
  <c r="AG131" i="5900"/>
  <c r="AE131" i="5900"/>
  <c r="AD131" i="5900"/>
  <c r="AC131" i="5900"/>
  <c r="V131" i="5900"/>
  <c r="U131" i="5900"/>
  <c r="AH127" i="5900"/>
  <c r="AO125" i="5900"/>
  <c r="AM125" i="5900"/>
  <c r="AL125" i="5900"/>
  <c r="AH125" i="5900"/>
  <c r="AF125" i="5900"/>
  <c r="AE125" i="5900"/>
  <c r="AC125" i="5900"/>
  <c r="AA125" i="5900"/>
  <c r="T125" i="5900"/>
  <c r="S125" i="5900"/>
  <c r="Q125" i="5900"/>
  <c r="O125" i="5900"/>
  <c r="M125" i="5900"/>
  <c r="H125" i="5900"/>
  <c r="E125" i="5900"/>
  <c r="C125" i="5900"/>
  <c r="AO124" i="5900"/>
  <c r="AM124" i="5900"/>
  <c r="AK124" i="5900"/>
  <c r="AI124" i="5900"/>
  <c r="AG124" i="5900"/>
  <c r="AD124" i="5900"/>
  <c r="Y124" i="5900"/>
  <c r="W124" i="5900"/>
  <c r="R124" i="5900"/>
  <c r="K124" i="5900"/>
  <c r="I124" i="5900"/>
  <c r="G124" i="5900"/>
  <c r="E124" i="5900"/>
  <c r="C124" i="5900"/>
  <c r="AR123" i="5900"/>
  <c r="AQ123" i="5900"/>
  <c r="AP123" i="5900"/>
  <c r="AO123" i="5900"/>
  <c r="AN123" i="5900"/>
  <c r="AM123" i="5900"/>
  <c r="AL123" i="5900"/>
  <c r="AK123" i="5900"/>
  <c r="AJ123" i="5900"/>
  <c r="AI123" i="5900"/>
  <c r="AH123" i="5900"/>
  <c r="AG123" i="5900"/>
  <c r="AF123" i="5900"/>
  <c r="AE123" i="5900"/>
  <c r="AD123" i="5900"/>
  <c r="AC123" i="5900"/>
  <c r="AB123" i="5900"/>
  <c r="AA123" i="5900"/>
  <c r="Z123" i="5900"/>
  <c r="Y123" i="5900"/>
  <c r="X123" i="5900"/>
  <c r="W123" i="5900"/>
  <c r="V123" i="5900"/>
  <c r="U123" i="5900"/>
  <c r="T123" i="5900"/>
  <c r="S123" i="5900"/>
  <c r="R123" i="5900"/>
  <c r="Q123" i="5900"/>
  <c r="P123" i="5900"/>
  <c r="O123" i="5900"/>
  <c r="N123" i="5900"/>
  <c r="M123" i="5900"/>
  <c r="L123" i="5900"/>
  <c r="K123" i="5900"/>
  <c r="J123" i="5900"/>
  <c r="I123" i="5900"/>
  <c r="H123" i="5900"/>
  <c r="G123" i="5900"/>
  <c r="F123" i="5900"/>
  <c r="E123" i="5900"/>
  <c r="AR122" i="5900"/>
  <c r="AQ122" i="5900"/>
  <c r="AP122" i="5900"/>
  <c r="AO122" i="5900"/>
  <c r="AN122" i="5900"/>
  <c r="AM122" i="5900"/>
  <c r="AL122" i="5900"/>
  <c r="AK122" i="5900"/>
  <c r="AJ122" i="5900"/>
  <c r="AI122" i="5900"/>
  <c r="AH122" i="5900"/>
  <c r="AG122" i="5900"/>
  <c r="AF122" i="5900"/>
  <c r="AE122" i="5900"/>
  <c r="AD122" i="5900"/>
  <c r="AC122" i="5900"/>
  <c r="AB122" i="5900"/>
  <c r="AA122" i="5900"/>
  <c r="Z122" i="5900"/>
  <c r="Y122" i="5900"/>
  <c r="X122" i="5900"/>
  <c r="W122" i="5900"/>
  <c r="V122" i="5900"/>
  <c r="U122" i="5900"/>
  <c r="T122" i="5900"/>
  <c r="S122" i="5900"/>
  <c r="R122" i="5900"/>
  <c r="Q122" i="5900"/>
  <c r="P122" i="5900"/>
  <c r="O122" i="5900"/>
  <c r="N122" i="5900"/>
  <c r="M122" i="5900"/>
  <c r="L122" i="5900"/>
  <c r="K122" i="5900"/>
  <c r="J122" i="5900"/>
  <c r="I122" i="5900"/>
  <c r="H122" i="5900"/>
  <c r="G122" i="5900"/>
  <c r="F122" i="5900"/>
  <c r="E122" i="5900"/>
  <c r="AR121" i="5900"/>
  <c r="AR131" i="5900" s="1"/>
  <c r="AQ121" i="5900"/>
  <c r="AP121" i="5900"/>
  <c r="AO121" i="5900"/>
  <c r="AN121" i="5900"/>
  <c r="AM121" i="5900"/>
  <c r="AL121" i="5900"/>
  <c r="AK121" i="5900"/>
  <c r="AJ121" i="5900"/>
  <c r="AI121" i="5900"/>
  <c r="AI131" i="5900" s="1"/>
  <c r="AH121" i="5900"/>
  <c r="AG121" i="5900"/>
  <c r="AF121" i="5900"/>
  <c r="AE121" i="5900"/>
  <c r="AD121" i="5900"/>
  <c r="AC121" i="5900"/>
  <c r="AB121" i="5900"/>
  <c r="AA121" i="5900"/>
  <c r="Z121" i="5900"/>
  <c r="Y121" i="5900"/>
  <c r="X121" i="5900"/>
  <c r="W121" i="5900"/>
  <c r="V121" i="5900"/>
  <c r="U121" i="5900"/>
  <c r="T121" i="5900"/>
  <c r="T131" i="5900" s="1"/>
  <c r="S121" i="5900"/>
  <c r="R121" i="5900"/>
  <c r="Q121" i="5900"/>
  <c r="P121" i="5900"/>
  <c r="O121" i="5900"/>
  <c r="N121" i="5900"/>
  <c r="M121" i="5900"/>
  <c r="L121" i="5900"/>
  <c r="K121" i="5900"/>
  <c r="J121" i="5900"/>
  <c r="I121" i="5900"/>
  <c r="H121" i="5900"/>
  <c r="G121" i="5900"/>
  <c r="F121" i="5900"/>
  <c r="E121" i="5900"/>
  <c r="AR120" i="5900"/>
  <c r="AQ120" i="5900"/>
  <c r="AP120" i="5900"/>
  <c r="AP131" i="5900" s="1"/>
  <c r="AO120" i="5900"/>
  <c r="AO131" i="5900" s="1"/>
  <c r="AN120" i="5900"/>
  <c r="AM120" i="5900"/>
  <c r="AM131" i="5900" s="1"/>
  <c r="AL120" i="5900"/>
  <c r="AL131" i="5900" s="1"/>
  <c r="AK120" i="5900"/>
  <c r="AJ120" i="5900"/>
  <c r="AJ131" i="5900" s="1"/>
  <c r="AI120" i="5900"/>
  <c r="AH120" i="5900"/>
  <c r="AH131" i="5900" s="1"/>
  <c r="AG120" i="5900"/>
  <c r="AF120" i="5900"/>
  <c r="AE120" i="5900"/>
  <c r="AD120" i="5900"/>
  <c r="AC120" i="5900"/>
  <c r="AB120" i="5900"/>
  <c r="AB131" i="5900" s="1"/>
  <c r="AA120" i="5900"/>
  <c r="AA131" i="5900" s="1"/>
  <c r="Z120" i="5900"/>
  <c r="Z131" i="5900" s="1"/>
  <c r="Y120" i="5900"/>
  <c r="X120" i="5900"/>
  <c r="X131" i="5900" s="1"/>
  <c r="W120" i="5900"/>
  <c r="W131" i="5900" s="1"/>
  <c r="V120" i="5900"/>
  <c r="U120" i="5900"/>
  <c r="T120" i="5900"/>
  <c r="K120" i="5900"/>
  <c r="K131" i="5900" s="1"/>
  <c r="AO118" i="5900"/>
  <c r="AO128" i="5900" s="1"/>
  <c r="Z118" i="5900"/>
  <c r="Q118" i="5900"/>
  <c r="Q145" i="5900" s="1"/>
  <c r="C118" i="5900"/>
  <c r="AR117" i="5900"/>
  <c r="AQ117" i="5900"/>
  <c r="AP117" i="5900"/>
  <c r="AO117" i="5900"/>
  <c r="AN117" i="5900"/>
  <c r="AM117" i="5900"/>
  <c r="AL117" i="5900"/>
  <c r="AK117" i="5900"/>
  <c r="AJ117" i="5900"/>
  <c r="AI117" i="5900"/>
  <c r="AH117" i="5900"/>
  <c r="AG117" i="5900"/>
  <c r="AF117" i="5900"/>
  <c r="AE117" i="5900"/>
  <c r="AD117" i="5900"/>
  <c r="AC117" i="5900"/>
  <c r="AB117" i="5900"/>
  <c r="AA117" i="5900"/>
  <c r="Z117" i="5900"/>
  <c r="Y117" i="5900"/>
  <c r="X117" i="5900"/>
  <c r="W117" i="5900"/>
  <c r="V117" i="5900"/>
  <c r="U117" i="5900"/>
  <c r="U118" i="5900" s="1"/>
  <c r="T117" i="5900"/>
  <c r="S117" i="5900"/>
  <c r="R117" i="5900"/>
  <c r="Q117" i="5900"/>
  <c r="P117" i="5900"/>
  <c r="O117" i="5900"/>
  <c r="N117" i="5900"/>
  <c r="M117" i="5900"/>
  <c r="L117" i="5900"/>
  <c r="K117" i="5900"/>
  <c r="J117" i="5900"/>
  <c r="I117" i="5900"/>
  <c r="H117" i="5900"/>
  <c r="G117" i="5900"/>
  <c r="F117" i="5900"/>
  <c r="E117" i="5900"/>
  <c r="AR116" i="5900"/>
  <c r="AQ116" i="5900"/>
  <c r="AP116" i="5900"/>
  <c r="AO116" i="5900"/>
  <c r="AN116" i="5900"/>
  <c r="AM116" i="5900"/>
  <c r="AL116" i="5900"/>
  <c r="AK116" i="5900"/>
  <c r="AJ116" i="5900"/>
  <c r="AI116" i="5900"/>
  <c r="AH116" i="5900"/>
  <c r="AG116" i="5900"/>
  <c r="AF116" i="5900"/>
  <c r="AE116" i="5900"/>
  <c r="AE118" i="5900" s="1"/>
  <c r="AD116" i="5900"/>
  <c r="AC116" i="5900"/>
  <c r="AB116" i="5900"/>
  <c r="AA116" i="5900"/>
  <c r="Z116" i="5900"/>
  <c r="Y116" i="5900"/>
  <c r="X116" i="5900"/>
  <c r="W116" i="5900"/>
  <c r="V116" i="5900"/>
  <c r="U116" i="5900"/>
  <c r="T116" i="5900"/>
  <c r="S116" i="5900"/>
  <c r="R116" i="5900"/>
  <c r="Q116" i="5900"/>
  <c r="P116" i="5900"/>
  <c r="O116" i="5900"/>
  <c r="N116" i="5900"/>
  <c r="M116" i="5900"/>
  <c r="L116" i="5900"/>
  <c r="K116" i="5900"/>
  <c r="J116" i="5900"/>
  <c r="I116" i="5900"/>
  <c r="H116" i="5900"/>
  <c r="G116" i="5900"/>
  <c r="F116" i="5900"/>
  <c r="E116" i="5900"/>
  <c r="C116" i="5900"/>
  <c r="AP115" i="5900"/>
  <c r="AP118" i="5900" s="1"/>
  <c r="AO115" i="5900"/>
  <c r="AO127" i="5900" s="1"/>
  <c r="AN115" i="5900"/>
  <c r="AN118" i="5900" s="1"/>
  <c r="AI115" i="5900"/>
  <c r="AH115" i="5900"/>
  <c r="AE115" i="5900"/>
  <c r="AC115" i="5900"/>
  <c r="AC118" i="5900" s="1"/>
  <c r="AB115" i="5900"/>
  <c r="AB118" i="5900" s="1"/>
  <c r="Z115" i="5900"/>
  <c r="U115" i="5900"/>
  <c r="Q115" i="5900"/>
  <c r="N115" i="5900"/>
  <c r="N118" i="5900" s="1"/>
  <c r="N145" i="5900" s="1"/>
  <c r="L115" i="5900"/>
  <c r="L118" i="5900" s="1"/>
  <c r="L145" i="5900" s="1"/>
  <c r="K115" i="5900"/>
  <c r="K118" i="5900" s="1"/>
  <c r="K145" i="5900" s="1"/>
  <c r="J115" i="5900"/>
  <c r="J118" i="5900" s="1"/>
  <c r="J145" i="5900" s="1"/>
  <c r="G115" i="5900"/>
  <c r="F115" i="5900"/>
  <c r="F118" i="5900" s="1"/>
  <c r="F145" i="5900" s="1"/>
  <c r="C115" i="5900"/>
  <c r="AR109" i="5900"/>
  <c r="AQ109" i="5900"/>
  <c r="AP109" i="5900"/>
  <c r="AO109" i="5900"/>
  <c r="AN109" i="5900"/>
  <c r="AM109" i="5900"/>
  <c r="AL109" i="5900"/>
  <c r="AK109" i="5900"/>
  <c r="AJ109" i="5900"/>
  <c r="AI109" i="5900"/>
  <c r="AH109" i="5900"/>
  <c r="AG109" i="5900"/>
  <c r="AF109" i="5900"/>
  <c r="AE109" i="5900"/>
  <c r="AD109" i="5900"/>
  <c r="AC109" i="5900"/>
  <c r="AB109" i="5900"/>
  <c r="AA109" i="5900"/>
  <c r="Z109" i="5900"/>
  <c r="Y109" i="5900"/>
  <c r="X109" i="5900"/>
  <c r="W109" i="5900"/>
  <c r="V109" i="5900"/>
  <c r="U109" i="5900"/>
  <c r="T109" i="5900"/>
  <c r="S109" i="5900"/>
  <c r="R109" i="5900"/>
  <c r="R108" i="5900" s="1"/>
  <c r="Q109" i="5900"/>
  <c r="P109" i="5900"/>
  <c r="O109" i="5900"/>
  <c r="N109" i="5900"/>
  <c r="M109" i="5900"/>
  <c r="M108" i="5900" s="1"/>
  <c r="L109" i="5900"/>
  <c r="K109" i="5900"/>
  <c r="K108" i="5900" s="1"/>
  <c r="J109" i="5900"/>
  <c r="I109" i="5900"/>
  <c r="H109" i="5900"/>
  <c r="G109" i="5900"/>
  <c r="F109" i="5900"/>
  <c r="F108" i="5900" s="1"/>
  <c r="E109" i="5900"/>
  <c r="AR108" i="5900"/>
  <c r="AQ108" i="5900"/>
  <c r="AP108" i="5900"/>
  <c r="AP124" i="5900" s="1"/>
  <c r="AP128" i="5900" s="1"/>
  <c r="AO108" i="5900"/>
  <c r="AN108" i="5900"/>
  <c r="AN124" i="5900" s="1"/>
  <c r="AM108" i="5900"/>
  <c r="AL108" i="5900"/>
  <c r="AL124" i="5900" s="1"/>
  <c r="AK108" i="5900"/>
  <c r="AJ108" i="5900"/>
  <c r="AI108" i="5900"/>
  <c r="AH108" i="5900"/>
  <c r="AH124" i="5900" s="1"/>
  <c r="AG108" i="5900"/>
  <c r="AF108" i="5900"/>
  <c r="AF124" i="5900" s="1"/>
  <c r="AE108" i="5900"/>
  <c r="AE124" i="5900" s="1"/>
  <c r="AE128" i="5900" s="1"/>
  <c r="AD108" i="5900"/>
  <c r="AC108" i="5900"/>
  <c r="AB108" i="5900"/>
  <c r="AB124" i="5900" s="1"/>
  <c r="AB128" i="5900" s="1"/>
  <c r="AA108" i="5900"/>
  <c r="Z108" i="5900"/>
  <c r="Z124" i="5900" s="1"/>
  <c r="Z128" i="5900" s="1"/>
  <c r="Y108" i="5900"/>
  <c r="X108" i="5900"/>
  <c r="X124" i="5900" s="1"/>
  <c r="W108" i="5900"/>
  <c r="V108" i="5900"/>
  <c r="U108" i="5900"/>
  <c r="T108" i="5900"/>
  <c r="T124" i="5900" s="1"/>
  <c r="S108" i="5900"/>
  <c r="P108" i="5900"/>
  <c r="P124" i="5900" s="1"/>
  <c r="N108" i="5900"/>
  <c r="I108" i="5900"/>
  <c r="H108" i="5900"/>
  <c r="G108" i="5900"/>
  <c r="D108" i="5900"/>
  <c r="AR107" i="5900"/>
  <c r="AR125" i="5900" s="1"/>
  <c r="AQ107" i="5900"/>
  <c r="AQ125" i="5900" s="1"/>
  <c r="AP107" i="5900"/>
  <c r="AP125" i="5900" s="1"/>
  <c r="AP126" i="5900" s="1"/>
  <c r="AO107" i="5900"/>
  <c r="AN107" i="5900"/>
  <c r="AN125" i="5900" s="1"/>
  <c r="AN126" i="5900" s="1"/>
  <c r="AM107" i="5900"/>
  <c r="AL107" i="5900"/>
  <c r="AK107" i="5900"/>
  <c r="AK125" i="5900" s="1"/>
  <c r="AJ107" i="5900"/>
  <c r="AJ125" i="5900" s="1"/>
  <c r="AI107" i="5900"/>
  <c r="AI125" i="5900" s="1"/>
  <c r="AH107" i="5900"/>
  <c r="AG107" i="5900"/>
  <c r="AG125" i="5900" s="1"/>
  <c r="AF107" i="5900"/>
  <c r="AE107" i="5900"/>
  <c r="AD107" i="5900"/>
  <c r="AD125" i="5900" s="1"/>
  <c r="AC107" i="5900"/>
  <c r="AB107" i="5900"/>
  <c r="AB125" i="5900" s="1"/>
  <c r="AB126" i="5900" s="1"/>
  <c r="AA107" i="5900"/>
  <c r="Z107" i="5900"/>
  <c r="Z125" i="5900" s="1"/>
  <c r="Y107" i="5900"/>
  <c r="Y125" i="5900" s="1"/>
  <c r="X107" i="5900"/>
  <c r="X125" i="5900" s="1"/>
  <c r="W107" i="5900"/>
  <c r="W125" i="5900" s="1"/>
  <c r="V107" i="5900"/>
  <c r="V125" i="5900" s="1"/>
  <c r="U107" i="5900"/>
  <c r="U125" i="5900" s="1"/>
  <c r="T107" i="5900"/>
  <c r="S107" i="5900"/>
  <c r="R107" i="5900"/>
  <c r="R125" i="5900" s="1"/>
  <c r="Q107" i="5900"/>
  <c r="P107" i="5900"/>
  <c r="P125" i="5900" s="1"/>
  <c r="O107" i="5900"/>
  <c r="N107" i="5900"/>
  <c r="N125" i="5900" s="1"/>
  <c r="M107" i="5900"/>
  <c r="L107" i="5900"/>
  <c r="L125" i="5900" s="1"/>
  <c r="K107" i="5900"/>
  <c r="K125" i="5900" s="1"/>
  <c r="J107" i="5900"/>
  <c r="J125" i="5900" s="1"/>
  <c r="I107" i="5900"/>
  <c r="I125" i="5900" s="1"/>
  <c r="H107" i="5900"/>
  <c r="G107" i="5900"/>
  <c r="G125" i="5900" s="1"/>
  <c r="F107" i="5900"/>
  <c r="F125" i="5900" s="1"/>
  <c r="D107" i="5900"/>
  <c r="H106" i="5900"/>
  <c r="I106" i="5900" s="1"/>
  <c r="J106" i="5900" s="1"/>
  <c r="K106" i="5900" s="1"/>
  <c r="L106" i="5900" s="1"/>
  <c r="M106" i="5900" s="1"/>
  <c r="N106" i="5900" s="1"/>
  <c r="O106" i="5900" s="1"/>
  <c r="P106" i="5900" s="1"/>
  <c r="Q106" i="5900" s="1"/>
  <c r="R106" i="5900" s="1"/>
  <c r="S106" i="5900" s="1"/>
  <c r="T106" i="5900" s="1"/>
  <c r="U106" i="5900" s="1"/>
  <c r="V106" i="5900" s="1"/>
  <c r="W106" i="5900" s="1"/>
  <c r="X106" i="5900" s="1"/>
  <c r="Y106" i="5900" s="1"/>
  <c r="Z106" i="5900" s="1"/>
  <c r="AA106" i="5900" s="1"/>
  <c r="AB106" i="5900" s="1"/>
  <c r="AC106" i="5900" s="1"/>
  <c r="AD106" i="5900" s="1"/>
  <c r="AE106" i="5900" s="1"/>
  <c r="AF106" i="5900" s="1"/>
  <c r="AG106" i="5900" s="1"/>
  <c r="AH106" i="5900" s="1"/>
  <c r="AI106" i="5900" s="1"/>
  <c r="AJ106" i="5900" s="1"/>
  <c r="AK106" i="5900" s="1"/>
  <c r="AL106" i="5900" s="1"/>
  <c r="AM106" i="5900" s="1"/>
  <c r="AN106" i="5900" s="1"/>
  <c r="AO106" i="5900" s="1"/>
  <c r="AP106" i="5900" s="1"/>
  <c r="AQ106" i="5900" s="1"/>
  <c r="AR106" i="5900" s="1"/>
  <c r="F106" i="5900"/>
  <c r="G106" i="5900" s="1"/>
  <c r="E106" i="5900"/>
  <c r="E102" i="5900"/>
  <c r="C92" i="5900"/>
  <c r="C157" i="5900" s="1"/>
  <c r="D85" i="5900"/>
  <c r="D84" i="5900"/>
  <c r="D70" i="5900"/>
  <c r="D65" i="5900"/>
  <c r="D64" i="5900"/>
  <c r="D63" i="5900"/>
  <c r="C60" i="5900"/>
  <c r="D59" i="5900"/>
  <c r="C58" i="5900"/>
  <c r="D57" i="5900"/>
  <c r="C56" i="5900"/>
  <c r="D55" i="5900"/>
  <c r="C53" i="5900"/>
  <c r="D49" i="5900"/>
  <c r="C49" i="5900"/>
  <c r="D48" i="5900"/>
  <c r="E47" i="5900"/>
  <c r="D47" i="5900"/>
  <c r="E46" i="5900"/>
  <c r="D46" i="5900"/>
  <c r="E45" i="5900"/>
  <c r="D45" i="5900"/>
  <c r="C44" i="5900"/>
  <c r="D43" i="5900"/>
  <c r="C41" i="5900"/>
  <c r="C35" i="5900"/>
  <c r="C34" i="5900"/>
  <c r="C33" i="5900"/>
  <c r="C27" i="5900"/>
  <c r="C25" i="5900"/>
  <c r="E16" i="5900"/>
  <c r="D16" i="5900"/>
  <c r="E15" i="5900"/>
  <c r="D15" i="5900"/>
  <c r="E13" i="5900"/>
  <c r="D13" i="5900"/>
  <c r="E12" i="5900"/>
  <c r="D12" i="5900"/>
  <c r="C8" i="5900"/>
  <c r="D26" i="5900" s="1"/>
  <c r="D5" i="5900"/>
  <c r="A1" i="5900"/>
  <c r="D179" i="5899"/>
  <c r="C179" i="5899"/>
  <c r="D178" i="5899"/>
  <c r="C178" i="5899"/>
  <c r="D177" i="5899"/>
  <c r="C177" i="5899"/>
  <c r="B177" i="5899"/>
  <c r="D176" i="5899"/>
  <c r="C176" i="5899"/>
  <c r="B176" i="5899"/>
  <c r="D175" i="5899"/>
  <c r="C175" i="5899"/>
  <c r="C173" i="5899" s="1"/>
  <c r="B175" i="5899"/>
  <c r="D174" i="5899"/>
  <c r="C174" i="5899"/>
  <c r="B174" i="5899"/>
  <c r="D173" i="5899"/>
  <c r="B173" i="5899"/>
  <c r="D172" i="5899"/>
  <c r="C172" i="5899"/>
  <c r="B172" i="5899"/>
  <c r="D171" i="5899"/>
  <c r="C171" i="5899"/>
  <c r="D170" i="5899"/>
  <c r="C170" i="5899"/>
  <c r="D169" i="5899"/>
  <c r="C169" i="5899"/>
  <c r="D168" i="5899"/>
  <c r="C168" i="5899"/>
  <c r="D167" i="5899"/>
  <c r="C167" i="5899"/>
  <c r="D166" i="5899"/>
  <c r="C166" i="5899"/>
  <c r="C165" i="5899" s="1"/>
  <c r="D165" i="5899"/>
  <c r="D164" i="5899"/>
  <c r="C164" i="5899"/>
  <c r="C152" i="5899"/>
  <c r="H134" i="5899" s="1"/>
  <c r="D151" i="5899"/>
  <c r="AR147" i="5899"/>
  <c r="AQ147" i="5899"/>
  <c r="AP147" i="5899"/>
  <c r="AO147" i="5899"/>
  <c r="AN147" i="5899"/>
  <c r="AM147" i="5899"/>
  <c r="AL147" i="5899"/>
  <c r="AK147" i="5899"/>
  <c r="AJ147" i="5899"/>
  <c r="AI147" i="5899"/>
  <c r="AH147" i="5899"/>
  <c r="AG147" i="5899"/>
  <c r="AF147" i="5899"/>
  <c r="AE147" i="5899"/>
  <c r="AD147" i="5899"/>
  <c r="AC147" i="5899"/>
  <c r="AB147" i="5899"/>
  <c r="AA147" i="5899"/>
  <c r="Z147" i="5899"/>
  <c r="Y147" i="5899"/>
  <c r="X147" i="5899"/>
  <c r="W147" i="5899"/>
  <c r="V147" i="5899"/>
  <c r="U147" i="5899"/>
  <c r="T147" i="5899"/>
  <c r="AR145" i="5899"/>
  <c r="AQ145" i="5899"/>
  <c r="AP145" i="5899"/>
  <c r="AO145" i="5899"/>
  <c r="AN145" i="5899"/>
  <c r="AM145" i="5899"/>
  <c r="AL145" i="5899"/>
  <c r="AK145" i="5899"/>
  <c r="AJ145" i="5899"/>
  <c r="AI145" i="5899"/>
  <c r="AH145" i="5899"/>
  <c r="AG145" i="5899"/>
  <c r="AF145" i="5899"/>
  <c r="AE145" i="5899"/>
  <c r="AD145" i="5899"/>
  <c r="AC145" i="5899"/>
  <c r="AB145" i="5899"/>
  <c r="AA145" i="5899"/>
  <c r="Z145" i="5899"/>
  <c r="Y145" i="5899"/>
  <c r="X145" i="5899"/>
  <c r="W145" i="5899"/>
  <c r="V145" i="5899"/>
  <c r="U145" i="5899"/>
  <c r="T145" i="5899"/>
  <c r="C145" i="5899"/>
  <c r="AQ137" i="5899"/>
  <c r="AK137" i="5899"/>
  <c r="AH137" i="5899"/>
  <c r="AF137" i="5899"/>
  <c r="Z137" i="5899"/>
  <c r="Y137" i="5899"/>
  <c r="T137" i="5899"/>
  <c r="AR136" i="5899"/>
  <c r="AQ136" i="5899"/>
  <c r="AP136" i="5899"/>
  <c r="AO136" i="5899"/>
  <c r="AN136" i="5899"/>
  <c r="AM136" i="5899"/>
  <c r="AM137" i="5899" s="1"/>
  <c r="AL136" i="5899"/>
  <c r="AL137" i="5899" s="1"/>
  <c r="AK136" i="5899"/>
  <c r="AJ136" i="5899"/>
  <c r="AJ137" i="5899" s="1"/>
  <c r="AI136" i="5899"/>
  <c r="AH136" i="5899"/>
  <c r="AG136" i="5899"/>
  <c r="AG137" i="5899" s="1"/>
  <c r="AF136" i="5899"/>
  <c r="AE136" i="5899"/>
  <c r="AE137" i="5899" s="1"/>
  <c r="AD136" i="5899"/>
  <c r="AC136" i="5899"/>
  <c r="AB136" i="5899"/>
  <c r="AA136" i="5899"/>
  <c r="AA137" i="5899" s="1"/>
  <c r="Z136" i="5899"/>
  <c r="Y136" i="5899"/>
  <c r="X136" i="5899"/>
  <c r="X137" i="5899" s="1"/>
  <c r="W136" i="5899"/>
  <c r="V136" i="5899"/>
  <c r="U136" i="5899"/>
  <c r="T136" i="5899"/>
  <c r="AR135" i="5899"/>
  <c r="AR137" i="5899" s="1"/>
  <c r="AQ135" i="5899"/>
  <c r="AP135" i="5899"/>
  <c r="AP137" i="5899" s="1"/>
  <c r="AO135" i="5899"/>
  <c r="AO137" i="5899" s="1"/>
  <c r="AN135" i="5899"/>
  <c r="AM135" i="5899"/>
  <c r="AL135" i="5899"/>
  <c r="AK135" i="5899"/>
  <c r="AJ135" i="5899"/>
  <c r="AI135" i="5899"/>
  <c r="AI137" i="5899" s="1"/>
  <c r="AH135" i="5899"/>
  <c r="AG135" i="5899"/>
  <c r="AF135" i="5899"/>
  <c r="AE135" i="5899"/>
  <c r="AD135" i="5899"/>
  <c r="AD137" i="5899" s="1"/>
  <c r="AC135" i="5899"/>
  <c r="AC137" i="5899" s="1"/>
  <c r="AB135" i="5899"/>
  <c r="AA135" i="5899"/>
  <c r="Z135" i="5899"/>
  <c r="Y135" i="5899"/>
  <c r="X135" i="5899"/>
  <c r="W135" i="5899"/>
  <c r="W137" i="5899" s="1"/>
  <c r="V135" i="5899"/>
  <c r="V137" i="5899" s="1"/>
  <c r="U135" i="5899"/>
  <c r="U137" i="5899" s="1"/>
  <c r="T135" i="5899"/>
  <c r="AR134" i="5899"/>
  <c r="AQ134" i="5899"/>
  <c r="AP134" i="5899"/>
  <c r="AO134" i="5899"/>
  <c r="AN134" i="5899"/>
  <c r="AM134" i="5899"/>
  <c r="AL134" i="5899"/>
  <c r="AK134" i="5899"/>
  <c r="AJ134" i="5899"/>
  <c r="AI134" i="5899"/>
  <c r="AH134" i="5899"/>
  <c r="AG134" i="5899"/>
  <c r="AF134" i="5899"/>
  <c r="AE134" i="5899"/>
  <c r="AD134" i="5899"/>
  <c r="AC134" i="5899"/>
  <c r="AB134" i="5899"/>
  <c r="AA134" i="5899"/>
  <c r="Z134" i="5899"/>
  <c r="Y134" i="5899"/>
  <c r="X134" i="5899"/>
  <c r="W134" i="5899"/>
  <c r="V134" i="5899"/>
  <c r="U134" i="5899"/>
  <c r="T134" i="5899"/>
  <c r="S134" i="5899"/>
  <c r="K134" i="5899"/>
  <c r="J134" i="5899"/>
  <c r="I134" i="5899"/>
  <c r="E134" i="5899"/>
  <c r="AO131" i="5899"/>
  <c r="AN131" i="5899"/>
  <c r="AG131" i="5899"/>
  <c r="AB131" i="5899"/>
  <c r="AA131" i="5899"/>
  <c r="AP125" i="5899"/>
  <c r="AO125" i="5899"/>
  <c r="AN125" i="5899"/>
  <c r="AM125" i="5899"/>
  <c r="AG125" i="5899"/>
  <c r="AD125" i="5899"/>
  <c r="AC125" i="5899"/>
  <c r="AB125" i="5899"/>
  <c r="AA125" i="5899"/>
  <c r="Z125" i="5899"/>
  <c r="Y125" i="5899"/>
  <c r="R125" i="5899"/>
  <c r="Q125" i="5899"/>
  <c r="P125" i="5899"/>
  <c r="O125" i="5899"/>
  <c r="L125" i="5899"/>
  <c r="F125" i="5899"/>
  <c r="E125" i="5899"/>
  <c r="C125" i="5899"/>
  <c r="AO124" i="5899"/>
  <c r="AN124" i="5899"/>
  <c r="Z124" i="5899"/>
  <c r="Y124" i="5899"/>
  <c r="W124" i="5899"/>
  <c r="E124" i="5899"/>
  <c r="C124" i="5899"/>
  <c r="AR123" i="5899"/>
  <c r="AQ123" i="5899"/>
  <c r="AP123" i="5899"/>
  <c r="AO123" i="5899"/>
  <c r="AN123" i="5899"/>
  <c r="AM123" i="5899"/>
  <c r="AL123" i="5899"/>
  <c r="AK123" i="5899"/>
  <c r="AJ123" i="5899"/>
  <c r="AI123" i="5899"/>
  <c r="AH123" i="5899"/>
  <c r="AG123" i="5899"/>
  <c r="AF123" i="5899"/>
  <c r="AE123" i="5899"/>
  <c r="AD123" i="5899"/>
  <c r="AC123" i="5899"/>
  <c r="AB123" i="5899"/>
  <c r="AA123" i="5899"/>
  <c r="Z123" i="5899"/>
  <c r="Y123" i="5899"/>
  <c r="X123" i="5899"/>
  <c r="W123" i="5899"/>
  <c r="V123" i="5899"/>
  <c r="U123" i="5899"/>
  <c r="T123" i="5899"/>
  <c r="S123" i="5899"/>
  <c r="R123" i="5899"/>
  <c r="Q123" i="5899"/>
  <c r="P123" i="5899"/>
  <c r="O123" i="5899"/>
  <c r="N123" i="5899"/>
  <c r="M123" i="5899"/>
  <c r="L123" i="5899"/>
  <c r="K123" i="5899"/>
  <c r="J123" i="5899"/>
  <c r="I123" i="5899"/>
  <c r="H123" i="5899"/>
  <c r="G123" i="5899"/>
  <c r="F123" i="5899"/>
  <c r="E123" i="5899"/>
  <c r="AR122" i="5899"/>
  <c r="AQ122" i="5899"/>
  <c r="AP122" i="5899"/>
  <c r="AO122" i="5899"/>
  <c r="AN122" i="5899"/>
  <c r="AM122" i="5899"/>
  <c r="AL122" i="5899"/>
  <c r="AK122" i="5899"/>
  <c r="AJ122" i="5899"/>
  <c r="AI122" i="5899"/>
  <c r="AH122" i="5899"/>
  <c r="AG122" i="5899"/>
  <c r="AF122" i="5899"/>
  <c r="AE122" i="5899"/>
  <c r="AD122" i="5899"/>
  <c r="AC122" i="5899"/>
  <c r="AB122" i="5899"/>
  <c r="AA122" i="5899"/>
  <c r="Z122" i="5899"/>
  <c r="Y122" i="5899"/>
  <c r="X122" i="5899"/>
  <c r="W122" i="5899"/>
  <c r="V122" i="5899"/>
  <c r="U122" i="5899"/>
  <c r="T122" i="5899"/>
  <c r="S122" i="5899"/>
  <c r="R122" i="5899"/>
  <c r="Q122" i="5899"/>
  <c r="P122" i="5899"/>
  <c r="O122" i="5899"/>
  <c r="N122" i="5899"/>
  <c r="M122" i="5899"/>
  <c r="L122" i="5899"/>
  <c r="K122" i="5899"/>
  <c r="J122" i="5899"/>
  <c r="I122" i="5899"/>
  <c r="H122" i="5899"/>
  <c r="G122" i="5899"/>
  <c r="F122" i="5899"/>
  <c r="E122" i="5899"/>
  <c r="AR121" i="5899"/>
  <c r="AR131" i="5899" s="1"/>
  <c r="AQ121" i="5899"/>
  <c r="AP121" i="5899"/>
  <c r="AO121" i="5899"/>
  <c r="AN121" i="5899"/>
  <c r="AM121" i="5899"/>
  <c r="AL121" i="5899"/>
  <c r="AK121" i="5899"/>
  <c r="AJ121" i="5899"/>
  <c r="AI121" i="5899"/>
  <c r="AH121" i="5899"/>
  <c r="AG121" i="5899"/>
  <c r="AF121" i="5899"/>
  <c r="AF131" i="5899" s="1"/>
  <c r="AE121" i="5899"/>
  <c r="AD121" i="5899"/>
  <c r="AC121" i="5899"/>
  <c r="AC131" i="5899" s="1"/>
  <c r="AB121" i="5899"/>
  <c r="AA121" i="5899"/>
  <c r="Z121" i="5899"/>
  <c r="Y121" i="5899"/>
  <c r="X121" i="5899"/>
  <c r="W121" i="5899"/>
  <c r="V121" i="5899"/>
  <c r="U121" i="5899"/>
  <c r="T121" i="5899"/>
  <c r="T131" i="5899" s="1"/>
  <c r="S121" i="5899"/>
  <c r="R121" i="5899"/>
  <c r="Q121" i="5899"/>
  <c r="P121" i="5899"/>
  <c r="O121" i="5899"/>
  <c r="N121" i="5899"/>
  <c r="M121" i="5899"/>
  <c r="L121" i="5899"/>
  <c r="K121" i="5899"/>
  <c r="J121" i="5899"/>
  <c r="I121" i="5899"/>
  <c r="H121" i="5899"/>
  <c r="G121" i="5899"/>
  <c r="F121" i="5899"/>
  <c r="E121" i="5899"/>
  <c r="AR120" i="5899"/>
  <c r="AQ120" i="5899"/>
  <c r="AQ131" i="5899" s="1"/>
  <c r="AP120" i="5899"/>
  <c r="AP131" i="5899" s="1"/>
  <c r="AO120" i="5899"/>
  <c r="AN120" i="5899"/>
  <c r="AM120" i="5899"/>
  <c r="AM131" i="5899" s="1"/>
  <c r="AL120" i="5899"/>
  <c r="AK120" i="5899"/>
  <c r="AK131" i="5899" s="1"/>
  <c r="AJ120" i="5899"/>
  <c r="AJ131" i="5899" s="1"/>
  <c r="AI120" i="5899"/>
  <c r="AI131" i="5899" s="1"/>
  <c r="AH120" i="5899"/>
  <c r="AH131" i="5899" s="1"/>
  <c r="AG120" i="5899"/>
  <c r="AF120" i="5899"/>
  <c r="AE120" i="5899"/>
  <c r="AE131" i="5899" s="1"/>
  <c r="AD120" i="5899"/>
  <c r="AD131" i="5899" s="1"/>
  <c r="AC120" i="5899"/>
  <c r="AB120" i="5899"/>
  <c r="AA120" i="5899"/>
  <c r="Z120" i="5899"/>
  <c r="Y120" i="5899"/>
  <c r="Y131" i="5899" s="1"/>
  <c r="X120" i="5899"/>
  <c r="X131" i="5899" s="1"/>
  <c r="W120" i="5899"/>
  <c r="W131" i="5899" s="1"/>
  <c r="V120" i="5899"/>
  <c r="V131" i="5899" s="1"/>
  <c r="U120" i="5899"/>
  <c r="U131" i="5899" s="1"/>
  <c r="T120" i="5899"/>
  <c r="C118" i="5899"/>
  <c r="AR117" i="5899"/>
  <c r="AQ117" i="5899"/>
  <c r="AP117" i="5899"/>
  <c r="AO117" i="5899"/>
  <c r="AN117" i="5899"/>
  <c r="AM117" i="5899"/>
  <c r="AL117" i="5899"/>
  <c r="AK117" i="5899"/>
  <c r="AJ117" i="5899"/>
  <c r="AI117" i="5899"/>
  <c r="AH117" i="5899"/>
  <c r="AG117" i="5899"/>
  <c r="AF117" i="5899"/>
  <c r="AE117" i="5899"/>
  <c r="AD117" i="5899"/>
  <c r="AC117" i="5899"/>
  <c r="AB117" i="5899"/>
  <c r="AA117" i="5899"/>
  <c r="Z117" i="5899"/>
  <c r="Y117" i="5899"/>
  <c r="X117" i="5899"/>
  <c r="W117" i="5899"/>
  <c r="V117" i="5899"/>
  <c r="U117" i="5899"/>
  <c r="T117" i="5899"/>
  <c r="S117" i="5899"/>
  <c r="R117" i="5899"/>
  <c r="Q117" i="5899"/>
  <c r="P117" i="5899"/>
  <c r="O117" i="5899"/>
  <c r="N117" i="5899"/>
  <c r="M117" i="5899"/>
  <c r="L117" i="5899"/>
  <c r="K117" i="5899"/>
  <c r="J117" i="5899"/>
  <c r="I117" i="5899"/>
  <c r="H117" i="5899"/>
  <c r="G117" i="5899"/>
  <c r="F117" i="5899"/>
  <c r="E117" i="5899"/>
  <c r="AR116" i="5899"/>
  <c r="AQ116" i="5899"/>
  <c r="AP116" i="5899"/>
  <c r="AO116" i="5899"/>
  <c r="AN116" i="5899"/>
  <c r="AM116" i="5899"/>
  <c r="AL116" i="5899"/>
  <c r="AK116" i="5899"/>
  <c r="AJ116" i="5899"/>
  <c r="AI116" i="5899"/>
  <c r="AH116" i="5899"/>
  <c r="AG116" i="5899"/>
  <c r="AF116" i="5899"/>
  <c r="AE116" i="5899"/>
  <c r="AD116" i="5899"/>
  <c r="AC116" i="5899"/>
  <c r="AB116" i="5899"/>
  <c r="AA116" i="5899"/>
  <c r="Z116" i="5899"/>
  <c r="Y116" i="5899"/>
  <c r="X116" i="5899"/>
  <c r="W116" i="5899"/>
  <c r="V116" i="5899"/>
  <c r="U116" i="5899"/>
  <c r="T116" i="5899"/>
  <c r="S116" i="5899"/>
  <c r="R116" i="5899"/>
  <c r="Q116" i="5899"/>
  <c r="P116" i="5899"/>
  <c r="O116" i="5899"/>
  <c r="N116" i="5899"/>
  <c r="M116" i="5899"/>
  <c r="L116" i="5899"/>
  <c r="K116" i="5899"/>
  <c r="J116" i="5899"/>
  <c r="I116" i="5899"/>
  <c r="H116" i="5899"/>
  <c r="G116" i="5899"/>
  <c r="F116" i="5899"/>
  <c r="E116" i="5899"/>
  <c r="C116" i="5899"/>
  <c r="C115" i="5899"/>
  <c r="AR109" i="5899"/>
  <c r="AQ109" i="5899"/>
  <c r="AP109" i="5899"/>
  <c r="AO109" i="5899"/>
  <c r="AN109" i="5899"/>
  <c r="AM109" i="5899"/>
  <c r="AL109" i="5899"/>
  <c r="AK109" i="5899"/>
  <c r="AJ109" i="5899"/>
  <c r="AI109" i="5899"/>
  <c r="AH109" i="5899"/>
  <c r="AG109" i="5899"/>
  <c r="AF109" i="5899"/>
  <c r="AE109" i="5899"/>
  <c r="AD109" i="5899"/>
  <c r="AC109" i="5899"/>
  <c r="AB109" i="5899"/>
  <c r="AA109" i="5899"/>
  <c r="Z109" i="5899"/>
  <c r="Y109" i="5899"/>
  <c r="X109" i="5899"/>
  <c r="W109" i="5899"/>
  <c r="V109" i="5899"/>
  <c r="U109" i="5899"/>
  <c r="T109" i="5899"/>
  <c r="S109" i="5899"/>
  <c r="R109" i="5899"/>
  <c r="R108" i="5899" s="1"/>
  <c r="Q109" i="5899"/>
  <c r="P109" i="5899"/>
  <c r="O109" i="5899"/>
  <c r="N109" i="5899"/>
  <c r="N108" i="5899" s="1"/>
  <c r="M109" i="5899"/>
  <c r="M108" i="5899" s="1"/>
  <c r="M124" i="5899" s="1"/>
  <c r="L109" i="5899"/>
  <c r="L108" i="5899" s="1"/>
  <c r="K109" i="5899"/>
  <c r="J109" i="5899"/>
  <c r="I109" i="5899"/>
  <c r="H109" i="5899"/>
  <c r="G109" i="5899"/>
  <c r="F109" i="5899"/>
  <c r="F108" i="5899" s="1"/>
  <c r="E109" i="5899"/>
  <c r="AR108" i="5899"/>
  <c r="AQ108" i="5899"/>
  <c r="AP108" i="5899"/>
  <c r="AO108" i="5899"/>
  <c r="AN108" i="5899"/>
  <c r="AM108" i="5899"/>
  <c r="AL108" i="5899"/>
  <c r="AK108" i="5899"/>
  <c r="AK124" i="5899" s="1"/>
  <c r="AJ108" i="5899"/>
  <c r="AI108" i="5899"/>
  <c r="AI124" i="5899" s="1"/>
  <c r="AH108" i="5899"/>
  <c r="AH124" i="5899" s="1"/>
  <c r="AG108" i="5899"/>
  <c r="AG124" i="5899" s="1"/>
  <c r="AF108" i="5899"/>
  <c r="AF124" i="5899" s="1"/>
  <c r="AE108" i="5899"/>
  <c r="AE124" i="5899" s="1"/>
  <c r="AD108" i="5899"/>
  <c r="AC108" i="5899"/>
  <c r="AB108" i="5899"/>
  <c r="AA108" i="5899"/>
  <c r="Z108" i="5899"/>
  <c r="Y108" i="5899"/>
  <c r="X108" i="5899"/>
  <c r="W108" i="5899"/>
  <c r="V108" i="5899"/>
  <c r="V124" i="5899" s="1"/>
  <c r="U108" i="5899"/>
  <c r="U124" i="5899" s="1"/>
  <c r="T108" i="5899"/>
  <c r="T124" i="5899" s="1"/>
  <c r="S108" i="5899"/>
  <c r="S124" i="5899" s="1"/>
  <c r="P108" i="5899"/>
  <c r="O108" i="5899"/>
  <c r="J108" i="5899"/>
  <c r="J124" i="5899" s="1"/>
  <c r="I108" i="5899"/>
  <c r="I124" i="5899" s="1"/>
  <c r="H108" i="5899"/>
  <c r="H124" i="5899" s="1"/>
  <c r="G108" i="5899"/>
  <c r="G124" i="5899" s="1"/>
  <c r="D108" i="5899"/>
  <c r="AR107" i="5899"/>
  <c r="AR125" i="5899" s="1"/>
  <c r="AQ107" i="5899"/>
  <c r="AQ125" i="5899" s="1"/>
  <c r="AP107" i="5899"/>
  <c r="AO107" i="5899"/>
  <c r="AN107" i="5899"/>
  <c r="AM107" i="5899"/>
  <c r="AL107" i="5899"/>
  <c r="AL125" i="5899" s="1"/>
  <c r="AK107" i="5899"/>
  <c r="AK125" i="5899" s="1"/>
  <c r="AJ107" i="5899"/>
  <c r="AJ125" i="5899" s="1"/>
  <c r="AI107" i="5899"/>
  <c r="AI125" i="5899" s="1"/>
  <c r="AH107" i="5899"/>
  <c r="AH125" i="5899" s="1"/>
  <c r="AG107" i="5899"/>
  <c r="AF107" i="5899"/>
  <c r="AF125" i="5899" s="1"/>
  <c r="AE107" i="5899"/>
  <c r="AE125" i="5899" s="1"/>
  <c r="AD107" i="5899"/>
  <c r="AC107" i="5899"/>
  <c r="AB107" i="5899"/>
  <c r="AA107" i="5899"/>
  <c r="Z107" i="5899"/>
  <c r="Y107" i="5899"/>
  <c r="X107" i="5899"/>
  <c r="X125" i="5899" s="1"/>
  <c r="W107" i="5899"/>
  <c r="W125" i="5899" s="1"/>
  <c r="V107" i="5899"/>
  <c r="V125" i="5899" s="1"/>
  <c r="U107" i="5899"/>
  <c r="U125" i="5899" s="1"/>
  <c r="T107" i="5899"/>
  <c r="T125" i="5899" s="1"/>
  <c r="S107" i="5899"/>
  <c r="S125" i="5899" s="1"/>
  <c r="R107" i="5899"/>
  <c r="Q107" i="5899"/>
  <c r="P107" i="5899"/>
  <c r="O107" i="5899"/>
  <c r="N107" i="5899"/>
  <c r="N125" i="5899" s="1"/>
  <c r="M107" i="5899"/>
  <c r="M125" i="5899" s="1"/>
  <c r="L107" i="5899"/>
  <c r="K107" i="5899"/>
  <c r="K125" i="5899" s="1"/>
  <c r="J107" i="5899"/>
  <c r="J125" i="5899" s="1"/>
  <c r="I107" i="5899"/>
  <c r="I125" i="5899" s="1"/>
  <c r="H107" i="5899"/>
  <c r="H125" i="5899" s="1"/>
  <c r="G107" i="5899"/>
  <c r="G125" i="5899" s="1"/>
  <c r="F107" i="5899"/>
  <c r="D107" i="5899"/>
  <c r="K106" i="5899"/>
  <c r="L106" i="5899" s="1"/>
  <c r="M106" i="5899" s="1"/>
  <c r="N106" i="5899" s="1"/>
  <c r="O106" i="5899" s="1"/>
  <c r="P106" i="5899" s="1"/>
  <c r="Q106" i="5899" s="1"/>
  <c r="R106" i="5899" s="1"/>
  <c r="S106" i="5899" s="1"/>
  <c r="T106" i="5899" s="1"/>
  <c r="U106" i="5899" s="1"/>
  <c r="V106" i="5899" s="1"/>
  <c r="W106" i="5899" s="1"/>
  <c r="X106" i="5899" s="1"/>
  <c r="Y106" i="5899" s="1"/>
  <c r="Z106" i="5899" s="1"/>
  <c r="AA106" i="5899" s="1"/>
  <c r="AB106" i="5899" s="1"/>
  <c r="AC106" i="5899" s="1"/>
  <c r="AD106" i="5899" s="1"/>
  <c r="AE106" i="5899" s="1"/>
  <c r="AF106" i="5899" s="1"/>
  <c r="AG106" i="5899" s="1"/>
  <c r="AH106" i="5899" s="1"/>
  <c r="AI106" i="5899" s="1"/>
  <c r="AJ106" i="5899" s="1"/>
  <c r="AK106" i="5899" s="1"/>
  <c r="AL106" i="5899" s="1"/>
  <c r="AM106" i="5899" s="1"/>
  <c r="AN106" i="5899" s="1"/>
  <c r="AO106" i="5899" s="1"/>
  <c r="AP106" i="5899" s="1"/>
  <c r="AQ106" i="5899" s="1"/>
  <c r="AR106" i="5899" s="1"/>
  <c r="E106" i="5899"/>
  <c r="F106" i="5899" s="1"/>
  <c r="G106" i="5899" s="1"/>
  <c r="H106" i="5899" s="1"/>
  <c r="I106" i="5899" s="1"/>
  <c r="J106" i="5899" s="1"/>
  <c r="C92" i="5899"/>
  <c r="C157" i="5899" s="1"/>
  <c r="D85" i="5899"/>
  <c r="D84" i="5899"/>
  <c r="D70" i="5899"/>
  <c r="D65" i="5899"/>
  <c r="D64" i="5899"/>
  <c r="D63" i="5899"/>
  <c r="C60" i="5899"/>
  <c r="D59" i="5899"/>
  <c r="C58" i="5899"/>
  <c r="D57" i="5899"/>
  <c r="C56" i="5899"/>
  <c r="D55" i="5899"/>
  <c r="C53" i="5899"/>
  <c r="D49" i="5899"/>
  <c r="C49" i="5899"/>
  <c r="D48" i="5899"/>
  <c r="E47" i="5899"/>
  <c r="D47" i="5899"/>
  <c r="E46" i="5899"/>
  <c r="D46" i="5899"/>
  <c r="E45" i="5899"/>
  <c r="D45" i="5899"/>
  <c r="C44" i="5899"/>
  <c r="D43" i="5899"/>
  <c r="C41" i="5899"/>
  <c r="C35" i="5899"/>
  <c r="C33" i="5899"/>
  <c r="D28" i="5899"/>
  <c r="C27" i="5899"/>
  <c r="C25" i="5899"/>
  <c r="D21" i="5899"/>
  <c r="E16" i="5899"/>
  <c r="D16" i="5899"/>
  <c r="E15" i="5899"/>
  <c r="D15" i="5899"/>
  <c r="E13" i="5899"/>
  <c r="D13" i="5899"/>
  <c r="E12" i="5899"/>
  <c r="D12" i="5899"/>
  <c r="C8" i="5899"/>
  <c r="D42" i="5899" s="1"/>
  <c r="D5" i="5899"/>
  <c r="A1" i="5899"/>
  <c r="D179" i="5898"/>
  <c r="C179" i="5898"/>
  <c r="D178" i="5898"/>
  <c r="C178" i="5898"/>
  <c r="D177" i="5898"/>
  <c r="C177" i="5898"/>
  <c r="B177" i="5898"/>
  <c r="D176" i="5898"/>
  <c r="C176" i="5898"/>
  <c r="B176" i="5898"/>
  <c r="D175" i="5898"/>
  <c r="C175" i="5898"/>
  <c r="B175" i="5898"/>
  <c r="D174" i="5898"/>
  <c r="C174" i="5898"/>
  <c r="B174" i="5898"/>
  <c r="D173" i="5898"/>
  <c r="C173" i="5898"/>
  <c r="B173" i="5898"/>
  <c r="D172" i="5898"/>
  <c r="C172" i="5898"/>
  <c r="B172" i="5898"/>
  <c r="D171" i="5898"/>
  <c r="C171" i="5898"/>
  <c r="D170" i="5898"/>
  <c r="C170" i="5898"/>
  <c r="D169" i="5898"/>
  <c r="C169" i="5898"/>
  <c r="D168" i="5898"/>
  <c r="C168" i="5898"/>
  <c r="D167" i="5898"/>
  <c r="C167" i="5898"/>
  <c r="D166" i="5898"/>
  <c r="C166" i="5898"/>
  <c r="C165" i="5898" s="1"/>
  <c r="D165" i="5898"/>
  <c r="D164" i="5898"/>
  <c r="C164" i="5898"/>
  <c r="D151" i="5898"/>
  <c r="AR147" i="5898"/>
  <c r="AQ147" i="5898"/>
  <c r="AP147" i="5898"/>
  <c r="AO147" i="5898"/>
  <c r="AN147" i="5898"/>
  <c r="AM147" i="5898"/>
  <c r="AL147" i="5898"/>
  <c r="AK147" i="5898"/>
  <c r="AJ147" i="5898"/>
  <c r="AI147" i="5898"/>
  <c r="AH147" i="5898"/>
  <c r="AG147" i="5898"/>
  <c r="AF147" i="5898"/>
  <c r="AE147" i="5898"/>
  <c r="AD147" i="5898"/>
  <c r="AC147" i="5898"/>
  <c r="AB147" i="5898"/>
  <c r="AA147" i="5898"/>
  <c r="Z147" i="5898"/>
  <c r="Y147" i="5898"/>
  <c r="X147" i="5898"/>
  <c r="W147" i="5898"/>
  <c r="V147" i="5898"/>
  <c r="U147" i="5898"/>
  <c r="T147" i="5898"/>
  <c r="AR145" i="5898"/>
  <c r="AQ145" i="5898"/>
  <c r="AP145" i="5898"/>
  <c r="AO145" i="5898"/>
  <c r="AN145" i="5898"/>
  <c r="AM145" i="5898"/>
  <c r="AL145" i="5898"/>
  <c r="AK145" i="5898"/>
  <c r="AJ145" i="5898"/>
  <c r="AI145" i="5898"/>
  <c r="AH145" i="5898"/>
  <c r="AG145" i="5898"/>
  <c r="AF145" i="5898"/>
  <c r="AE145" i="5898"/>
  <c r="AD145" i="5898"/>
  <c r="AC145" i="5898"/>
  <c r="AB145" i="5898"/>
  <c r="AA145" i="5898"/>
  <c r="Z145" i="5898"/>
  <c r="Y145" i="5898"/>
  <c r="X145" i="5898"/>
  <c r="W145" i="5898"/>
  <c r="V145" i="5898"/>
  <c r="U145" i="5898"/>
  <c r="T145" i="5898"/>
  <c r="C145" i="5898"/>
  <c r="AR137" i="5898"/>
  <c r="AQ137" i="5898"/>
  <c r="AP137" i="5898"/>
  <c r="AK137" i="5898"/>
  <c r="AF137" i="5898"/>
  <c r="AE137" i="5898"/>
  <c r="AD137" i="5898"/>
  <c r="Z137" i="5898"/>
  <c r="Y137" i="5898"/>
  <c r="T137" i="5898"/>
  <c r="AR136" i="5898"/>
  <c r="AQ136" i="5898"/>
  <c r="AP136" i="5898"/>
  <c r="AO136" i="5898"/>
  <c r="AO137" i="5898" s="1"/>
  <c r="AN136" i="5898"/>
  <c r="AM136" i="5898"/>
  <c r="AL136" i="5898"/>
  <c r="AK136" i="5898"/>
  <c r="AJ136" i="5898"/>
  <c r="AI136" i="5898"/>
  <c r="AH136" i="5898"/>
  <c r="AG136" i="5898"/>
  <c r="AF136" i="5898"/>
  <c r="AE136" i="5898"/>
  <c r="AD136" i="5898"/>
  <c r="AC136" i="5898"/>
  <c r="AC137" i="5898" s="1"/>
  <c r="AB136" i="5898"/>
  <c r="AA136" i="5898"/>
  <c r="Z136" i="5898"/>
  <c r="Y136" i="5898"/>
  <c r="X136" i="5898"/>
  <c r="W136" i="5898"/>
  <c r="V136" i="5898"/>
  <c r="U136" i="5898"/>
  <c r="T136" i="5898"/>
  <c r="AR135" i="5898"/>
  <c r="AQ135" i="5898"/>
  <c r="AP135" i="5898"/>
  <c r="AO135" i="5898"/>
  <c r="AN135" i="5898"/>
  <c r="AN137" i="5898" s="1"/>
  <c r="AM135" i="5898"/>
  <c r="AM137" i="5898" s="1"/>
  <c r="AL135" i="5898"/>
  <c r="AL137" i="5898" s="1"/>
  <c r="AK135" i="5898"/>
  <c r="AJ135" i="5898"/>
  <c r="AJ137" i="5898" s="1"/>
  <c r="AI135" i="5898"/>
  <c r="AI137" i="5898" s="1"/>
  <c r="AH135" i="5898"/>
  <c r="AH137" i="5898" s="1"/>
  <c r="AG135" i="5898"/>
  <c r="AG137" i="5898" s="1"/>
  <c r="AF135" i="5898"/>
  <c r="AE135" i="5898"/>
  <c r="AD135" i="5898"/>
  <c r="AC135" i="5898"/>
  <c r="AB135" i="5898"/>
  <c r="AB137" i="5898" s="1"/>
  <c r="AA135" i="5898"/>
  <c r="AA137" i="5898" s="1"/>
  <c r="Z135" i="5898"/>
  <c r="Y135" i="5898"/>
  <c r="X135" i="5898"/>
  <c r="X137" i="5898" s="1"/>
  <c r="W135" i="5898"/>
  <c r="W137" i="5898" s="1"/>
  <c r="V135" i="5898"/>
  <c r="V137" i="5898" s="1"/>
  <c r="U135" i="5898"/>
  <c r="U137" i="5898" s="1"/>
  <c r="T135" i="5898"/>
  <c r="AR134" i="5898"/>
  <c r="AQ134" i="5898"/>
  <c r="AP134" i="5898"/>
  <c r="AO134" i="5898"/>
  <c r="AN134" i="5898"/>
  <c r="AM134" i="5898"/>
  <c r="AL134" i="5898"/>
  <c r="AK134" i="5898"/>
  <c r="AJ134" i="5898"/>
  <c r="AI134" i="5898"/>
  <c r="AH134" i="5898"/>
  <c r="AG134" i="5898"/>
  <c r="AF134" i="5898"/>
  <c r="AE134" i="5898"/>
  <c r="AD134" i="5898"/>
  <c r="AC134" i="5898"/>
  <c r="AB134" i="5898"/>
  <c r="AA134" i="5898"/>
  <c r="Z134" i="5898"/>
  <c r="Y134" i="5898"/>
  <c r="X134" i="5898"/>
  <c r="W134" i="5898"/>
  <c r="V134" i="5898"/>
  <c r="U134" i="5898"/>
  <c r="T134" i="5898"/>
  <c r="R134" i="5898"/>
  <c r="AL131" i="5898"/>
  <c r="AK131" i="5898"/>
  <c r="AH131" i="5898"/>
  <c r="Z131" i="5898"/>
  <c r="Y131" i="5898"/>
  <c r="V131" i="5898"/>
  <c r="AR125" i="5898"/>
  <c r="AQ125" i="5898"/>
  <c r="AP125" i="5898"/>
  <c r="AO125" i="5898"/>
  <c r="AH125" i="5898"/>
  <c r="AG125" i="5898"/>
  <c r="AF125" i="5898"/>
  <c r="AE125" i="5898"/>
  <c r="AD125" i="5898"/>
  <c r="AC125" i="5898"/>
  <c r="V125" i="5898"/>
  <c r="U125" i="5898"/>
  <c r="T125" i="5898"/>
  <c r="S125" i="5898"/>
  <c r="R125" i="5898"/>
  <c r="Q125" i="5898"/>
  <c r="J125" i="5898"/>
  <c r="I125" i="5898"/>
  <c r="H125" i="5898"/>
  <c r="G125" i="5898"/>
  <c r="F125" i="5898"/>
  <c r="E125" i="5898"/>
  <c r="C125" i="5898"/>
  <c r="AO124" i="5898"/>
  <c r="AN124" i="5898"/>
  <c r="AM124" i="5898"/>
  <c r="AL124" i="5898"/>
  <c r="AH124" i="5898"/>
  <c r="AC124" i="5898"/>
  <c r="AB124" i="5898"/>
  <c r="AA124" i="5898"/>
  <c r="Z124" i="5898"/>
  <c r="V124" i="5898"/>
  <c r="P124" i="5898"/>
  <c r="O124" i="5898"/>
  <c r="N124" i="5898"/>
  <c r="E124" i="5898"/>
  <c r="C124" i="5898"/>
  <c r="AR123" i="5898"/>
  <c r="AQ123" i="5898"/>
  <c r="AP123" i="5898"/>
  <c r="AO123" i="5898"/>
  <c r="AN123" i="5898"/>
  <c r="AM123" i="5898"/>
  <c r="AL123" i="5898"/>
  <c r="AK123" i="5898"/>
  <c r="AJ123" i="5898"/>
  <c r="AI123" i="5898"/>
  <c r="AH123" i="5898"/>
  <c r="AG123" i="5898"/>
  <c r="AF123" i="5898"/>
  <c r="AE123" i="5898"/>
  <c r="AD123" i="5898"/>
  <c r="AC123" i="5898"/>
  <c r="AB123" i="5898"/>
  <c r="AA123" i="5898"/>
  <c r="Z123" i="5898"/>
  <c r="Y123" i="5898"/>
  <c r="X123" i="5898"/>
  <c r="W123" i="5898"/>
  <c r="V123" i="5898"/>
  <c r="U123" i="5898"/>
  <c r="T123" i="5898"/>
  <c r="S123" i="5898"/>
  <c r="R123" i="5898"/>
  <c r="Q123" i="5898"/>
  <c r="P123" i="5898"/>
  <c r="O123" i="5898"/>
  <c r="N123" i="5898"/>
  <c r="M123" i="5898"/>
  <c r="L123" i="5898"/>
  <c r="K123" i="5898"/>
  <c r="J123" i="5898"/>
  <c r="I123" i="5898"/>
  <c r="H123" i="5898"/>
  <c r="G123" i="5898"/>
  <c r="F123" i="5898"/>
  <c r="E123" i="5898"/>
  <c r="AR122" i="5898"/>
  <c r="AQ122" i="5898"/>
  <c r="AP122" i="5898"/>
  <c r="AO122" i="5898"/>
  <c r="AN122" i="5898"/>
  <c r="AM122" i="5898"/>
  <c r="AL122" i="5898"/>
  <c r="AK122" i="5898"/>
  <c r="AJ122" i="5898"/>
  <c r="AI122" i="5898"/>
  <c r="AH122" i="5898"/>
  <c r="AG122" i="5898"/>
  <c r="AF122" i="5898"/>
  <c r="AE122" i="5898"/>
  <c r="AD122" i="5898"/>
  <c r="AC122" i="5898"/>
  <c r="AB122" i="5898"/>
  <c r="AA122" i="5898"/>
  <c r="Z122" i="5898"/>
  <c r="Y122" i="5898"/>
  <c r="X122" i="5898"/>
  <c r="W122" i="5898"/>
  <c r="V122" i="5898"/>
  <c r="U122" i="5898"/>
  <c r="T122" i="5898"/>
  <c r="S122" i="5898"/>
  <c r="R122" i="5898"/>
  <c r="Q122" i="5898"/>
  <c r="P122" i="5898"/>
  <c r="O122" i="5898"/>
  <c r="N122" i="5898"/>
  <c r="M122" i="5898"/>
  <c r="L122" i="5898"/>
  <c r="K122" i="5898"/>
  <c r="J122" i="5898"/>
  <c r="I122" i="5898"/>
  <c r="H122" i="5898"/>
  <c r="G122" i="5898"/>
  <c r="F122" i="5898"/>
  <c r="E122" i="5898"/>
  <c r="AR121" i="5898"/>
  <c r="AQ121" i="5898"/>
  <c r="AP121" i="5898"/>
  <c r="AO121" i="5898"/>
  <c r="AN121" i="5898"/>
  <c r="AM121" i="5898"/>
  <c r="AL121" i="5898"/>
  <c r="AK121" i="5898"/>
  <c r="AJ121" i="5898"/>
  <c r="AJ131" i="5898" s="1"/>
  <c r="AI121" i="5898"/>
  <c r="AI131" i="5898" s="1"/>
  <c r="AH121" i="5898"/>
  <c r="AG121" i="5898"/>
  <c r="AF121" i="5898"/>
  <c r="AE121" i="5898"/>
  <c r="AD121" i="5898"/>
  <c r="AC121" i="5898"/>
  <c r="AB121" i="5898"/>
  <c r="AA121" i="5898"/>
  <c r="Z121" i="5898"/>
  <c r="Y121" i="5898"/>
  <c r="X121" i="5898"/>
  <c r="X131" i="5898" s="1"/>
  <c r="W121" i="5898"/>
  <c r="W131" i="5898" s="1"/>
  <c r="V121" i="5898"/>
  <c r="U121" i="5898"/>
  <c r="T121" i="5898"/>
  <c r="S121" i="5898"/>
  <c r="R121" i="5898"/>
  <c r="Q121" i="5898"/>
  <c r="P121" i="5898"/>
  <c r="O121" i="5898"/>
  <c r="N121" i="5898"/>
  <c r="M121" i="5898"/>
  <c r="L121" i="5898"/>
  <c r="K121" i="5898"/>
  <c r="J121" i="5898"/>
  <c r="I121" i="5898"/>
  <c r="H121" i="5898"/>
  <c r="G121" i="5898"/>
  <c r="F121" i="5898"/>
  <c r="E121" i="5898"/>
  <c r="AR120" i="5898"/>
  <c r="AR131" i="5898" s="1"/>
  <c r="AQ120" i="5898"/>
  <c r="AQ131" i="5898" s="1"/>
  <c r="AP120" i="5898"/>
  <c r="AP131" i="5898" s="1"/>
  <c r="AO120" i="5898"/>
  <c r="AN120" i="5898"/>
  <c r="AM120" i="5898"/>
  <c r="AM131" i="5898" s="1"/>
  <c r="AL120" i="5898"/>
  <c r="AK120" i="5898"/>
  <c r="AJ120" i="5898"/>
  <c r="AI120" i="5898"/>
  <c r="AH120" i="5898"/>
  <c r="AG120" i="5898"/>
  <c r="AG131" i="5898" s="1"/>
  <c r="AF120" i="5898"/>
  <c r="AF131" i="5898" s="1"/>
  <c r="AE120" i="5898"/>
  <c r="AE131" i="5898" s="1"/>
  <c r="AD120" i="5898"/>
  <c r="AD131" i="5898" s="1"/>
  <c r="AC120" i="5898"/>
  <c r="AB120" i="5898"/>
  <c r="AA120" i="5898"/>
  <c r="AA131" i="5898" s="1"/>
  <c r="Z120" i="5898"/>
  <c r="Y120" i="5898"/>
  <c r="X120" i="5898"/>
  <c r="W120" i="5898"/>
  <c r="V120" i="5898"/>
  <c r="U120" i="5898"/>
  <c r="U131" i="5898" s="1"/>
  <c r="T120" i="5898"/>
  <c r="T131" i="5898" s="1"/>
  <c r="C118" i="5898"/>
  <c r="AR117" i="5898"/>
  <c r="AQ117" i="5898"/>
  <c r="AP117" i="5898"/>
  <c r="AO117" i="5898"/>
  <c r="AN117" i="5898"/>
  <c r="AM117" i="5898"/>
  <c r="AL117" i="5898"/>
  <c r="AK117" i="5898"/>
  <c r="AJ117" i="5898"/>
  <c r="AI117" i="5898"/>
  <c r="AH117" i="5898"/>
  <c r="AG117" i="5898"/>
  <c r="AF117" i="5898"/>
  <c r="AE117" i="5898"/>
  <c r="AD117" i="5898"/>
  <c r="AC117" i="5898"/>
  <c r="AB117" i="5898"/>
  <c r="AA117" i="5898"/>
  <c r="Z117" i="5898"/>
  <c r="Y117" i="5898"/>
  <c r="X117" i="5898"/>
  <c r="W117" i="5898"/>
  <c r="V117" i="5898"/>
  <c r="U117" i="5898"/>
  <c r="T117" i="5898"/>
  <c r="S117" i="5898"/>
  <c r="R117" i="5898"/>
  <c r="Q117" i="5898"/>
  <c r="P117" i="5898"/>
  <c r="O117" i="5898"/>
  <c r="N117" i="5898"/>
  <c r="M117" i="5898"/>
  <c r="L117" i="5898"/>
  <c r="K117" i="5898"/>
  <c r="J117" i="5898"/>
  <c r="I117" i="5898"/>
  <c r="H117" i="5898"/>
  <c r="G117" i="5898"/>
  <c r="F117" i="5898"/>
  <c r="E117" i="5898"/>
  <c r="AR116" i="5898"/>
  <c r="AQ116" i="5898"/>
  <c r="AP116" i="5898"/>
  <c r="AO116" i="5898"/>
  <c r="AN116" i="5898"/>
  <c r="AM116" i="5898"/>
  <c r="AL116" i="5898"/>
  <c r="AK116" i="5898"/>
  <c r="AJ116" i="5898"/>
  <c r="AI116" i="5898"/>
  <c r="AH116" i="5898"/>
  <c r="AG116" i="5898"/>
  <c r="AF116" i="5898"/>
  <c r="AE116" i="5898"/>
  <c r="AD116" i="5898"/>
  <c r="AC116" i="5898"/>
  <c r="AB116" i="5898"/>
  <c r="AA116" i="5898"/>
  <c r="Z116" i="5898"/>
  <c r="Y116" i="5898"/>
  <c r="X116" i="5898"/>
  <c r="W116" i="5898"/>
  <c r="V116" i="5898"/>
  <c r="U116" i="5898"/>
  <c r="T116" i="5898"/>
  <c r="S116" i="5898"/>
  <c r="R116" i="5898"/>
  <c r="Q116" i="5898"/>
  <c r="P116" i="5898"/>
  <c r="O116" i="5898"/>
  <c r="N116" i="5898"/>
  <c r="M116" i="5898"/>
  <c r="L116" i="5898"/>
  <c r="K116" i="5898"/>
  <c r="J116" i="5898"/>
  <c r="I116" i="5898"/>
  <c r="H116" i="5898"/>
  <c r="G116" i="5898"/>
  <c r="F116" i="5898"/>
  <c r="E116" i="5898"/>
  <c r="C116" i="5898"/>
  <c r="C115" i="5898"/>
  <c r="AR109" i="5898"/>
  <c r="AQ109" i="5898"/>
  <c r="AP109" i="5898"/>
  <c r="AO109" i="5898"/>
  <c r="AN109" i="5898"/>
  <c r="AM109" i="5898"/>
  <c r="AL109" i="5898"/>
  <c r="AK109" i="5898"/>
  <c r="AJ109" i="5898"/>
  <c r="AI109" i="5898"/>
  <c r="AH109" i="5898"/>
  <c r="AG109" i="5898"/>
  <c r="AF109" i="5898"/>
  <c r="AE109" i="5898"/>
  <c r="AD109" i="5898"/>
  <c r="AC109" i="5898"/>
  <c r="AB109" i="5898"/>
  <c r="AA109" i="5898"/>
  <c r="Z109" i="5898"/>
  <c r="Y109" i="5898"/>
  <c r="X109" i="5898"/>
  <c r="W109" i="5898"/>
  <c r="V109" i="5898"/>
  <c r="U109" i="5898"/>
  <c r="T109" i="5898"/>
  <c r="S109" i="5898"/>
  <c r="S108" i="5898" s="1"/>
  <c r="R109" i="5898"/>
  <c r="R108" i="5898" s="1"/>
  <c r="Q109" i="5898"/>
  <c r="Q108" i="5898" s="1"/>
  <c r="P109" i="5898"/>
  <c r="P108" i="5898" s="1"/>
  <c r="O109" i="5898"/>
  <c r="O108" i="5898" s="1"/>
  <c r="N109" i="5898"/>
  <c r="M109" i="5898"/>
  <c r="L109" i="5898"/>
  <c r="K109" i="5898"/>
  <c r="J109" i="5898"/>
  <c r="I109" i="5898"/>
  <c r="I108" i="5898" s="1"/>
  <c r="I124" i="5898" s="1"/>
  <c r="H109" i="5898"/>
  <c r="G109" i="5898"/>
  <c r="F109" i="5898"/>
  <c r="F108" i="5898" s="1"/>
  <c r="E109" i="5898"/>
  <c r="AR108" i="5898"/>
  <c r="AQ108" i="5898"/>
  <c r="AP108" i="5898"/>
  <c r="AO108" i="5898"/>
  <c r="AN108" i="5898"/>
  <c r="AM108" i="5898"/>
  <c r="AL108" i="5898"/>
  <c r="AK108" i="5898"/>
  <c r="AJ108" i="5898"/>
  <c r="AI108" i="5898"/>
  <c r="AH108" i="5898"/>
  <c r="AG108" i="5898"/>
  <c r="AG124" i="5898" s="1"/>
  <c r="AF108" i="5898"/>
  <c r="AE108" i="5898"/>
  <c r="AD108" i="5898"/>
  <c r="AC108" i="5898"/>
  <c r="AB108" i="5898"/>
  <c r="AA108" i="5898"/>
  <c r="Z108" i="5898"/>
  <c r="Y108" i="5898"/>
  <c r="X108" i="5898"/>
  <c r="W108" i="5898"/>
  <c r="V108" i="5898"/>
  <c r="U108" i="5898"/>
  <c r="U124" i="5898" s="1"/>
  <c r="T108" i="5898"/>
  <c r="N108" i="5898"/>
  <c r="M108" i="5898"/>
  <c r="L108" i="5898"/>
  <c r="K108" i="5898"/>
  <c r="H108" i="5898"/>
  <c r="D108" i="5898"/>
  <c r="AR107" i="5898"/>
  <c r="AQ107" i="5898"/>
  <c r="AP107" i="5898"/>
  <c r="AO107" i="5898"/>
  <c r="AN107" i="5898"/>
  <c r="AN125" i="5898" s="1"/>
  <c r="AM107" i="5898"/>
  <c r="AM125" i="5898" s="1"/>
  <c r="AL107" i="5898"/>
  <c r="AL125" i="5898" s="1"/>
  <c r="AK107" i="5898"/>
  <c r="AK125" i="5898" s="1"/>
  <c r="AJ107" i="5898"/>
  <c r="AJ125" i="5898" s="1"/>
  <c r="AI107" i="5898"/>
  <c r="AI125" i="5898" s="1"/>
  <c r="AH107" i="5898"/>
  <c r="AG107" i="5898"/>
  <c r="AF107" i="5898"/>
  <c r="AE107" i="5898"/>
  <c r="AD107" i="5898"/>
  <c r="AC107" i="5898"/>
  <c r="AB107" i="5898"/>
  <c r="AB125" i="5898" s="1"/>
  <c r="AA107" i="5898"/>
  <c r="AA125" i="5898" s="1"/>
  <c r="Z107" i="5898"/>
  <c r="Z125" i="5898" s="1"/>
  <c r="Y107" i="5898"/>
  <c r="Y125" i="5898" s="1"/>
  <c r="X107" i="5898"/>
  <c r="X125" i="5898" s="1"/>
  <c r="W107" i="5898"/>
  <c r="W125" i="5898" s="1"/>
  <c r="V107" i="5898"/>
  <c r="U107" i="5898"/>
  <c r="T107" i="5898"/>
  <c r="S107" i="5898"/>
  <c r="R107" i="5898"/>
  <c r="Q107" i="5898"/>
  <c r="P107" i="5898"/>
  <c r="P125" i="5898" s="1"/>
  <c r="O107" i="5898"/>
  <c r="O125" i="5898" s="1"/>
  <c r="N107" i="5898"/>
  <c r="N125" i="5898" s="1"/>
  <c r="M107" i="5898"/>
  <c r="M125" i="5898" s="1"/>
  <c r="L107" i="5898"/>
  <c r="L125" i="5898" s="1"/>
  <c r="K107" i="5898"/>
  <c r="K125" i="5898" s="1"/>
  <c r="J107" i="5898"/>
  <c r="I107" i="5898"/>
  <c r="H107" i="5898"/>
  <c r="G107" i="5898"/>
  <c r="F107" i="5898"/>
  <c r="D107" i="5898"/>
  <c r="G106" i="5898"/>
  <c r="H106" i="5898" s="1"/>
  <c r="I106" i="5898" s="1"/>
  <c r="J106" i="5898" s="1"/>
  <c r="K106" i="5898" s="1"/>
  <c r="L106" i="5898" s="1"/>
  <c r="M106" i="5898" s="1"/>
  <c r="N106" i="5898" s="1"/>
  <c r="O106" i="5898" s="1"/>
  <c r="P106" i="5898" s="1"/>
  <c r="Q106" i="5898" s="1"/>
  <c r="R106" i="5898" s="1"/>
  <c r="S106" i="5898" s="1"/>
  <c r="T106" i="5898" s="1"/>
  <c r="U106" i="5898" s="1"/>
  <c r="V106" i="5898" s="1"/>
  <c r="W106" i="5898" s="1"/>
  <c r="X106" i="5898" s="1"/>
  <c r="Y106" i="5898" s="1"/>
  <c r="Z106" i="5898" s="1"/>
  <c r="AA106" i="5898" s="1"/>
  <c r="AB106" i="5898" s="1"/>
  <c r="AC106" i="5898" s="1"/>
  <c r="AD106" i="5898" s="1"/>
  <c r="AE106" i="5898" s="1"/>
  <c r="AF106" i="5898" s="1"/>
  <c r="AG106" i="5898" s="1"/>
  <c r="AH106" i="5898" s="1"/>
  <c r="AI106" i="5898" s="1"/>
  <c r="AJ106" i="5898" s="1"/>
  <c r="AK106" i="5898" s="1"/>
  <c r="AL106" i="5898" s="1"/>
  <c r="AM106" i="5898" s="1"/>
  <c r="AN106" i="5898" s="1"/>
  <c r="AO106" i="5898" s="1"/>
  <c r="AP106" i="5898" s="1"/>
  <c r="AQ106" i="5898" s="1"/>
  <c r="AR106" i="5898" s="1"/>
  <c r="F106" i="5898"/>
  <c r="E106" i="5898"/>
  <c r="E102" i="5898"/>
  <c r="C92" i="5898"/>
  <c r="D85" i="5898"/>
  <c r="D84" i="5898"/>
  <c r="D70" i="5898"/>
  <c r="D65" i="5898"/>
  <c r="D64" i="5898"/>
  <c r="D63" i="5898"/>
  <c r="C60" i="5898"/>
  <c r="D59" i="5898"/>
  <c r="C58" i="5898"/>
  <c r="D57" i="5898"/>
  <c r="C56" i="5898"/>
  <c r="D55" i="5898"/>
  <c r="C53" i="5898"/>
  <c r="D49" i="5898"/>
  <c r="C49" i="5898"/>
  <c r="D48" i="5898"/>
  <c r="E47" i="5898"/>
  <c r="D47" i="5898"/>
  <c r="E46" i="5898"/>
  <c r="D46" i="5898"/>
  <c r="E45" i="5898"/>
  <c r="D45" i="5898"/>
  <c r="C44" i="5898"/>
  <c r="D42" i="5898"/>
  <c r="C41" i="5898"/>
  <c r="C152" i="5898" s="1"/>
  <c r="C158" i="5898" s="1"/>
  <c r="D40" i="5898"/>
  <c r="D39" i="5898"/>
  <c r="C35" i="5898"/>
  <c r="C33" i="5898"/>
  <c r="D28" i="5898"/>
  <c r="C27" i="5898"/>
  <c r="C25" i="5898"/>
  <c r="E16" i="5898"/>
  <c r="D16" i="5898"/>
  <c r="E15" i="5898"/>
  <c r="D15" i="5898"/>
  <c r="E13" i="5898"/>
  <c r="D13" i="5898"/>
  <c r="E12" i="5898"/>
  <c r="D12" i="5898"/>
  <c r="C8" i="5898"/>
  <c r="D26" i="5898" s="1"/>
  <c r="D5" i="5898"/>
  <c r="A1" i="5898"/>
  <c r="D179" i="5897"/>
  <c r="C179" i="5897"/>
  <c r="D178" i="5897"/>
  <c r="C178" i="5897"/>
  <c r="D177" i="5897"/>
  <c r="C177" i="5897"/>
  <c r="B177" i="5897"/>
  <c r="D176" i="5897"/>
  <c r="C176" i="5897"/>
  <c r="B176" i="5897"/>
  <c r="D175" i="5897"/>
  <c r="C175" i="5897"/>
  <c r="B175" i="5897"/>
  <c r="D174" i="5897"/>
  <c r="C174" i="5897"/>
  <c r="B174" i="5897"/>
  <c r="D173" i="5897"/>
  <c r="C173" i="5897"/>
  <c r="B173" i="5897"/>
  <c r="D172" i="5897"/>
  <c r="C172" i="5897"/>
  <c r="B172" i="5897"/>
  <c r="D171" i="5897"/>
  <c r="C171" i="5897"/>
  <c r="D170" i="5897"/>
  <c r="C170" i="5897"/>
  <c r="C169" i="5897" s="1"/>
  <c r="D169" i="5897"/>
  <c r="D168" i="5897"/>
  <c r="C168" i="5897"/>
  <c r="D167" i="5897"/>
  <c r="C167" i="5897"/>
  <c r="D166" i="5897"/>
  <c r="C166" i="5897"/>
  <c r="D165" i="5897"/>
  <c r="C165" i="5897"/>
  <c r="D164" i="5897"/>
  <c r="C164" i="5897"/>
  <c r="C158" i="5897"/>
  <c r="D144" i="5897" s="1"/>
  <c r="C157" i="5897"/>
  <c r="C154" i="5897"/>
  <c r="D151" i="5897"/>
  <c r="AR147" i="5897"/>
  <c r="AQ147" i="5897"/>
  <c r="AP147" i="5897"/>
  <c r="AO147" i="5897"/>
  <c r="AN147" i="5897"/>
  <c r="AM147" i="5897"/>
  <c r="AL147" i="5897"/>
  <c r="AK147" i="5897"/>
  <c r="AJ147" i="5897"/>
  <c r="AI147" i="5897"/>
  <c r="AH147" i="5897"/>
  <c r="AG147" i="5897"/>
  <c r="AF147" i="5897"/>
  <c r="AE147" i="5897"/>
  <c r="AD147" i="5897"/>
  <c r="AC147" i="5897"/>
  <c r="AB147" i="5897"/>
  <c r="AA147" i="5897"/>
  <c r="Z147" i="5897"/>
  <c r="Y147" i="5897"/>
  <c r="X147" i="5897"/>
  <c r="W147" i="5897"/>
  <c r="V147" i="5897"/>
  <c r="U147" i="5897"/>
  <c r="T147" i="5897"/>
  <c r="AR145" i="5897"/>
  <c r="AQ145" i="5897"/>
  <c r="AP145" i="5897"/>
  <c r="AO145" i="5897"/>
  <c r="AN145" i="5897"/>
  <c r="AM145" i="5897"/>
  <c r="AL145" i="5897"/>
  <c r="AK145" i="5897"/>
  <c r="AJ145" i="5897"/>
  <c r="AI145" i="5897"/>
  <c r="AH145" i="5897"/>
  <c r="AG145" i="5897"/>
  <c r="AF145" i="5897"/>
  <c r="AE145" i="5897"/>
  <c r="AD145" i="5897"/>
  <c r="AC145" i="5897"/>
  <c r="AB145" i="5897"/>
  <c r="AA145" i="5897"/>
  <c r="Z145" i="5897"/>
  <c r="Y145" i="5897"/>
  <c r="X145" i="5897"/>
  <c r="W145" i="5897"/>
  <c r="V145" i="5897"/>
  <c r="U145" i="5897"/>
  <c r="T145" i="5897"/>
  <c r="C145" i="5897"/>
  <c r="AP137" i="5897"/>
  <c r="AJ137" i="5897"/>
  <c r="AI137" i="5897"/>
  <c r="AD137" i="5897"/>
  <c r="AC137" i="5897"/>
  <c r="X137" i="5897"/>
  <c r="W137" i="5897"/>
  <c r="V137" i="5897"/>
  <c r="U137" i="5897"/>
  <c r="AR136" i="5897"/>
  <c r="AQ136" i="5897"/>
  <c r="AP136" i="5897"/>
  <c r="AO136" i="5897"/>
  <c r="AN136" i="5897"/>
  <c r="AM136" i="5897"/>
  <c r="AL136" i="5897"/>
  <c r="AK136" i="5897"/>
  <c r="AJ136" i="5897"/>
  <c r="AI136" i="5897"/>
  <c r="AH136" i="5897"/>
  <c r="AH137" i="5897" s="1"/>
  <c r="AG136" i="5897"/>
  <c r="AG137" i="5897" s="1"/>
  <c r="AF136" i="5897"/>
  <c r="AE136" i="5897"/>
  <c r="AD136" i="5897"/>
  <c r="AC136" i="5897"/>
  <c r="AB136" i="5897"/>
  <c r="AA136" i="5897"/>
  <c r="Z136" i="5897"/>
  <c r="Y136" i="5897"/>
  <c r="X136" i="5897"/>
  <c r="W136" i="5897"/>
  <c r="V136" i="5897"/>
  <c r="U136" i="5897"/>
  <c r="T136" i="5897"/>
  <c r="M136" i="5897"/>
  <c r="J136" i="5897"/>
  <c r="I136" i="5897"/>
  <c r="AR135" i="5897"/>
  <c r="AR137" i="5897" s="1"/>
  <c r="AQ135" i="5897"/>
  <c r="AQ137" i="5897" s="1"/>
  <c r="AP135" i="5897"/>
  <c r="AO135" i="5897"/>
  <c r="AO137" i="5897" s="1"/>
  <c r="AN135" i="5897"/>
  <c r="AN137" i="5897" s="1"/>
  <c r="AM135" i="5897"/>
  <c r="AM137" i="5897" s="1"/>
  <c r="AL135" i="5897"/>
  <c r="AL137" i="5897" s="1"/>
  <c r="AK135" i="5897"/>
  <c r="AJ135" i="5897"/>
  <c r="AI135" i="5897"/>
  <c r="AH135" i="5897"/>
  <c r="AG135" i="5897"/>
  <c r="AF135" i="5897"/>
  <c r="AF137" i="5897" s="1"/>
  <c r="AE135" i="5897"/>
  <c r="AE137" i="5897" s="1"/>
  <c r="AD135" i="5897"/>
  <c r="AC135" i="5897"/>
  <c r="AB135" i="5897"/>
  <c r="AB137" i="5897" s="1"/>
  <c r="AA135" i="5897"/>
  <c r="AA137" i="5897" s="1"/>
  <c r="Z135" i="5897"/>
  <c r="Z137" i="5897" s="1"/>
  <c r="Y135" i="5897"/>
  <c r="X135" i="5897"/>
  <c r="W135" i="5897"/>
  <c r="V135" i="5897"/>
  <c r="U135" i="5897"/>
  <c r="T135" i="5897"/>
  <c r="T137" i="5897" s="1"/>
  <c r="M135" i="5897"/>
  <c r="M137" i="5897" s="1"/>
  <c r="AR134" i="5897"/>
  <c r="AQ134" i="5897"/>
  <c r="AP134" i="5897"/>
  <c r="AO134" i="5897"/>
  <c r="AN134" i="5897"/>
  <c r="AM134" i="5897"/>
  <c r="AL134" i="5897"/>
  <c r="AK134" i="5897"/>
  <c r="AJ134" i="5897"/>
  <c r="AI134" i="5897"/>
  <c r="AH134" i="5897"/>
  <c r="AG134" i="5897"/>
  <c r="AF134" i="5897"/>
  <c r="AE134" i="5897"/>
  <c r="AD134" i="5897"/>
  <c r="AC134" i="5897"/>
  <c r="AB134" i="5897"/>
  <c r="AA134" i="5897"/>
  <c r="Z134" i="5897"/>
  <c r="Y134" i="5897"/>
  <c r="X134" i="5897"/>
  <c r="W134" i="5897"/>
  <c r="V134" i="5897"/>
  <c r="U134" i="5897"/>
  <c r="T134" i="5897"/>
  <c r="R134" i="5897"/>
  <c r="Q134" i="5897"/>
  <c r="J134" i="5897"/>
  <c r="I134" i="5897"/>
  <c r="F134" i="5897"/>
  <c r="E134" i="5897"/>
  <c r="AP131" i="5897"/>
  <c r="AO131" i="5897"/>
  <c r="AL131" i="5897"/>
  <c r="AD131" i="5897"/>
  <c r="AC131" i="5897"/>
  <c r="Z131" i="5897"/>
  <c r="Y131" i="5897"/>
  <c r="AM125" i="5897"/>
  <c r="AL125" i="5897"/>
  <c r="AK125" i="5897"/>
  <c r="AJ125" i="5897"/>
  <c r="AI125" i="5897"/>
  <c r="AG125" i="5897"/>
  <c r="AB125" i="5897"/>
  <c r="AA125" i="5897"/>
  <c r="Y125" i="5897"/>
  <c r="X125" i="5897"/>
  <c r="W125" i="5897"/>
  <c r="V125" i="5897"/>
  <c r="U125" i="5897"/>
  <c r="M125" i="5897"/>
  <c r="L125" i="5897"/>
  <c r="K125" i="5897"/>
  <c r="J125" i="5897"/>
  <c r="I125" i="5897"/>
  <c r="E125" i="5897"/>
  <c r="C125" i="5897"/>
  <c r="AR124" i="5897"/>
  <c r="AQ124" i="5897"/>
  <c r="AP124" i="5897"/>
  <c r="AG124" i="5897"/>
  <c r="AF124" i="5897"/>
  <c r="AE124" i="5897"/>
  <c r="AD124" i="5897"/>
  <c r="U124" i="5897"/>
  <c r="T124" i="5897"/>
  <c r="S124" i="5897"/>
  <c r="G124" i="5897"/>
  <c r="F124" i="5897"/>
  <c r="E124" i="5897"/>
  <c r="C124" i="5897"/>
  <c r="AR123" i="5897"/>
  <c r="AQ123" i="5897"/>
  <c r="AP123" i="5897"/>
  <c r="AO123" i="5897"/>
  <c r="AN123" i="5897"/>
  <c r="AM123" i="5897"/>
  <c r="AL123" i="5897"/>
  <c r="AK123" i="5897"/>
  <c r="AJ123" i="5897"/>
  <c r="AI123" i="5897"/>
  <c r="AH123" i="5897"/>
  <c r="AG123" i="5897"/>
  <c r="AF123" i="5897"/>
  <c r="AE123" i="5897"/>
  <c r="AD123" i="5897"/>
  <c r="AC123" i="5897"/>
  <c r="AB123" i="5897"/>
  <c r="AA123" i="5897"/>
  <c r="Z123" i="5897"/>
  <c r="Y123" i="5897"/>
  <c r="X123" i="5897"/>
  <c r="W123" i="5897"/>
  <c r="V123" i="5897"/>
  <c r="U123" i="5897"/>
  <c r="T123" i="5897"/>
  <c r="S123" i="5897"/>
  <c r="R123" i="5897"/>
  <c r="Q123" i="5897"/>
  <c r="P123" i="5897"/>
  <c r="O123" i="5897"/>
  <c r="N123" i="5897"/>
  <c r="M123" i="5897"/>
  <c r="L123" i="5897"/>
  <c r="K123" i="5897"/>
  <c r="J123" i="5897"/>
  <c r="I123" i="5897"/>
  <c r="H123" i="5897"/>
  <c r="G123" i="5897"/>
  <c r="F123" i="5897"/>
  <c r="E123" i="5897"/>
  <c r="AR122" i="5897"/>
  <c r="AQ122" i="5897"/>
  <c r="AP122" i="5897"/>
  <c r="AO122" i="5897"/>
  <c r="AN122" i="5897"/>
  <c r="AM122" i="5897"/>
  <c r="AL122" i="5897"/>
  <c r="AK122" i="5897"/>
  <c r="AJ122" i="5897"/>
  <c r="AI122" i="5897"/>
  <c r="AH122" i="5897"/>
  <c r="AG122" i="5897"/>
  <c r="AF122" i="5897"/>
  <c r="AE122" i="5897"/>
  <c r="AD122" i="5897"/>
  <c r="AC122" i="5897"/>
  <c r="AB122" i="5897"/>
  <c r="AA122" i="5897"/>
  <c r="Z122" i="5897"/>
  <c r="Y122" i="5897"/>
  <c r="X122" i="5897"/>
  <c r="W122" i="5897"/>
  <c r="V122" i="5897"/>
  <c r="U122" i="5897"/>
  <c r="T122" i="5897"/>
  <c r="S122" i="5897"/>
  <c r="R122" i="5897"/>
  <c r="Q122" i="5897"/>
  <c r="P122" i="5897"/>
  <c r="O122" i="5897"/>
  <c r="N122" i="5897"/>
  <c r="M122" i="5897"/>
  <c r="L122" i="5897"/>
  <c r="K122" i="5897"/>
  <c r="J122" i="5897"/>
  <c r="I122" i="5897"/>
  <c r="H122" i="5897"/>
  <c r="G122" i="5897"/>
  <c r="F122" i="5897"/>
  <c r="E122" i="5897"/>
  <c r="AR121" i="5897"/>
  <c r="AQ121" i="5897"/>
  <c r="AP121" i="5897"/>
  <c r="AO121" i="5897"/>
  <c r="AN121" i="5897"/>
  <c r="AN131" i="5897" s="1"/>
  <c r="AM121" i="5897"/>
  <c r="AM131" i="5897" s="1"/>
  <c r="AL121" i="5897"/>
  <c r="AK121" i="5897"/>
  <c r="AJ121" i="5897"/>
  <c r="AI121" i="5897"/>
  <c r="AH121" i="5897"/>
  <c r="AG121" i="5897"/>
  <c r="AF121" i="5897"/>
  <c r="AE121" i="5897"/>
  <c r="AE131" i="5897" s="1"/>
  <c r="AD121" i="5897"/>
  <c r="AC121" i="5897"/>
  <c r="AB121" i="5897"/>
  <c r="AB131" i="5897" s="1"/>
  <c r="AA121" i="5897"/>
  <c r="AA131" i="5897" s="1"/>
  <c r="Z121" i="5897"/>
  <c r="Y121" i="5897"/>
  <c r="X121" i="5897"/>
  <c r="W121" i="5897"/>
  <c r="V121" i="5897"/>
  <c r="U121" i="5897"/>
  <c r="T121" i="5897"/>
  <c r="S121" i="5897"/>
  <c r="R121" i="5897"/>
  <c r="Q121" i="5897"/>
  <c r="P121" i="5897"/>
  <c r="O121" i="5897"/>
  <c r="N121" i="5897"/>
  <c r="M121" i="5897"/>
  <c r="L121" i="5897"/>
  <c r="K121" i="5897"/>
  <c r="J121" i="5897"/>
  <c r="I121" i="5897"/>
  <c r="H121" i="5897"/>
  <c r="G121" i="5897"/>
  <c r="F121" i="5897"/>
  <c r="E121" i="5897"/>
  <c r="AR120" i="5897"/>
  <c r="AQ120" i="5897"/>
  <c r="AQ131" i="5897" s="1"/>
  <c r="AP120" i="5897"/>
  <c r="AO120" i="5897"/>
  <c r="AN120" i="5897"/>
  <c r="AM120" i="5897"/>
  <c r="AL120" i="5897"/>
  <c r="AK120" i="5897"/>
  <c r="AK131" i="5897" s="1"/>
  <c r="AJ120" i="5897"/>
  <c r="AJ131" i="5897" s="1"/>
  <c r="AI120" i="5897"/>
  <c r="AI131" i="5897" s="1"/>
  <c r="AH120" i="5897"/>
  <c r="AH131" i="5897" s="1"/>
  <c r="AG120" i="5897"/>
  <c r="AG131" i="5897" s="1"/>
  <c r="AF120" i="5897"/>
  <c r="AE120" i="5897"/>
  <c r="AD120" i="5897"/>
  <c r="AC120" i="5897"/>
  <c r="AB120" i="5897"/>
  <c r="AA120" i="5897"/>
  <c r="Z120" i="5897"/>
  <c r="Y120" i="5897"/>
  <c r="X120" i="5897"/>
  <c r="X131" i="5897" s="1"/>
  <c r="W120" i="5897"/>
  <c r="W131" i="5897" s="1"/>
  <c r="V120" i="5897"/>
  <c r="V131" i="5897" s="1"/>
  <c r="U120" i="5897"/>
  <c r="U131" i="5897" s="1"/>
  <c r="T120" i="5897"/>
  <c r="C118" i="5897"/>
  <c r="AR117" i="5897"/>
  <c r="AQ117" i="5897"/>
  <c r="AP117" i="5897"/>
  <c r="AO117" i="5897"/>
  <c r="AN117" i="5897"/>
  <c r="AM117" i="5897"/>
  <c r="AL117" i="5897"/>
  <c r="AK117" i="5897"/>
  <c r="AJ117" i="5897"/>
  <c r="AI117" i="5897"/>
  <c r="AH117" i="5897"/>
  <c r="AG117" i="5897"/>
  <c r="AF117" i="5897"/>
  <c r="AE117" i="5897"/>
  <c r="AD117" i="5897"/>
  <c r="AC117" i="5897"/>
  <c r="AB117" i="5897"/>
  <c r="AA117" i="5897"/>
  <c r="Z117" i="5897"/>
  <c r="Y117" i="5897"/>
  <c r="X117" i="5897"/>
  <c r="W117" i="5897"/>
  <c r="V117" i="5897"/>
  <c r="U117" i="5897"/>
  <c r="T117" i="5897"/>
  <c r="S117" i="5897"/>
  <c r="R117" i="5897"/>
  <c r="Q117" i="5897"/>
  <c r="P117" i="5897"/>
  <c r="O117" i="5897"/>
  <c r="N117" i="5897"/>
  <c r="M117" i="5897"/>
  <c r="L117" i="5897"/>
  <c r="K117" i="5897"/>
  <c r="J117" i="5897"/>
  <c r="I117" i="5897"/>
  <c r="H117" i="5897"/>
  <c r="G117" i="5897"/>
  <c r="F117" i="5897"/>
  <c r="E117" i="5897"/>
  <c r="AR116" i="5897"/>
  <c r="AQ116" i="5897"/>
  <c r="AP116" i="5897"/>
  <c r="AO116" i="5897"/>
  <c r="AN116" i="5897"/>
  <c r="AM116" i="5897"/>
  <c r="AL116" i="5897"/>
  <c r="AK116" i="5897"/>
  <c r="AJ116" i="5897"/>
  <c r="AI116" i="5897"/>
  <c r="AH116" i="5897"/>
  <c r="AG116" i="5897"/>
  <c r="AF116" i="5897"/>
  <c r="AE116" i="5897"/>
  <c r="AD116" i="5897"/>
  <c r="AC116" i="5897"/>
  <c r="AB116" i="5897"/>
  <c r="AA116" i="5897"/>
  <c r="Z116" i="5897"/>
  <c r="Y116" i="5897"/>
  <c r="X116" i="5897"/>
  <c r="W116" i="5897"/>
  <c r="V116" i="5897"/>
  <c r="U116" i="5897"/>
  <c r="T116" i="5897"/>
  <c r="S116" i="5897"/>
  <c r="R116" i="5897"/>
  <c r="Q116" i="5897"/>
  <c r="P116" i="5897"/>
  <c r="O116" i="5897"/>
  <c r="N116" i="5897"/>
  <c r="M116" i="5897"/>
  <c r="L116" i="5897"/>
  <c r="K116" i="5897"/>
  <c r="J116" i="5897"/>
  <c r="I116" i="5897"/>
  <c r="H116" i="5897"/>
  <c r="G116" i="5897"/>
  <c r="F116" i="5897"/>
  <c r="E116" i="5897"/>
  <c r="C116" i="5897"/>
  <c r="C115" i="5897"/>
  <c r="AR109" i="5897"/>
  <c r="AQ109" i="5897"/>
  <c r="AP109" i="5897"/>
  <c r="AO109" i="5897"/>
  <c r="AN109" i="5897"/>
  <c r="AM109" i="5897"/>
  <c r="AL109" i="5897"/>
  <c r="AK109" i="5897"/>
  <c r="AJ109" i="5897"/>
  <c r="AI109" i="5897"/>
  <c r="AH109" i="5897"/>
  <c r="AG109" i="5897"/>
  <c r="AF109" i="5897"/>
  <c r="AE109" i="5897"/>
  <c r="AD109" i="5897"/>
  <c r="AC109" i="5897"/>
  <c r="AB109" i="5897"/>
  <c r="AA109" i="5897"/>
  <c r="Z109" i="5897"/>
  <c r="Y109" i="5897"/>
  <c r="X109" i="5897"/>
  <c r="W109" i="5897"/>
  <c r="V109" i="5897"/>
  <c r="U109" i="5897"/>
  <c r="T109" i="5897"/>
  <c r="S109" i="5897"/>
  <c r="S108" i="5897" s="1"/>
  <c r="R109" i="5897"/>
  <c r="Q109" i="5897"/>
  <c r="P109" i="5897"/>
  <c r="O109" i="5897"/>
  <c r="N109" i="5897"/>
  <c r="M109" i="5897"/>
  <c r="M108" i="5897" s="1"/>
  <c r="M124" i="5897" s="1"/>
  <c r="L109" i="5897"/>
  <c r="K109" i="5897"/>
  <c r="J109" i="5897"/>
  <c r="I109" i="5897"/>
  <c r="I108" i="5897" s="1"/>
  <c r="H109" i="5897"/>
  <c r="H108" i="5897" s="1"/>
  <c r="G109" i="5897"/>
  <c r="G108" i="5897" s="1"/>
  <c r="F109" i="5897"/>
  <c r="E109" i="5897"/>
  <c r="AR108" i="5897"/>
  <c r="AQ108" i="5897"/>
  <c r="AP108" i="5897"/>
  <c r="AO108" i="5897"/>
  <c r="AO124" i="5897" s="1"/>
  <c r="AN108" i="5897"/>
  <c r="AM108" i="5897"/>
  <c r="AL108" i="5897"/>
  <c r="AK108" i="5897"/>
  <c r="AK124" i="5897" s="1"/>
  <c r="AJ108" i="5897"/>
  <c r="AI108" i="5897"/>
  <c r="AH108" i="5897"/>
  <c r="AG108" i="5897"/>
  <c r="AF108" i="5897"/>
  <c r="AE108" i="5897"/>
  <c r="AD108" i="5897"/>
  <c r="AC108" i="5897"/>
  <c r="AC124" i="5897" s="1"/>
  <c r="AB108" i="5897"/>
  <c r="AA108" i="5897"/>
  <c r="AA124" i="5897" s="1"/>
  <c r="Z108" i="5897"/>
  <c r="Y108" i="5897"/>
  <c r="Y124" i="5897" s="1"/>
  <c r="X108" i="5897"/>
  <c r="W108" i="5897"/>
  <c r="V108" i="5897"/>
  <c r="U108" i="5897"/>
  <c r="T108" i="5897"/>
  <c r="R108" i="5897"/>
  <c r="R124" i="5897" s="1"/>
  <c r="Q108" i="5897"/>
  <c r="Q124" i="5897" s="1"/>
  <c r="P108" i="5897"/>
  <c r="O108" i="5897"/>
  <c r="N108" i="5897"/>
  <c r="N124" i="5897" s="1"/>
  <c r="L108" i="5897"/>
  <c r="K108" i="5897"/>
  <c r="F108" i="5897"/>
  <c r="D108" i="5897"/>
  <c r="AR107" i="5897"/>
  <c r="AR125" i="5897" s="1"/>
  <c r="AQ107" i="5897"/>
  <c r="AQ125" i="5897" s="1"/>
  <c r="AP107" i="5897"/>
  <c r="AP125" i="5897" s="1"/>
  <c r="AO107" i="5897"/>
  <c r="AO125" i="5897" s="1"/>
  <c r="AN107" i="5897"/>
  <c r="AN125" i="5897" s="1"/>
  <c r="AM107" i="5897"/>
  <c r="AL107" i="5897"/>
  <c r="AK107" i="5897"/>
  <c r="AJ107" i="5897"/>
  <c r="AI107" i="5897"/>
  <c r="AH107" i="5897"/>
  <c r="AH125" i="5897" s="1"/>
  <c r="AG107" i="5897"/>
  <c r="AF107" i="5897"/>
  <c r="AF125" i="5897" s="1"/>
  <c r="AE107" i="5897"/>
  <c r="AE125" i="5897" s="1"/>
  <c r="AD107" i="5897"/>
  <c r="AD125" i="5897" s="1"/>
  <c r="AC107" i="5897"/>
  <c r="AC125" i="5897" s="1"/>
  <c r="AB107" i="5897"/>
  <c r="AA107" i="5897"/>
  <c r="Z107" i="5897"/>
  <c r="Z125" i="5897" s="1"/>
  <c r="Y107" i="5897"/>
  <c r="X107" i="5897"/>
  <c r="W107" i="5897"/>
  <c r="V107" i="5897"/>
  <c r="U107" i="5897"/>
  <c r="T107" i="5897"/>
  <c r="T125" i="5897" s="1"/>
  <c r="S107" i="5897"/>
  <c r="S125" i="5897" s="1"/>
  <c r="R107" i="5897"/>
  <c r="R125" i="5897" s="1"/>
  <c r="Q107" i="5897"/>
  <c r="Q125" i="5897" s="1"/>
  <c r="P107" i="5897"/>
  <c r="P125" i="5897" s="1"/>
  <c r="O107" i="5897"/>
  <c r="O125" i="5897" s="1"/>
  <c r="N107" i="5897"/>
  <c r="N125" i="5897" s="1"/>
  <c r="M107" i="5897"/>
  <c r="L107" i="5897"/>
  <c r="K107" i="5897"/>
  <c r="J107" i="5897"/>
  <c r="I107" i="5897"/>
  <c r="H107" i="5897"/>
  <c r="H125" i="5897" s="1"/>
  <c r="G107" i="5897"/>
  <c r="G125" i="5897" s="1"/>
  <c r="F107" i="5897"/>
  <c r="F125" i="5897" s="1"/>
  <c r="D107" i="5897"/>
  <c r="F106" i="5897"/>
  <c r="G106" i="5897" s="1"/>
  <c r="H106" i="5897" s="1"/>
  <c r="I106" i="5897" s="1"/>
  <c r="J106" i="5897" s="1"/>
  <c r="K106" i="5897" s="1"/>
  <c r="L106" i="5897" s="1"/>
  <c r="M106" i="5897" s="1"/>
  <c r="N106" i="5897" s="1"/>
  <c r="O106" i="5897" s="1"/>
  <c r="P106" i="5897" s="1"/>
  <c r="Q106" i="5897" s="1"/>
  <c r="R106" i="5897" s="1"/>
  <c r="S106" i="5897" s="1"/>
  <c r="T106" i="5897" s="1"/>
  <c r="U106" i="5897" s="1"/>
  <c r="V106" i="5897" s="1"/>
  <c r="W106" i="5897" s="1"/>
  <c r="X106" i="5897" s="1"/>
  <c r="Y106" i="5897" s="1"/>
  <c r="Z106" i="5897" s="1"/>
  <c r="AA106" i="5897" s="1"/>
  <c r="AB106" i="5897" s="1"/>
  <c r="AC106" i="5897" s="1"/>
  <c r="AD106" i="5897" s="1"/>
  <c r="AE106" i="5897" s="1"/>
  <c r="AF106" i="5897" s="1"/>
  <c r="AG106" i="5897" s="1"/>
  <c r="AH106" i="5897" s="1"/>
  <c r="AI106" i="5897" s="1"/>
  <c r="AJ106" i="5897" s="1"/>
  <c r="AK106" i="5897" s="1"/>
  <c r="AL106" i="5897" s="1"/>
  <c r="AM106" i="5897" s="1"/>
  <c r="AN106" i="5897" s="1"/>
  <c r="AO106" i="5897" s="1"/>
  <c r="AP106" i="5897" s="1"/>
  <c r="AQ106" i="5897" s="1"/>
  <c r="AR106" i="5897" s="1"/>
  <c r="E106" i="5897"/>
  <c r="E102" i="5897"/>
  <c r="C92" i="5897"/>
  <c r="D85" i="5897"/>
  <c r="D84" i="5897"/>
  <c r="D70" i="5897"/>
  <c r="D65" i="5897"/>
  <c r="D64" i="5897"/>
  <c r="D63" i="5897"/>
  <c r="C60" i="5897"/>
  <c r="D59" i="5897"/>
  <c r="C58" i="5897"/>
  <c r="D57" i="5897"/>
  <c r="C56" i="5897"/>
  <c r="D55" i="5897"/>
  <c r="C53" i="5897"/>
  <c r="D49" i="5897"/>
  <c r="C49" i="5897"/>
  <c r="D48" i="5897"/>
  <c r="E47" i="5897"/>
  <c r="D47" i="5897"/>
  <c r="E46" i="5897"/>
  <c r="D46" i="5897"/>
  <c r="E45" i="5897"/>
  <c r="D45" i="5897"/>
  <c r="C44" i="5897"/>
  <c r="D43" i="5897"/>
  <c r="C41" i="5897"/>
  <c r="C152" i="5897" s="1"/>
  <c r="C35" i="5897"/>
  <c r="C33" i="5897"/>
  <c r="C27" i="5897"/>
  <c r="C25" i="5897"/>
  <c r="E16" i="5897"/>
  <c r="D16" i="5897"/>
  <c r="E15" i="5897"/>
  <c r="D15" i="5897"/>
  <c r="E13" i="5897"/>
  <c r="D13" i="5897"/>
  <c r="E12" i="5897"/>
  <c r="D12" i="5897"/>
  <c r="C8" i="5897"/>
  <c r="D28" i="5897" s="1"/>
  <c r="D5" i="5897"/>
  <c r="A1" i="5897"/>
  <c r="A32" i="65"/>
  <c r="A21" i="65"/>
  <c r="A22" i="65" s="1"/>
  <c r="A23" i="65" s="1"/>
  <c r="A24" i="65" s="1"/>
  <c r="A25" i="65" s="1"/>
  <c r="A26" i="65" s="1"/>
  <c r="A27" i="65" s="1"/>
  <c r="A28" i="65" s="1"/>
  <c r="A29" i="65" s="1"/>
  <c r="A20" i="65"/>
  <c r="A19" i="65"/>
  <c r="A10" i="65"/>
  <c r="A11" i="65"/>
  <c r="A12" i="65"/>
  <c r="A13" i="65" s="1"/>
  <c r="A14" i="65" s="1"/>
  <c r="A15" i="65" s="1"/>
  <c r="A16" i="65" s="1"/>
  <c r="A9" i="65"/>
  <c r="E97" i="5850"/>
  <c r="E96" i="5850"/>
  <c r="I93" i="5850"/>
  <c r="E93" i="5850"/>
  <c r="I92" i="5850"/>
  <c r="E92" i="5850"/>
  <c r="E91" i="5850"/>
  <c r="E90" i="5850"/>
  <c r="E89" i="5850"/>
  <c r="E88" i="5850"/>
  <c r="E86" i="5850"/>
  <c r="I85" i="5850"/>
  <c r="E85" i="5850"/>
  <c r="I83" i="5850"/>
  <c r="I82" i="5850"/>
  <c r="I81" i="5850"/>
  <c r="E81" i="5850"/>
  <c r="I80" i="5850"/>
  <c r="E80" i="5850"/>
  <c r="I79" i="5850"/>
  <c r="E79" i="5850"/>
  <c r="I78" i="5850"/>
  <c r="E78" i="5850"/>
  <c r="I77" i="5850"/>
  <c r="E77" i="5850"/>
  <c r="I76" i="5850"/>
  <c r="E76" i="5850"/>
  <c r="I75" i="5850"/>
  <c r="E75" i="5850"/>
  <c r="F53" i="5850"/>
  <c r="D53" i="5850"/>
  <c r="F46" i="5850"/>
  <c r="D46" i="5850"/>
  <c r="F39" i="5850"/>
  <c r="D39" i="5850"/>
  <c r="H1" i="5850"/>
  <c r="F1" i="5850"/>
  <c r="D1" i="5850"/>
  <c r="H109" i="5850"/>
  <c r="F68" i="5850" s="1"/>
  <c r="H108" i="5850"/>
  <c r="F63" i="5850" s="1"/>
  <c r="H106" i="5850"/>
  <c r="H105" i="5850"/>
  <c r="F67" i="5850" s="1"/>
  <c r="H104" i="5850"/>
  <c r="H103" i="5850"/>
  <c r="F64" i="5850" s="1"/>
  <c r="H102" i="5850"/>
  <c r="D102" i="5850"/>
  <c r="H99" i="5850"/>
  <c r="E99" i="5850"/>
  <c r="H97" i="5850"/>
  <c r="H96" i="5850"/>
  <c r="D95" i="5850"/>
  <c r="D94" i="5850"/>
  <c r="F31" i="5850" s="1"/>
  <c r="H91" i="5850"/>
  <c r="F15" i="5850" s="1"/>
  <c r="H90" i="5850"/>
  <c r="H89" i="5850"/>
  <c r="H88" i="5850"/>
  <c r="H86" i="5850"/>
  <c r="H84" i="5850"/>
  <c r="H83" i="5850"/>
  <c r="H81" i="5850"/>
  <c r="H27" i="5850" s="1"/>
  <c r="D81" i="5850"/>
  <c r="D16" i="5850" s="1"/>
  <c r="D70" i="5850"/>
  <c r="D69" i="5850"/>
  <c r="D68" i="5850"/>
  <c r="F66" i="5850"/>
  <c r="F65" i="5850"/>
  <c r="D63" i="5850"/>
  <c r="F62" i="5850"/>
  <c r="F61" i="5850"/>
  <c r="F60" i="5850"/>
  <c r="F59" i="5850"/>
  <c r="F58" i="5850"/>
  <c r="F57" i="5850"/>
  <c r="D57" i="5850"/>
  <c r="F56" i="5850"/>
  <c r="F70" i="5850" s="1"/>
  <c r="D56" i="5850"/>
  <c r="F51" i="5850"/>
  <c r="D51" i="5850"/>
  <c r="F50" i="5850"/>
  <c r="D50" i="5850"/>
  <c r="F49" i="5850"/>
  <c r="D49" i="5850"/>
  <c r="F48" i="5850"/>
  <c r="D48" i="5850"/>
  <c r="F43" i="5850"/>
  <c r="D43" i="5850"/>
  <c r="F42" i="5850"/>
  <c r="D42" i="5850"/>
  <c r="F41" i="5850"/>
  <c r="D41" i="5850"/>
  <c r="H37" i="5850"/>
  <c r="F37" i="5850"/>
  <c r="D37" i="5850"/>
  <c r="H36" i="5850"/>
  <c r="F36" i="5850"/>
  <c r="D36" i="5850"/>
  <c r="F35" i="5850"/>
  <c r="D35" i="5850"/>
  <c r="H34" i="5850"/>
  <c r="F34" i="5850"/>
  <c r="D34" i="5850"/>
  <c r="F33" i="5850"/>
  <c r="D33" i="5850"/>
  <c r="H32" i="5850"/>
  <c r="F32" i="5850"/>
  <c r="D32" i="5850"/>
  <c r="H31" i="5850"/>
  <c r="H30" i="5850"/>
  <c r="H28" i="5850"/>
  <c r="F28" i="5850"/>
  <c r="D28" i="5850"/>
  <c r="F27" i="5850"/>
  <c r="D27" i="5850"/>
  <c r="H26" i="5850"/>
  <c r="F26" i="5850"/>
  <c r="H25" i="5850"/>
  <c r="H24" i="5850"/>
  <c r="F24" i="5850"/>
  <c r="D24" i="5850"/>
  <c r="H23" i="5850"/>
  <c r="F23" i="5850"/>
  <c r="D23" i="5850"/>
  <c r="H22" i="5850"/>
  <c r="H21" i="5850"/>
  <c r="D21" i="5850"/>
  <c r="H20" i="5850"/>
  <c r="F20" i="5850"/>
  <c r="D20" i="5850"/>
  <c r="H19" i="5850"/>
  <c r="F19" i="5850"/>
  <c r="D19" i="5850"/>
  <c r="H18" i="5850"/>
  <c r="H17" i="5850"/>
  <c r="F16" i="5850"/>
  <c r="D15" i="5850"/>
  <c r="H14" i="5850"/>
  <c r="F14" i="5850"/>
  <c r="H13" i="5850"/>
  <c r="F12" i="5850"/>
  <c r="F11" i="5850"/>
  <c r="D11" i="5850"/>
  <c r="H10" i="5850"/>
  <c r="F10" i="5850"/>
  <c r="H9" i="5850"/>
  <c r="F8" i="5850"/>
  <c r="F7" i="5850"/>
  <c r="D7" i="5850"/>
  <c r="H6" i="5850"/>
  <c r="F6" i="5850"/>
  <c r="H5" i="5850"/>
  <c r="H4" i="5850"/>
  <c r="F4" i="5850"/>
  <c r="D4" i="5850"/>
  <c r="H3" i="5850"/>
  <c r="F3" i="5850"/>
  <c r="D3" i="5850"/>
  <c r="D144" i="5898" l="1"/>
  <c r="S124" i="5898"/>
  <c r="H136" i="5897"/>
  <c r="L135" i="5897"/>
  <c r="S136" i="5897"/>
  <c r="G136" i="5897"/>
  <c r="K135" i="5897"/>
  <c r="K137" i="5897" s="1"/>
  <c r="R136" i="5897"/>
  <c r="J135" i="5897"/>
  <c r="J137" i="5897" s="1"/>
  <c r="F136" i="5897"/>
  <c r="Q136" i="5897"/>
  <c r="E136" i="5897"/>
  <c r="I135" i="5897"/>
  <c r="I137" i="5897" s="1"/>
  <c r="H135" i="5897"/>
  <c r="P136" i="5897"/>
  <c r="L136" i="5897"/>
  <c r="P135" i="5897"/>
  <c r="K136" i="5897"/>
  <c r="O135" i="5897"/>
  <c r="O137" i="5897" s="1"/>
  <c r="C157" i="5898"/>
  <c r="C154" i="5898"/>
  <c r="AB131" i="5898"/>
  <c r="AN131" i="5898"/>
  <c r="F134" i="5898"/>
  <c r="D21" i="5897"/>
  <c r="V124" i="5897"/>
  <c r="AH124" i="5897"/>
  <c r="E135" i="5897"/>
  <c r="E137" i="5897" s="1"/>
  <c r="N136" i="5897"/>
  <c r="D143" i="5897"/>
  <c r="X124" i="5898"/>
  <c r="AJ124" i="5898"/>
  <c r="AC131" i="5898"/>
  <c r="AO131" i="5898"/>
  <c r="W124" i="5898"/>
  <c r="G134" i="5898"/>
  <c r="F124" i="5899"/>
  <c r="R124" i="5899"/>
  <c r="H124" i="5900"/>
  <c r="G118" i="5900"/>
  <c r="G145" i="5900" s="1"/>
  <c r="R124" i="5898"/>
  <c r="W124" i="5897"/>
  <c r="AI124" i="5897"/>
  <c r="T131" i="5897"/>
  <c r="AF131" i="5897"/>
  <c r="AR131" i="5897"/>
  <c r="Z124" i="5897"/>
  <c r="F135" i="5897"/>
  <c r="Y137" i="5897"/>
  <c r="AK137" i="5897"/>
  <c r="O136" i="5897"/>
  <c r="G108" i="5898"/>
  <c r="Y124" i="5898"/>
  <c r="AK124" i="5898"/>
  <c r="D113" i="5898"/>
  <c r="D146" i="5898" s="1"/>
  <c r="M134" i="5898"/>
  <c r="D26" i="5897"/>
  <c r="J108" i="5897"/>
  <c r="X124" i="5897"/>
  <c r="AJ124" i="5897"/>
  <c r="G135" i="5897"/>
  <c r="G137" i="5897" s="1"/>
  <c r="H124" i="5898"/>
  <c r="N134" i="5898"/>
  <c r="N126" i="5900"/>
  <c r="N130" i="5900" s="1"/>
  <c r="I124" i="5897"/>
  <c r="N135" i="5897"/>
  <c r="L124" i="5898"/>
  <c r="J136" i="5899"/>
  <c r="N135" i="5899"/>
  <c r="H136" i="5899"/>
  <c r="L135" i="5899"/>
  <c r="N136" i="5899"/>
  <c r="P135" i="5899"/>
  <c r="M136" i="5899"/>
  <c r="O135" i="5899"/>
  <c r="L136" i="5899"/>
  <c r="M135" i="5899"/>
  <c r="K136" i="5899"/>
  <c r="K135" i="5899"/>
  <c r="I136" i="5899"/>
  <c r="J135" i="5899"/>
  <c r="G136" i="5899"/>
  <c r="I135" i="5899"/>
  <c r="F136" i="5899"/>
  <c r="H135" i="5899"/>
  <c r="H137" i="5899" s="1"/>
  <c r="S136" i="5899"/>
  <c r="E136" i="5899"/>
  <c r="G135" i="5899"/>
  <c r="G137" i="5899" s="1"/>
  <c r="R136" i="5899"/>
  <c r="F135" i="5899"/>
  <c r="F137" i="5899" s="1"/>
  <c r="Q136" i="5899"/>
  <c r="S135" i="5899"/>
  <c r="E135" i="5899"/>
  <c r="E137" i="5899" s="1"/>
  <c r="P136" i="5899"/>
  <c r="R135" i="5899"/>
  <c r="R137" i="5899" s="1"/>
  <c r="AA124" i="5899"/>
  <c r="AM124" i="5899"/>
  <c r="AM126" i="5899" s="1"/>
  <c r="K108" i="5899"/>
  <c r="Q135" i="5899"/>
  <c r="AB130" i="5900"/>
  <c r="AB132" i="5900" s="1"/>
  <c r="D26" i="5902"/>
  <c r="D43" i="5902"/>
  <c r="D21" i="5902"/>
  <c r="D28" i="5902"/>
  <c r="D42" i="5902"/>
  <c r="D40" i="5902"/>
  <c r="D39" i="5902"/>
  <c r="F124" i="5898"/>
  <c r="AI115" i="5897"/>
  <c r="AI118" i="5897" s="1"/>
  <c r="Q135" i="5897"/>
  <c r="Q137" i="5897" s="1"/>
  <c r="AC115" i="5898"/>
  <c r="AC118" i="5898" s="1"/>
  <c r="AC128" i="5898" s="1"/>
  <c r="C34" i="5898"/>
  <c r="AR115" i="5898" s="1"/>
  <c r="M124" i="5898"/>
  <c r="D39" i="5897"/>
  <c r="AB124" i="5897"/>
  <c r="AN124" i="5897"/>
  <c r="H124" i="5897"/>
  <c r="R135" i="5897"/>
  <c r="R137" i="5897" s="1"/>
  <c r="AI124" i="5898"/>
  <c r="L124" i="5899"/>
  <c r="AE124" i="5898"/>
  <c r="O124" i="5899"/>
  <c r="O136" i="5899"/>
  <c r="AP130" i="5900"/>
  <c r="AP132" i="5900" s="1"/>
  <c r="F124" i="5900"/>
  <c r="F128" i="5900" s="1"/>
  <c r="F127" i="5900"/>
  <c r="AE126" i="5900"/>
  <c r="K124" i="5897"/>
  <c r="L124" i="5897"/>
  <c r="D40" i="5897"/>
  <c r="P124" i="5897"/>
  <c r="AL124" i="5897"/>
  <c r="S135" i="5897"/>
  <c r="S137" i="5897" s="1"/>
  <c r="AQ124" i="5898"/>
  <c r="K124" i="5898"/>
  <c r="P134" i="5897"/>
  <c r="O134" i="5897"/>
  <c r="N134" i="5897"/>
  <c r="M134" i="5897"/>
  <c r="L134" i="5897"/>
  <c r="H134" i="5897"/>
  <c r="S134" i="5897"/>
  <c r="G134" i="5897"/>
  <c r="D113" i="5897"/>
  <c r="D146" i="5897" s="1"/>
  <c r="O124" i="5897"/>
  <c r="AM124" i="5897"/>
  <c r="K134" i="5897"/>
  <c r="T124" i="5898"/>
  <c r="AF124" i="5898"/>
  <c r="AR124" i="5898"/>
  <c r="N124" i="5899"/>
  <c r="D42" i="5897"/>
  <c r="L134" i="5898"/>
  <c r="K134" i="5898"/>
  <c r="J134" i="5898"/>
  <c r="I134" i="5898"/>
  <c r="H134" i="5898"/>
  <c r="S134" i="5898"/>
  <c r="Q134" i="5898"/>
  <c r="E134" i="5898"/>
  <c r="P134" i="5898"/>
  <c r="O134" i="5898"/>
  <c r="Q124" i="5898"/>
  <c r="G128" i="5900"/>
  <c r="AB124" i="5899"/>
  <c r="J120" i="5900"/>
  <c r="J131" i="5900" s="1"/>
  <c r="D144" i="5900"/>
  <c r="D26" i="5899"/>
  <c r="Q108" i="5899"/>
  <c r="P124" i="5899"/>
  <c r="AC124" i="5899"/>
  <c r="AP124" i="5899"/>
  <c r="G134" i="5899"/>
  <c r="K136" i="5900"/>
  <c r="O135" i="5900"/>
  <c r="I136" i="5900"/>
  <c r="M135" i="5900"/>
  <c r="M137" i="5900" s="1"/>
  <c r="P136" i="5900"/>
  <c r="P137" i="5900" s="1"/>
  <c r="R135" i="5900"/>
  <c r="O136" i="5900"/>
  <c r="Q135" i="5900"/>
  <c r="M136" i="5900"/>
  <c r="N135" i="5900"/>
  <c r="N137" i="5900" s="1"/>
  <c r="J136" i="5900"/>
  <c r="K135" i="5900"/>
  <c r="F136" i="5900"/>
  <c r="H135" i="5900"/>
  <c r="H137" i="5900" s="1"/>
  <c r="S136" i="5900"/>
  <c r="S137" i="5900" s="1"/>
  <c r="E136" i="5900"/>
  <c r="G135" i="5900"/>
  <c r="J108" i="5900"/>
  <c r="AA127" i="5900"/>
  <c r="AA124" i="5900"/>
  <c r="Z127" i="5900"/>
  <c r="J108" i="5898"/>
  <c r="AH115" i="5899"/>
  <c r="AH118" i="5899" s="1"/>
  <c r="AH128" i="5899" s="1"/>
  <c r="AD124" i="5899"/>
  <c r="AQ124" i="5899"/>
  <c r="N124" i="5900"/>
  <c r="N128" i="5900" s="1"/>
  <c r="N127" i="5900"/>
  <c r="AN128" i="5900"/>
  <c r="L120" i="5900"/>
  <c r="L131" i="5900" s="1"/>
  <c r="L108" i="5900"/>
  <c r="AH118" i="5900"/>
  <c r="AH126" i="5900" s="1"/>
  <c r="F120" i="5900"/>
  <c r="F131" i="5900" s="1"/>
  <c r="K128" i="5900"/>
  <c r="AB127" i="5900"/>
  <c r="G136" i="5900"/>
  <c r="AR124" i="5899"/>
  <c r="O108" i="5900"/>
  <c r="AC127" i="5900"/>
  <c r="AI118" i="5900"/>
  <c r="AI126" i="5900" s="1"/>
  <c r="AI130" i="5900" s="1"/>
  <c r="AI132" i="5900" s="1"/>
  <c r="AI127" i="5900"/>
  <c r="AI128" i="5900"/>
  <c r="E102" i="5899"/>
  <c r="R134" i="5899"/>
  <c r="F134" i="5899"/>
  <c r="P134" i="5899"/>
  <c r="C34" i="5899"/>
  <c r="AJ115" i="5899" s="1"/>
  <c r="C154" i="5899"/>
  <c r="D39" i="5900"/>
  <c r="D21" i="5900"/>
  <c r="D42" i="5900"/>
  <c r="D28" i="5900"/>
  <c r="AE127" i="5900"/>
  <c r="AQ124" i="5900"/>
  <c r="N120" i="5900"/>
  <c r="N131" i="5900" s="1"/>
  <c r="S126" i="5900"/>
  <c r="AO126" i="5900"/>
  <c r="AO130" i="5900" s="1"/>
  <c r="AO132" i="5900" s="1"/>
  <c r="AM115" i="5899"/>
  <c r="AM118" i="5899" s="1"/>
  <c r="L134" i="5899"/>
  <c r="G126" i="5900"/>
  <c r="S124" i="5900"/>
  <c r="Z126" i="5900"/>
  <c r="Z130" i="5900" s="1"/>
  <c r="Z132" i="5900" s="1"/>
  <c r="K127" i="5900"/>
  <c r="E135" i="5900"/>
  <c r="E137" i="5900" s="1"/>
  <c r="Q136" i="5900"/>
  <c r="V127" i="5902"/>
  <c r="V124" i="5902"/>
  <c r="AH124" i="5902"/>
  <c r="F120" i="5902"/>
  <c r="F131" i="5902" s="1"/>
  <c r="R108" i="5902"/>
  <c r="I115" i="5897"/>
  <c r="I118" i="5897" s="1"/>
  <c r="I145" i="5897" s="1"/>
  <c r="U115" i="5897"/>
  <c r="U118" i="5897" s="1"/>
  <c r="U128" i="5897" s="1"/>
  <c r="AG115" i="5897"/>
  <c r="AG118" i="5897" s="1"/>
  <c r="AG128" i="5897" s="1"/>
  <c r="D21" i="5898"/>
  <c r="D43" i="5898"/>
  <c r="AD124" i="5898"/>
  <c r="AP124" i="5898"/>
  <c r="D39" i="5899"/>
  <c r="Z131" i="5899"/>
  <c r="AL131" i="5899"/>
  <c r="M134" i="5899"/>
  <c r="AG115" i="5900"/>
  <c r="S115" i="5900"/>
  <c r="S118" i="5900" s="1"/>
  <c r="S145" i="5900" s="1"/>
  <c r="E115" i="5900"/>
  <c r="AJ115" i="5900"/>
  <c r="AJ118" i="5900" s="1"/>
  <c r="V115" i="5900"/>
  <c r="V118" i="5900" s="1"/>
  <c r="H115" i="5900"/>
  <c r="H118" i="5900" s="1"/>
  <c r="H126" i="5900" s="1"/>
  <c r="U127" i="5900"/>
  <c r="Q120" i="5900"/>
  <c r="Q131" i="5900" s="1"/>
  <c r="Q108" i="5900"/>
  <c r="T115" i="5900"/>
  <c r="T118" i="5900" s="1"/>
  <c r="T128" i="5900" s="1"/>
  <c r="AQ115" i="5900"/>
  <c r="AQ118" i="5900" s="1"/>
  <c r="R120" i="5900"/>
  <c r="R131" i="5900" s="1"/>
  <c r="U124" i="5900"/>
  <c r="AR124" i="5900"/>
  <c r="AN127" i="5900"/>
  <c r="AN130" i="5900" s="1"/>
  <c r="AN132" i="5900" s="1"/>
  <c r="F135" i="5900"/>
  <c r="F137" i="5900" s="1"/>
  <c r="R136" i="5900"/>
  <c r="J126" i="5902"/>
  <c r="V126" i="5902"/>
  <c r="F108" i="5902"/>
  <c r="J115" i="5897"/>
  <c r="J118" i="5897" s="1"/>
  <c r="J145" i="5897" s="1"/>
  <c r="D40" i="5899"/>
  <c r="O115" i="5899"/>
  <c r="O118" i="5899" s="1"/>
  <c r="O145" i="5899" s="1"/>
  <c r="AJ124" i="5899"/>
  <c r="N134" i="5899"/>
  <c r="V124" i="5900"/>
  <c r="AF131" i="5900"/>
  <c r="AP127" i="5900"/>
  <c r="I135" i="5900"/>
  <c r="I137" i="5900" s="1"/>
  <c r="V115" i="5897"/>
  <c r="V118" i="5897" s="1"/>
  <c r="AH115" i="5897"/>
  <c r="AH118" i="5897" s="1"/>
  <c r="C34" i="5897"/>
  <c r="K115" i="5897"/>
  <c r="K118" i="5897" s="1"/>
  <c r="K145" i="5897" s="1"/>
  <c r="D113" i="5899"/>
  <c r="D146" i="5899" s="1"/>
  <c r="X124" i="5899"/>
  <c r="O134" i="5899"/>
  <c r="C158" i="5899"/>
  <c r="D40" i="5900"/>
  <c r="X115" i="5900"/>
  <c r="J135" i="5900"/>
  <c r="J137" i="5900" s="1"/>
  <c r="AQ115" i="5899"/>
  <c r="AQ118" i="5899" s="1"/>
  <c r="AL124" i="5899"/>
  <c r="Q134" i="5899"/>
  <c r="AB137" i="5899"/>
  <c r="AN137" i="5899"/>
  <c r="K126" i="5900"/>
  <c r="G127" i="5900"/>
  <c r="AJ124" i="5900"/>
  <c r="AJ126" i="5900" s="1"/>
  <c r="AJ127" i="5900"/>
  <c r="L135" i="5900"/>
  <c r="L137" i="5900" s="1"/>
  <c r="AM115" i="5902"/>
  <c r="AM118" i="5902" s="1"/>
  <c r="AM128" i="5902" s="1"/>
  <c r="AA115" i="5902"/>
  <c r="AA118" i="5902" s="1"/>
  <c r="O115" i="5902"/>
  <c r="O118" i="5902" s="1"/>
  <c r="AK115" i="5902"/>
  <c r="Y115" i="5902"/>
  <c r="M115" i="5902"/>
  <c r="M118" i="5902" s="1"/>
  <c r="M145" i="5902" s="1"/>
  <c r="W115" i="5902"/>
  <c r="W118" i="5902" s="1"/>
  <c r="K115" i="5902"/>
  <c r="K118" i="5902" s="1"/>
  <c r="K145" i="5902" s="1"/>
  <c r="AQ115" i="5902"/>
  <c r="AQ118" i="5902" s="1"/>
  <c r="AE115" i="5902"/>
  <c r="AE118" i="5902" s="1"/>
  <c r="S115" i="5902"/>
  <c r="S118" i="5902" s="1"/>
  <c r="S145" i="5902" s="1"/>
  <c r="G115" i="5902"/>
  <c r="G118" i="5902" s="1"/>
  <c r="G145" i="5902" s="1"/>
  <c r="AP115" i="5902"/>
  <c r="AP118" i="5902" s="1"/>
  <c r="AD115" i="5902"/>
  <c r="AD118" i="5902" s="1"/>
  <c r="R115" i="5902"/>
  <c r="R118" i="5902" s="1"/>
  <c r="R145" i="5902" s="1"/>
  <c r="F115" i="5902"/>
  <c r="F118" i="5902" s="1"/>
  <c r="F145" i="5902" s="1"/>
  <c r="AO115" i="5902"/>
  <c r="AO118" i="5902" s="1"/>
  <c r="AO128" i="5902" s="1"/>
  <c r="Q115" i="5902"/>
  <c r="Q118" i="5902" s="1"/>
  <c r="Q145" i="5902" s="1"/>
  <c r="E115" i="5902"/>
  <c r="AH115" i="5902"/>
  <c r="AH118" i="5902" s="1"/>
  <c r="AH126" i="5902" s="1"/>
  <c r="J115" i="5902"/>
  <c r="J118" i="5902" s="1"/>
  <c r="AG115" i="5902"/>
  <c r="AG118" i="5902" s="1"/>
  <c r="AG128" i="5902" s="1"/>
  <c r="I115" i="5902"/>
  <c r="I118" i="5902" s="1"/>
  <c r="I145" i="5902" s="1"/>
  <c r="AF115" i="5902"/>
  <c r="AF118" i="5902" s="1"/>
  <c r="H115" i="5902"/>
  <c r="H118" i="5902" s="1"/>
  <c r="H145" i="5902" s="1"/>
  <c r="AB115" i="5902"/>
  <c r="AR115" i="5902"/>
  <c r="AR118" i="5902" s="1"/>
  <c r="T115" i="5902"/>
  <c r="T118" i="5902" s="1"/>
  <c r="C34" i="5902"/>
  <c r="AI115" i="5902" s="1"/>
  <c r="AN115" i="5902"/>
  <c r="P115" i="5902"/>
  <c r="P118" i="5902" s="1"/>
  <c r="P145" i="5902" s="1"/>
  <c r="AL115" i="5902"/>
  <c r="AL118" i="5902" s="1"/>
  <c r="AJ115" i="5902"/>
  <c r="AJ118" i="5902" s="1"/>
  <c r="Z115" i="5902"/>
  <c r="Z118" i="5902" s="1"/>
  <c r="X115" i="5902"/>
  <c r="X118" i="5902" s="1"/>
  <c r="V115" i="5902"/>
  <c r="V118" i="5902" s="1"/>
  <c r="U115" i="5902"/>
  <c r="U118" i="5902" s="1"/>
  <c r="N115" i="5902"/>
  <c r="N118" i="5902" s="1"/>
  <c r="N145" i="5902" s="1"/>
  <c r="L115" i="5902"/>
  <c r="L118" i="5902" s="1"/>
  <c r="L145" i="5902" s="1"/>
  <c r="N108" i="5901"/>
  <c r="K124" i="5901"/>
  <c r="AJ131" i="5901"/>
  <c r="AD124" i="5901"/>
  <c r="K126" i="5902"/>
  <c r="G127" i="5902"/>
  <c r="G124" i="5902"/>
  <c r="W127" i="5902"/>
  <c r="G120" i="5902"/>
  <c r="G131" i="5902" s="1"/>
  <c r="S120" i="5902"/>
  <c r="S131" i="5902" s="1"/>
  <c r="M127" i="5900"/>
  <c r="AC126" i="5900"/>
  <c r="AC130" i="5900" s="1"/>
  <c r="AC132" i="5900" s="1"/>
  <c r="C169" i="5900"/>
  <c r="F115" i="5901"/>
  <c r="F118" i="5901" s="1"/>
  <c r="F145" i="5901" s="1"/>
  <c r="AR115" i="5901"/>
  <c r="AR118" i="5901" s="1"/>
  <c r="K126" i="5901"/>
  <c r="AJ126" i="5902"/>
  <c r="H127" i="5902"/>
  <c r="H124" i="5902"/>
  <c r="X127" i="5902"/>
  <c r="X124" i="5902"/>
  <c r="AJ127" i="5902"/>
  <c r="AJ124" i="5902"/>
  <c r="H120" i="5902"/>
  <c r="H131" i="5902" s="1"/>
  <c r="AM115" i="5900"/>
  <c r="AM118" i="5900" s="1"/>
  <c r="AM126" i="5900" s="1"/>
  <c r="AA115" i="5900"/>
  <c r="AA118" i="5900" s="1"/>
  <c r="AA126" i="5900" s="1"/>
  <c r="O115" i="5900"/>
  <c r="O118" i="5900" s="1"/>
  <c r="O145" i="5900" s="1"/>
  <c r="AK115" i="5900"/>
  <c r="AK118" i="5900" s="1"/>
  <c r="Y115" i="5900"/>
  <c r="Y118" i="5900" s="1"/>
  <c r="Y128" i="5900" s="1"/>
  <c r="M115" i="5900"/>
  <c r="M118" i="5900" s="1"/>
  <c r="M145" i="5900" s="1"/>
  <c r="I115" i="5900"/>
  <c r="W115" i="5900"/>
  <c r="AL115" i="5900"/>
  <c r="AL118" i="5900" s="1"/>
  <c r="AL128" i="5900" s="1"/>
  <c r="M124" i="5900"/>
  <c r="M128" i="5900" s="1"/>
  <c r="AC124" i="5900"/>
  <c r="AC128" i="5900" s="1"/>
  <c r="P108" i="5901"/>
  <c r="H115" i="5901"/>
  <c r="H118" i="5901" s="1"/>
  <c r="H145" i="5901" s="1"/>
  <c r="AD126" i="5901"/>
  <c r="AP124" i="5901"/>
  <c r="J128" i="5902"/>
  <c r="AE127" i="5901"/>
  <c r="U124" i="5903"/>
  <c r="D26" i="5901"/>
  <c r="D28" i="5901"/>
  <c r="D42" i="5901"/>
  <c r="D40" i="5901"/>
  <c r="AE115" i="5901"/>
  <c r="AE118" i="5901" s="1"/>
  <c r="AE128" i="5901" s="1"/>
  <c r="S115" i="5901"/>
  <c r="S118" i="5901" s="1"/>
  <c r="S145" i="5901" s="1"/>
  <c r="G115" i="5901"/>
  <c r="G118" i="5901" s="1"/>
  <c r="G145" i="5901" s="1"/>
  <c r="AI115" i="5901"/>
  <c r="AI118" i="5901" s="1"/>
  <c r="W115" i="5901"/>
  <c r="W118" i="5901" s="1"/>
  <c r="K115" i="5901"/>
  <c r="K118" i="5901" s="1"/>
  <c r="K145" i="5901" s="1"/>
  <c r="C34" i="5901"/>
  <c r="AG115" i="5901" s="1"/>
  <c r="U115" i="5901"/>
  <c r="U118" i="5901" s="1"/>
  <c r="U128" i="5901" s="1"/>
  <c r="AK115" i="5901"/>
  <c r="AH115" i="5901"/>
  <c r="AH118" i="5901" s="1"/>
  <c r="Q115" i="5901"/>
  <c r="AR124" i="5901"/>
  <c r="AR128" i="5901" s="1"/>
  <c r="M115" i="5901"/>
  <c r="AD115" i="5901"/>
  <c r="AD118" i="5901" s="1"/>
  <c r="AM124" i="5901"/>
  <c r="E134" i="5901"/>
  <c r="C157" i="5901"/>
  <c r="N124" i="5902"/>
  <c r="M124" i="5902"/>
  <c r="G120" i="5900"/>
  <c r="G131" i="5900" s="1"/>
  <c r="P115" i="5900"/>
  <c r="P118" i="5900" s="1"/>
  <c r="P145" i="5900" s="1"/>
  <c r="AD115" i="5900"/>
  <c r="AR115" i="5900"/>
  <c r="AR118" i="5900" s="1"/>
  <c r="AR126" i="5900" s="1"/>
  <c r="D39" i="5901"/>
  <c r="F124" i="5901"/>
  <c r="V127" i="5901"/>
  <c r="V124" i="5901"/>
  <c r="AH124" i="5901"/>
  <c r="AH128" i="5901" s="1"/>
  <c r="AJ115" i="5901"/>
  <c r="AJ118" i="5901" s="1"/>
  <c r="AF137" i="5901"/>
  <c r="F106" i="5902"/>
  <c r="G106" i="5902" s="1"/>
  <c r="H106" i="5902" s="1"/>
  <c r="I106" i="5902" s="1"/>
  <c r="J106" i="5902" s="1"/>
  <c r="K106" i="5902" s="1"/>
  <c r="L106" i="5902" s="1"/>
  <c r="M106" i="5902" s="1"/>
  <c r="N106" i="5902" s="1"/>
  <c r="O106" i="5902" s="1"/>
  <c r="P106" i="5902" s="1"/>
  <c r="Q106" i="5902" s="1"/>
  <c r="R106" i="5902" s="1"/>
  <c r="S106" i="5902" s="1"/>
  <c r="T106" i="5902" s="1"/>
  <c r="U106" i="5902" s="1"/>
  <c r="V106" i="5902" s="1"/>
  <c r="W106" i="5902" s="1"/>
  <c r="X106" i="5902" s="1"/>
  <c r="Y106" i="5902" s="1"/>
  <c r="Z106" i="5902" s="1"/>
  <c r="AA106" i="5902" s="1"/>
  <c r="AB106" i="5902" s="1"/>
  <c r="AC106" i="5902" s="1"/>
  <c r="AD106" i="5902" s="1"/>
  <c r="AE106" i="5902" s="1"/>
  <c r="AF106" i="5902" s="1"/>
  <c r="AG106" i="5902" s="1"/>
  <c r="AH106" i="5902" s="1"/>
  <c r="AI106" i="5902" s="1"/>
  <c r="AJ106" i="5902" s="1"/>
  <c r="AK106" i="5902" s="1"/>
  <c r="AL106" i="5902" s="1"/>
  <c r="AM106" i="5902" s="1"/>
  <c r="AN106" i="5902" s="1"/>
  <c r="AO106" i="5902" s="1"/>
  <c r="AP106" i="5902" s="1"/>
  <c r="AQ106" i="5902" s="1"/>
  <c r="AR106" i="5902" s="1"/>
  <c r="AD127" i="5902"/>
  <c r="AD124" i="5902"/>
  <c r="AD128" i="5902" s="1"/>
  <c r="AP124" i="5902"/>
  <c r="AP128" i="5902" s="1"/>
  <c r="S126" i="5902"/>
  <c r="S130" i="5902" s="1"/>
  <c r="S132" i="5902" s="1"/>
  <c r="J124" i="5903"/>
  <c r="AF126" i="5903"/>
  <c r="G128" i="5904"/>
  <c r="K134" i="5901"/>
  <c r="O134" i="5901"/>
  <c r="N134" i="5901"/>
  <c r="M134" i="5901"/>
  <c r="I134" i="5901"/>
  <c r="H134" i="5901"/>
  <c r="G134" i="5901"/>
  <c r="F134" i="5901"/>
  <c r="H124" i="5901"/>
  <c r="H127" i="5901"/>
  <c r="W124" i="5901"/>
  <c r="W128" i="5901" s="1"/>
  <c r="AI127" i="5901"/>
  <c r="AI124" i="5901"/>
  <c r="AI128" i="5901" s="1"/>
  <c r="G108" i="5901"/>
  <c r="AF131" i="5901"/>
  <c r="P134" i="5901"/>
  <c r="AA128" i="5902"/>
  <c r="AA115" i="5903"/>
  <c r="AA118" i="5903" s="1"/>
  <c r="AA128" i="5903" s="1"/>
  <c r="K124" i="5903"/>
  <c r="AK127" i="5900"/>
  <c r="R115" i="5900"/>
  <c r="R118" i="5900" s="1"/>
  <c r="R145" i="5900" s="1"/>
  <c r="AF115" i="5900"/>
  <c r="AF118" i="5900" s="1"/>
  <c r="AF128" i="5900" s="1"/>
  <c r="Y131" i="5900"/>
  <c r="AK131" i="5900"/>
  <c r="AC137" i="5900"/>
  <c r="AO137" i="5900"/>
  <c r="S134" i="5900"/>
  <c r="G134" i="5900"/>
  <c r="D113" i="5900"/>
  <c r="D146" i="5900" s="1"/>
  <c r="Q134" i="5900"/>
  <c r="E134" i="5900"/>
  <c r="D43" i="5901"/>
  <c r="J124" i="5901"/>
  <c r="H120" i="5901"/>
  <c r="H131" i="5901" s="1"/>
  <c r="AM115" i="5901"/>
  <c r="AM118" i="5901" s="1"/>
  <c r="AA124" i="5901"/>
  <c r="Q134" i="5901"/>
  <c r="M120" i="5900"/>
  <c r="M131" i="5900" s="1"/>
  <c r="L124" i="5901"/>
  <c r="D113" i="5901"/>
  <c r="D146" i="5901" s="1"/>
  <c r="V115" i="5901"/>
  <c r="V118" i="5901" s="1"/>
  <c r="AN115" i="5901"/>
  <c r="AN118" i="5901" s="1"/>
  <c r="AN126" i="5901" s="1"/>
  <c r="AB124" i="5901"/>
  <c r="R134" i="5901"/>
  <c r="U124" i="5902"/>
  <c r="U128" i="5902" s="1"/>
  <c r="U127" i="5902"/>
  <c r="AG127" i="5902"/>
  <c r="AM126" i="5904"/>
  <c r="AM130" i="5904" s="1"/>
  <c r="AM132" i="5904" s="1"/>
  <c r="L128" i="5905"/>
  <c r="AG126" i="5905"/>
  <c r="S127" i="5902"/>
  <c r="S124" i="5902"/>
  <c r="S128" i="5902" s="1"/>
  <c r="AE124" i="5902"/>
  <c r="AE128" i="5902" s="1"/>
  <c r="AQ124" i="5902"/>
  <c r="AQ128" i="5902" s="1"/>
  <c r="O127" i="5902"/>
  <c r="O124" i="5902"/>
  <c r="O128" i="5902" s="1"/>
  <c r="X137" i="5902"/>
  <c r="AJ137" i="5902"/>
  <c r="H124" i="5903"/>
  <c r="AE118" i="5904"/>
  <c r="AE127" i="5904"/>
  <c r="T124" i="5902"/>
  <c r="AF127" i="5902"/>
  <c r="AF124" i="5902"/>
  <c r="AR127" i="5902"/>
  <c r="AR124" i="5902"/>
  <c r="P120" i="5902"/>
  <c r="P131" i="5902" s="1"/>
  <c r="P108" i="5902"/>
  <c r="AD131" i="5902"/>
  <c r="AP131" i="5902"/>
  <c r="R134" i="5904"/>
  <c r="F134" i="5904"/>
  <c r="Q134" i="5904"/>
  <c r="E134" i="5904"/>
  <c r="P134" i="5904"/>
  <c r="O134" i="5904"/>
  <c r="N134" i="5904"/>
  <c r="M134" i="5904"/>
  <c r="X134" i="5904"/>
  <c r="L134" i="5904"/>
  <c r="W134" i="5904"/>
  <c r="K134" i="5904"/>
  <c r="V134" i="5904"/>
  <c r="J134" i="5904"/>
  <c r="C158" i="5904"/>
  <c r="U134" i="5904"/>
  <c r="I134" i="5904"/>
  <c r="T134" i="5904"/>
  <c r="H134" i="5904"/>
  <c r="S134" i="5904"/>
  <c r="D113" i="5904"/>
  <c r="D146" i="5904" s="1"/>
  <c r="AQ126" i="5904"/>
  <c r="W126" i="5904"/>
  <c r="W130" i="5904" s="1"/>
  <c r="W132" i="5904" s="1"/>
  <c r="F124" i="5903"/>
  <c r="F128" i="5903" s="1"/>
  <c r="AE126" i="5904"/>
  <c r="W137" i="5901"/>
  <c r="AI137" i="5901"/>
  <c r="I128" i="5902"/>
  <c r="I120" i="5902"/>
  <c r="I131" i="5902" s="1"/>
  <c r="AG126" i="5902"/>
  <c r="I127" i="5902"/>
  <c r="D144" i="5903"/>
  <c r="AB126" i="5904"/>
  <c r="V131" i="5901"/>
  <c r="AH131" i="5901"/>
  <c r="N126" i="5902"/>
  <c r="AL126" i="5902"/>
  <c r="Z127" i="5902"/>
  <c r="Z124" i="5902"/>
  <c r="Z128" i="5902" s="1"/>
  <c r="AL127" i="5902"/>
  <c r="AL124" i="5902"/>
  <c r="Q120" i="5904"/>
  <c r="Q131" i="5904" s="1"/>
  <c r="AM126" i="5901"/>
  <c r="Y137" i="5901"/>
  <c r="AK137" i="5901"/>
  <c r="C41" i="5902"/>
  <c r="C152" i="5902" s="1"/>
  <c r="C157" i="5902"/>
  <c r="C154" i="5902"/>
  <c r="AA126" i="5902"/>
  <c r="AM126" i="5902"/>
  <c r="K127" i="5902"/>
  <c r="AM127" i="5902"/>
  <c r="K120" i="5902"/>
  <c r="K131" i="5902" s="1"/>
  <c r="E127" i="5902"/>
  <c r="I126" i="5902"/>
  <c r="N136" i="5903"/>
  <c r="R135" i="5903"/>
  <c r="R137" i="5903" s="1"/>
  <c r="F135" i="5903"/>
  <c r="F137" i="5903" s="1"/>
  <c r="R136" i="5903"/>
  <c r="F136" i="5903"/>
  <c r="J135" i="5903"/>
  <c r="J137" i="5903" s="1"/>
  <c r="Q136" i="5903"/>
  <c r="E136" i="5903"/>
  <c r="I135" i="5903"/>
  <c r="P136" i="5903"/>
  <c r="H135" i="5903"/>
  <c r="Q135" i="5903"/>
  <c r="S136" i="5903"/>
  <c r="S137" i="5903" s="1"/>
  <c r="P135" i="5903"/>
  <c r="O136" i="5903"/>
  <c r="O135" i="5903"/>
  <c r="M136" i="5903"/>
  <c r="N135" i="5903"/>
  <c r="L136" i="5903"/>
  <c r="M135" i="5903"/>
  <c r="K136" i="5903"/>
  <c r="L135" i="5903"/>
  <c r="J136" i="5903"/>
  <c r="K135" i="5903"/>
  <c r="I136" i="5903"/>
  <c r="G135" i="5903"/>
  <c r="G137" i="5903" s="1"/>
  <c r="H136" i="5903"/>
  <c r="E135" i="5903"/>
  <c r="G136" i="5903"/>
  <c r="AF118" i="5904"/>
  <c r="AF128" i="5904" s="1"/>
  <c r="AF127" i="5904"/>
  <c r="L127" i="5902"/>
  <c r="L124" i="5902"/>
  <c r="L128" i="5902" s="1"/>
  <c r="L120" i="5902"/>
  <c r="L131" i="5902" s="1"/>
  <c r="AG124" i="5903"/>
  <c r="Q108" i="5903"/>
  <c r="D40" i="5903"/>
  <c r="V108" i="5903"/>
  <c r="AH127" i="5903"/>
  <c r="AH124" i="5903"/>
  <c r="AH126" i="5903" s="1"/>
  <c r="U122" i="5903"/>
  <c r="Q134" i="5903"/>
  <c r="Y124" i="5904"/>
  <c r="Y128" i="5904" s="1"/>
  <c r="AK124" i="5904"/>
  <c r="AK128" i="5904" s="1"/>
  <c r="AI115" i="5904"/>
  <c r="Q115" i="5905"/>
  <c r="Q118" i="5905" s="1"/>
  <c r="Q126" i="5905" s="1"/>
  <c r="Q130" i="5905" s="1"/>
  <c r="V134" i="5903"/>
  <c r="J134" i="5903"/>
  <c r="N134" i="5903"/>
  <c r="M134" i="5903"/>
  <c r="X134" i="5903"/>
  <c r="L134" i="5903"/>
  <c r="I108" i="5903"/>
  <c r="W108" i="5903"/>
  <c r="V122" i="5903"/>
  <c r="R134" i="5903"/>
  <c r="C154" i="5904"/>
  <c r="C157" i="5904"/>
  <c r="AK126" i="5904"/>
  <c r="AL127" i="5904"/>
  <c r="AM118" i="5904"/>
  <c r="T127" i="5904"/>
  <c r="W137" i="5904"/>
  <c r="AI137" i="5904"/>
  <c r="AF126" i="5905"/>
  <c r="K124" i="5905"/>
  <c r="AJ128" i="5906"/>
  <c r="AJ126" i="5906"/>
  <c r="H128" i="5906"/>
  <c r="Q108" i="5902"/>
  <c r="M120" i="5902"/>
  <c r="M131" i="5902" s="1"/>
  <c r="D42" i="5903"/>
  <c r="S115" i="5903"/>
  <c r="S118" i="5903" s="1"/>
  <c r="S128" i="5903" s="1"/>
  <c r="AD131" i="5903"/>
  <c r="AP131" i="5903"/>
  <c r="W122" i="5903"/>
  <c r="S134" i="5903"/>
  <c r="F106" i="5904"/>
  <c r="G106" i="5904" s="1"/>
  <c r="H106" i="5904" s="1"/>
  <c r="I106" i="5904" s="1"/>
  <c r="J106" i="5904" s="1"/>
  <c r="K106" i="5904" s="1"/>
  <c r="L106" i="5904" s="1"/>
  <c r="M106" i="5904" s="1"/>
  <c r="N106" i="5904" s="1"/>
  <c r="O106" i="5904" s="1"/>
  <c r="P106" i="5904" s="1"/>
  <c r="Q106" i="5904" s="1"/>
  <c r="R106" i="5904" s="1"/>
  <c r="S106" i="5904" s="1"/>
  <c r="T106" i="5904" s="1"/>
  <c r="U106" i="5904" s="1"/>
  <c r="V106" i="5904" s="1"/>
  <c r="W106" i="5904" s="1"/>
  <c r="X106" i="5904" s="1"/>
  <c r="Y106" i="5904" s="1"/>
  <c r="Z106" i="5904" s="1"/>
  <c r="AA106" i="5904" s="1"/>
  <c r="AB106" i="5904" s="1"/>
  <c r="AC106" i="5904" s="1"/>
  <c r="AD106" i="5904" s="1"/>
  <c r="AE106" i="5904" s="1"/>
  <c r="AF106" i="5904" s="1"/>
  <c r="AG106" i="5904" s="1"/>
  <c r="AH106" i="5904" s="1"/>
  <c r="AI106" i="5904" s="1"/>
  <c r="AJ106" i="5904" s="1"/>
  <c r="AK106" i="5904" s="1"/>
  <c r="AL106" i="5904" s="1"/>
  <c r="AM106" i="5904" s="1"/>
  <c r="AN106" i="5904" s="1"/>
  <c r="AO106" i="5904" s="1"/>
  <c r="AP106" i="5904" s="1"/>
  <c r="AQ106" i="5904" s="1"/>
  <c r="AR106" i="5904" s="1"/>
  <c r="E102" i="5904"/>
  <c r="AL126" i="5904"/>
  <c r="AA128" i="5904"/>
  <c r="AM128" i="5904"/>
  <c r="K120" i="5904"/>
  <c r="K131" i="5904" s="1"/>
  <c r="W120" i="5904"/>
  <c r="W131" i="5904" s="1"/>
  <c r="G118" i="5904"/>
  <c r="G145" i="5904" s="1"/>
  <c r="G127" i="5904"/>
  <c r="AQ118" i="5904"/>
  <c r="AQ127" i="5904"/>
  <c r="AC131" i="5904"/>
  <c r="AO131" i="5904"/>
  <c r="H126" i="5904"/>
  <c r="W127" i="5904"/>
  <c r="AK115" i="5905"/>
  <c r="I126" i="5905"/>
  <c r="AO126" i="5905"/>
  <c r="AO130" i="5905" s="1"/>
  <c r="AO132" i="5905" s="1"/>
  <c r="D43" i="5903"/>
  <c r="T134" i="5903"/>
  <c r="AB127" i="5904"/>
  <c r="AA127" i="5904"/>
  <c r="AE115" i="5905"/>
  <c r="AE118" i="5905" s="1"/>
  <c r="AE128" i="5905" s="1"/>
  <c r="K115" i="5905"/>
  <c r="K118" i="5905" s="1"/>
  <c r="AD115" i="5905"/>
  <c r="J115" i="5905"/>
  <c r="J118" i="5905" s="1"/>
  <c r="J145" i="5905" s="1"/>
  <c r="AC115" i="5905"/>
  <c r="I115" i="5905"/>
  <c r="I118" i="5905" s="1"/>
  <c r="I145" i="5905" s="1"/>
  <c r="AR115" i="5905"/>
  <c r="AR118" i="5905" s="1"/>
  <c r="AR128" i="5905" s="1"/>
  <c r="Y115" i="5905"/>
  <c r="H115" i="5905"/>
  <c r="H118" i="5905" s="1"/>
  <c r="H145" i="5905" s="1"/>
  <c r="AQ115" i="5905"/>
  <c r="AQ118" i="5905" s="1"/>
  <c r="W115" i="5905"/>
  <c r="W118" i="5905" s="1"/>
  <c r="W120" i="5905" s="1"/>
  <c r="W131" i="5905" s="1"/>
  <c r="G115" i="5905"/>
  <c r="G118" i="5905" s="1"/>
  <c r="G145" i="5905" s="1"/>
  <c r="AP115" i="5905"/>
  <c r="V115" i="5905"/>
  <c r="V118" i="5905" s="1"/>
  <c r="F115" i="5905"/>
  <c r="F118" i="5905" s="1"/>
  <c r="F126" i="5905" s="1"/>
  <c r="AO115" i="5905"/>
  <c r="AO118" i="5905" s="1"/>
  <c r="AO128" i="5905" s="1"/>
  <c r="U115" i="5905"/>
  <c r="U118" i="5905" s="1"/>
  <c r="U128" i="5905" s="1"/>
  <c r="E115" i="5905"/>
  <c r="J126" i="5905"/>
  <c r="F127" i="5905"/>
  <c r="E127" i="5905"/>
  <c r="M126" i="5903"/>
  <c r="M124" i="5904"/>
  <c r="AC124" i="5904"/>
  <c r="AO124" i="5904"/>
  <c r="AO128" i="5904" s="1"/>
  <c r="AA130" i="5904"/>
  <c r="AA132" i="5904" s="1"/>
  <c r="AG127" i="5905"/>
  <c r="U126" i="5905"/>
  <c r="AQ126" i="5905"/>
  <c r="K124" i="5902"/>
  <c r="W124" i="5902"/>
  <c r="W128" i="5902" s="1"/>
  <c r="AI124" i="5902"/>
  <c r="F134" i="5903"/>
  <c r="W134" i="5903"/>
  <c r="Q124" i="5904"/>
  <c r="AD124" i="5904"/>
  <c r="AD128" i="5904" s="1"/>
  <c r="AP124" i="5904"/>
  <c r="AP128" i="5904" s="1"/>
  <c r="N124" i="5904"/>
  <c r="N128" i="5904" s="1"/>
  <c r="L126" i="5905"/>
  <c r="I128" i="5905"/>
  <c r="AQ128" i="5905"/>
  <c r="O124" i="5905"/>
  <c r="O128" i="5905" s="1"/>
  <c r="D26" i="5903"/>
  <c r="L120" i="5903"/>
  <c r="L131" i="5903" s="1"/>
  <c r="AQ115" i="5903"/>
  <c r="G134" i="5903"/>
  <c r="R124" i="5904"/>
  <c r="R126" i="5904" s="1"/>
  <c r="AE128" i="5904"/>
  <c r="AQ128" i="5904"/>
  <c r="O120" i="5904"/>
  <c r="O131" i="5904" s="1"/>
  <c r="S118" i="5904"/>
  <c r="S145" i="5904" s="1"/>
  <c r="S127" i="5904"/>
  <c r="AR127" i="5904"/>
  <c r="M126" i="5905"/>
  <c r="AG137" i="5905"/>
  <c r="M134" i="5907"/>
  <c r="V134" i="5907"/>
  <c r="J134" i="5907"/>
  <c r="T134" i="5907"/>
  <c r="H134" i="5907"/>
  <c r="Q134" i="5907"/>
  <c r="E134" i="5907"/>
  <c r="P134" i="5907"/>
  <c r="O134" i="5907"/>
  <c r="K134" i="5907"/>
  <c r="I134" i="5907"/>
  <c r="G134" i="5907"/>
  <c r="F134" i="5907"/>
  <c r="X134" i="5907"/>
  <c r="W134" i="5907"/>
  <c r="D113" i="5907"/>
  <c r="D146" i="5907" s="1"/>
  <c r="U134" i="5907"/>
  <c r="C158" i="5907"/>
  <c r="S134" i="5907"/>
  <c r="R134" i="5907"/>
  <c r="N134" i="5907"/>
  <c r="L134" i="5907"/>
  <c r="K115" i="5903"/>
  <c r="K118" i="5903" s="1"/>
  <c r="K145" i="5903" s="1"/>
  <c r="H134" i="5903"/>
  <c r="AL128" i="5904"/>
  <c r="K128" i="5904"/>
  <c r="K130" i="5904" s="1"/>
  <c r="K132" i="5904" s="1"/>
  <c r="Q128" i="5905"/>
  <c r="AG128" i="5905"/>
  <c r="AP115" i="5903"/>
  <c r="AP118" i="5903" s="1"/>
  <c r="AP126" i="5903" s="1"/>
  <c r="AD115" i="5903"/>
  <c r="AD118" i="5903" s="1"/>
  <c r="F115" i="5903"/>
  <c r="F118" i="5903" s="1"/>
  <c r="AH115" i="5903"/>
  <c r="AH118" i="5903" s="1"/>
  <c r="V115" i="5903"/>
  <c r="V118" i="5903" s="1"/>
  <c r="V120" i="5903" s="1"/>
  <c r="V131" i="5903" s="1"/>
  <c r="AG115" i="5903"/>
  <c r="AG118" i="5903" s="1"/>
  <c r="AG126" i="5903" s="1"/>
  <c r="U115" i="5903"/>
  <c r="U118" i="5903" s="1"/>
  <c r="U126" i="5903" s="1"/>
  <c r="I115" i="5903"/>
  <c r="I118" i="5903" s="1"/>
  <c r="I145" i="5903" s="1"/>
  <c r="AF115" i="5903"/>
  <c r="AF118" i="5903" s="1"/>
  <c r="AF128" i="5903" s="1"/>
  <c r="T115" i="5903"/>
  <c r="T118" i="5903" s="1"/>
  <c r="T120" i="5903" s="1"/>
  <c r="T131" i="5903" s="1"/>
  <c r="H115" i="5903"/>
  <c r="H118" i="5903" s="1"/>
  <c r="L115" i="5903"/>
  <c r="L118" i="5903" s="1"/>
  <c r="M127" i="5903"/>
  <c r="I134" i="5903"/>
  <c r="D40" i="5904"/>
  <c r="D39" i="5904"/>
  <c r="D43" i="5904"/>
  <c r="D21" i="5904"/>
  <c r="D42" i="5904"/>
  <c r="D28" i="5904"/>
  <c r="I128" i="5904"/>
  <c r="T126" i="5904"/>
  <c r="AR130" i="5904"/>
  <c r="AR132" i="5904" s="1"/>
  <c r="F120" i="5905"/>
  <c r="F131" i="5905" s="1"/>
  <c r="R120" i="5905"/>
  <c r="R131" i="5905" s="1"/>
  <c r="C34" i="5903"/>
  <c r="AJ115" i="5903" s="1"/>
  <c r="M115" i="5903"/>
  <c r="M118" i="5903" s="1"/>
  <c r="M145" i="5903" s="1"/>
  <c r="N127" i="5903"/>
  <c r="K134" i="5903"/>
  <c r="I126" i="5904"/>
  <c r="AG126" i="5904"/>
  <c r="U127" i="5904"/>
  <c r="AH127" i="5904"/>
  <c r="L124" i="5904"/>
  <c r="AR128" i="5904"/>
  <c r="G120" i="5905"/>
  <c r="G131" i="5905" s="1"/>
  <c r="S124" i="5905"/>
  <c r="S126" i="5905" s="1"/>
  <c r="T108" i="5903"/>
  <c r="N115" i="5903"/>
  <c r="N118" i="5903" s="1"/>
  <c r="N145" i="5903" s="1"/>
  <c r="AE115" i="5903"/>
  <c r="AD124" i="5903"/>
  <c r="O134" i="5903"/>
  <c r="V126" i="5904"/>
  <c r="V130" i="5904" s="1"/>
  <c r="F127" i="5904"/>
  <c r="F124" i="5904"/>
  <c r="F128" i="5904" s="1"/>
  <c r="V127" i="5904"/>
  <c r="G120" i="5904"/>
  <c r="G131" i="5904" s="1"/>
  <c r="S120" i="5904"/>
  <c r="S131" i="5904" s="1"/>
  <c r="Y131" i="5904"/>
  <c r="AK131" i="5904"/>
  <c r="H127" i="5904"/>
  <c r="U127" i="5905"/>
  <c r="P115" i="5904"/>
  <c r="P118" i="5904" s="1"/>
  <c r="P145" i="5904" s="1"/>
  <c r="AB115" i="5904"/>
  <c r="AB118" i="5904" s="1"/>
  <c r="AB128" i="5904" s="1"/>
  <c r="AN115" i="5904"/>
  <c r="AN118" i="5904" s="1"/>
  <c r="AN128" i="5904" s="1"/>
  <c r="AI127" i="5905"/>
  <c r="R115" i="5905"/>
  <c r="R118" i="5905" s="1"/>
  <c r="R145" i="5905" s="1"/>
  <c r="AH115" i="5905"/>
  <c r="L120" i="5905"/>
  <c r="L131" i="5905" s="1"/>
  <c r="AQ127" i="5905"/>
  <c r="U120" i="5906"/>
  <c r="U131" i="5906" s="1"/>
  <c r="O108" i="5904"/>
  <c r="E115" i="5904"/>
  <c r="E127" i="5904" s="1"/>
  <c r="Q115" i="5904"/>
  <c r="Q118" i="5904" s="1"/>
  <c r="Q145" i="5904" s="1"/>
  <c r="AC115" i="5904"/>
  <c r="AC118" i="5904" s="1"/>
  <c r="AO115" i="5904"/>
  <c r="AO118" i="5904" s="1"/>
  <c r="D39" i="5905"/>
  <c r="W108" i="5905"/>
  <c r="H120" i="5905"/>
  <c r="H131" i="5905" s="1"/>
  <c r="S115" i="5905"/>
  <c r="S118" i="5905" s="1"/>
  <c r="AI115" i="5905"/>
  <c r="AI118" i="5905" s="1"/>
  <c r="M120" i="5905"/>
  <c r="M131" i="5905" s="1"/>
  <c r="R124" i="5905"/>
  <c r="R128" i="5905" s="1"/>
  <c r="Z128" i="5905"/>
  <c r="P108" i="5904"/>
  <c r="F115" i="5904"/>
  <c r="F118" i="5904" s="1"/>
  <c r="F145" i="5904" s="1"/>
  <c r="R115" i="5904"/>
  <c r="R118" i="5904" s="1"/>
  <c r="R145" i="5904" s="1"/>
  <c r="AD115" i="5904"/>
  <c r="AD118" i="5904" s="1"/>
  <c r="AP115" i="5904"/>
  <c r="AP118" i="5904" s="1"/>
  <c r="G108" i="5905"/>
  <c r="I120" i="5905"/>
  <c r="I131" i="5905" s="1"/>
  <c r="U120" i="5905"/>
  <c r="U131" i="5905" s="1"/>
  <c r="T115" i="5905"/>
  <c r="W122" i="5905"/>
  <c r="AI124" i="5905"/>
  <c r="AM128" i="5906"/>
  <c r="K145" i="5906"/>
  <c r="K126" i="5906"/>
  <c r="K120" i="5906"/>
  <c r="K131" i="5906" s="1"/>
  <c r="L126" i="5906"/>
  <c r="Z127" i="5905"/>
  <c r="U137" i="5905"/>
  <c r="C154" i="5905"/>
  <c r="C41" i="5905"/>
  <c r="C152" i="5905" s="1"/>
  <c r="AA127" i="5905"/>
  <c r="AA124" i="5905"/>
  <c r="AM127" i="5905"/>
  <c r="AM124" i="5905"/>
  <c r="AM128" i="5905" s="1"/>
  <c r="AC124" i="5906"/>
  <c r="AC128" i="5906" s="1"/>
  <c r="AO127" i="5906"/>
  <c r="AO124" i="5906"/>
  <c r="AO128" i="5906" s="1"/>
  <c r="I115" i="5904"/>
  <c r="I118" i="5904" s="1"/>
  <c r="U115" i="5904"/>
  <c r="U118" i="5904" s="1"/>
  <c r="U120" i="5904" s="1"/>
  <c r="U131" i="5904" s="1"/>
  <c r="AG115" i="5904"/>
  <c r="AG118" i="5904" s="1"/>
  <c r="AG128" i="5904" s="1"/>
  <c r="J124" i="5904"/>
  <c r="J128" i="5904" s="1"/>
  <c r="V124" i="5904"/>
  <c r="V128" i="5904" s="1"/>
  <c r="AH124" i="5904"/>
  <c r="AH128" i="5904" s="1"/>
  <c r="AB124" i="5905"/>
  <c r="AB128" i="5905" s="1"/>
  <c r="AN124" i="5905"/>
  <c r="AN126" i="5905" s="1"/>
  <c r="X122" i="5905"/>
  <c r="X108" i="5905"/>
  <c r="I127" i="5905"/>
  <c r="AE127" i="5905"/>
  <c r="J115" i="5904"/>
  <c r="J118" i="5904" s="1"/>
  <c r="J145" i="5904" s="1"/>
  <c r="V115" i="5904"/>
  <c r="V118" i="5904" s="1"/>
  <c r="V120" i="5904" s="1"/>
  <c r="V131" i="5904" s="1"/>
  <c r="AH115" i="5904"/>
  <c r="AH118" i="5904" s="1"/>
  <c r="R126" i="5905"/>
  <c r="J127" i="5905"/>
  <c r="N126" i="5906"/>
  <c r="M108" i="5906"/>
  <c r="P124" i="5905"/>
  <c r="P126" i="5905" s="1"/>
  <c r="AI131" i="5905"/>
  <c r="P128" i="5906"/>
  <c r="P126" i="5906"/>
  <c r="AA126" i="5906"/>
  <c r="AA130" i="5906" s="1"/>
  <c r="AA132" i="5906" s="1"/>
  <c r="L115" i="5904"/>
  <c r="L118" i="5904" s="1"/>
  <c r="L145" i="5904" s="1"/>
  <c r="X115" i="5904"/>
  <c r="X118" i="5904" s="1"/>
  <c r="X120" i="5904" s="1"/>
  <c r="X131" i="5904" s="1"/>
  <c r="AJ115" i="5904"/>
  <c r="D42" i="5905"/>
  <c r="D40" i="5905"/>
  <c r="Q127" i="5905"/>
  <c r="AN130" i="5906"/>
  <c r="AN132" i="5906" s="1"/>
  <c r="O126" i="5906"/>
  <c r="O128" i="5906"/>
  <c r="AG127" i="5906"/>
  <c r="Q120" i="5906"/>
  <c r="Q131" i="5906" s="1"/>
  <c r="AG128" i="5906"/>
  <c r="M115" i="5904"/>
  <c r="M118" i="5904" s="1"/>
  <c r="M145" i="5904" s="1"/>
  <c r="Y115" i="5904"/>
  <c r="Y118" i="5904" s="1"/>
  <c r="AK115" i="5904"/>
  <c r="AK118" i="5904" s="1"/>
  <c r="D28" i="5905"/>
  <c r="AO126" i="5906"/>
  <c r="AO130" i="5906" s="1"/>
  <c r="AO132" i="5906" s="1"/>
  <c r="AH126" i="5906"/>
  <c r="X108" i="5904"/>
  <c r="N115" i="5904"/>
  <c r="N118" i="5904" s="1"/>
  <c r="N145" i="5904" s="1"/>
  <c r="Z115" i="5904"/>
  <c r="Z118" i="5904" s="1"/>
  <c r="Z126" i="5904" s="1"/>
  <c r="AJ115" i="5905"/>
  <c r="AJ118" i="5905" s="1"/>
  <c r="AJ126" i="5905" s="1"/>
  <c r="X115" i="5905"/>
  <c r="X118" i="5905" s="1"/>
  <c r="X120" i="5905" s="1"/>
  <c r="X131" i="5905" s="1"/>
  <c r="L115" i="5905"/>
  <c r="L118" i="5905" s="1"/>
  <c r="L145" i="5905" s="1"/>
  <c r="AN115" i="5905"/>
  <c r="AN118" i="5905" s="1"/>
  <c r="AB115" i="5905"/>
  <c r="AB118" i="5905" s="1"/>
  <c r="P115" i="5905"/>
  <c r="P118" i="5905" s="1"/>
  <c r="AM115" i="5905"/>
  <c r="AM118" i="5905" s="1"/>
  <c r="AA115" i="5905"/>
  <c r="AA118" i="5905" s="1"/>
  <c r="AA126" i="5905" s="1"/>
  <c r="O115" i="5905"/>
  <c r="O118" i="5905" s="1"/>
  <c r="AL115" i="5905"/>
  <c r="AL118" i="5905" s="1"/>
  <c r="AL128" i="5905" s="1"/>
  <c r="Z115" i="5905"/>
  <c r="Z118" i="5905" s="1"/>
  <c r="Z126" i="5905" s="1"/>
  <c r="Z130" i="5905" s="1"/>
  <c r="Z132" i="5905" s="1"/>
  <c r="N115" i="5905"/>
  <c r="N118" i="5905" s="1"/>
  <c r="N145" i="5905" s="1"/>
  <c r="M115" i="5905"/>
  <c r="M118" i="5905" s="1"/>
  <c r="M145" i="5905" s="1"/>
  <c r="AF115" i="5905"/>
  <c r="AF118" i="5905" s="1"/>
  <c r="AF128" i="5905" s="1"/>
  <c r="AO127" i="5905"/>
  <c r="AQ118" i="5906"/>
  <c r="AQ128" i="5906" s="1"/>
  <c r="AQ127" i="5906"/>
  <c r="F126" i="5906"/>
  <c r="AI128" i="5906"/>
  <c r="AI126" i="5906"/>
  <c r="AI130" i="5906" s="1"/>
  <c r="AI132" i="5906" s="1"/>
  <c r="AP115" i="5906"/>
  <c r="AP118" i="5906" s="1"/>
  <c r="AP128" i="5906" s="1"/>
  <c r="N128" i="5906"/>
  <c r="N120" i="5906"/>
  <c r="N131" i="5906" s="1"/>
  <c r="L115" i="5906"/>
  <c r="L118" i="5906" s="1"/>
  <c r="L145" i="5906" s="1"/>
  <c r="AB115" i="5906"/>
  <c r="AB118" i="5906" s="1"/>
  <c r="AB128" i="5906" s="1"/>
  <c r="W120" i="5906"/>
  <c r="W131" i="5906" s="1"/>
  <c r="K127" i="5906"/>
  <c r="AF131" i="5907"/>
  <c r="J128" i="5909"/>
  <c r="O127" i="5906"/>
  <c r="O120" i="5906"/>
  <c r="O131" i="5906" s="1"/>
  <c r="M115" i="5906"/>
  <c r="M118" i="5906" s="1"/>
  <c r="M145" i="5906" s="1"/>
  <c r="AC115" i="5906"/>
  <c r="AC118" i="5906" s="1"/>
  <c r="Y131" i="5906"/>
  <c r="AK131" i="5906"/>
  <c r="E127" i="5906"/>
  <c r="L127" i="5906"/>
  <c r="T137" i="5906"/>
  <c r="AF137" i="5906"/>
  <c r="AR137" i="5906"/>
  <c r="F124" i="5907"/>
  <c r="L124" i="5907"/>
  <c r="J120" i="5905"/>
  <c r="J131" i="5905" s="1"/>
  <c r="V120" i="5905"/>
  <c r="V131" i="5905" s="1"/>
  <c r="Q108" i="5906"/>
  <c r="P127" i="5906"/>
  <c r="N115" i="5906"/>
  <c r="N118" i="5906" s="1"/>
  <c r="N145" i="5906" s="1"/>
  <c r="AE115" i="5906"/>
  <c r="Z131" i="5906"/>
  <c r="F134" i="5906"/>
  <c r="AB124" i="5909"/>
  <c r="AN124" i="5909"/>
  <c r="L108" i="5909"/>
  <c r="X122" i="5909"/>
  <c r="X108" i="5909"/>
  <c r="AP126" i="5906"/>
  <c r="AP130" i="5906" s="1"/>
  <c r="AP132" i="5906" s="1"/>
  <c r="U108" i="5906"/>
  <c r="S124" i="5906"/>
  <c r="S128" i="5906" s="1"/>
  <c r="J134" i="5906"/>
  <c r="AH127" i="5906"/>
  <c r="F124" i="5906"/>
  <c r="F127" i="5906"/>
  <c r="R124" i="5906"/>
  <c r="R128" i="5906" s="1"/>
  <c r="W127" i="5906"/>
  <c r="W130" i="5906" s="1"/>
  <c r="W132" i="5906" s="1"/>
  <c r="L128" i="5908"/>
  <c r="Q134" i="5906"/>
  <c r="E134" i="5906"/>
  <c r="U134" i="5906"/>
  <c r="I134" i="5906"/>
  <c r="T134" i="5906"/>
  <c r="H134" i="5906"/>
  <c r="S134" i="5906"/>
  <c r="G134" i="5906"/>
  <c r="N134" i="5906"/>
  <c r="C158" i="5906"/>
  <c r="V134" i="5906"/>
  <c r="R134" i="5906"/>
  <c r="P134" i="5906"/>
  <c r="W128" i="5906"/>
  <c r="X127" i="5906"/>
  <c r="L134" i="5906"/>
  <c r="P108" i="5907"/>
  <c r="S134" i="5908"/>
  <c r="G134" i="5908"/>
  <c r="W134" i="5908"/>
  <c r="K134" i="5908"/>
  <c r="U134" i="5908"/>
  <c r="I134" i="5908"/>
  <c r="X134" i="5908"/>
  <c r="F134" i="5908"/>
  <c r="R134" i="5908"/>
  <c r="C158" i="5908"/>
  <c r="P134" i="5908"/>
  <c r="M134" i="5908"/>
  <c r="L134" i="5908"/>
  <c r="J134" i="5908"/>
  <c r="C157" i="5908"/>
  <c r="V134" i="5908"/>
  <c r="T134" i="5908"/>
  <c r="Q134" i="5908"/>
  <c r="O134" i="5908"/>
  <c r="N134" i="5908"/>
  <c r="D113" i="5908"/>
  <c r="D146" i="5908" s="1"/>
  <c r="H134" i="5908"/>
  <c r="E134" i="5908"/>
  <c r="AG126" i="5906"/>
  <c r="AG130" i="5906" s="1"/>
  <c r="AG132" i="5906" s="1"/>
  <c r="AJ127" i="5906"/>
  <c r="T122" i="5906"/>
  <c r="T108" i="5906"/>
  <c r="V124" i="5906"/>
  <c r="X126" i="5906"/>
  <c r="Z127" i="5906"/>
  <c r="M134" i="5906"/>
  <c r="Q124" i="5907"/>
  <c r="Y127" i="5906"/>
  <c r="Y124" i="5906"/>
  <c r="Y128" i="5906" s="1"/>
  <c r="AK127" i="5906"/>
  <c r="AK124" i="5906"/>
  <c r="D113" i="5906"/>
  <c r="D146" i="5906" s="1"/>
  <c r="O134" i="5906"/>
  <c r="AL124" i="5906"/>
  <c r="AL128" i="5906" s="1"/>
  <c r="AL127" i="5906"/>
  <c r="S120" i="5906"/>
  <c r="S131" i="5906" s="1"/>
  <c r="W134" i="5906"/>
  <c r="AF124" i="5908"/>
  <c r="AR124" i="5908"/>
  <c r="P124" i="5908"/>
  <c r="Z137" i="5905"/>
  <c r="AL137" i="5905"/>
  <c r="K128" i="5906"/>
  <c r="AA127" i="5906"/>
  <c r="AA124" i="5906"/>
  <c r="AA128" i="5906" s="1"/>
  <c r="AM127" i="5906"/>
  <c r="AM130" i="5906" s="1"/>
  <c r="AM132" i="5906" s="1"/>
  <c r="E118" i="5906"/>
  <c r="E126" i="5906" s="1"/>
  <c r="H127" i="5906"/>
  <c r="X134" i="5906"/>
  <c r="X124" i="5907"/>
  <c r="AJ124" i="5907"/>
  <c r="H124" i="5907"/>
  <c r="T122" i="5907"/>
  <c r="T108" i="5907"/>
  <c r="V108" i="5905"/>
  <c r="Y126" i="5906"/>
  <c r="Y130" i="5906" s="1"/>
  <c r="Y132" i="5906" s="1"/>
  <c r="L128" i="5906"/>
  <c r="L120" i="5906"/>
  <c r="L131" i="5906" s="1"/>
  <c r="X120" i="5906"/>
  <c r="X131" i="5906" s="1"/>
  <c r="G115" i="5906"/>
  <c r="G118" i="5906" s="1"/>
  <c r="G145" i="5906" s="1"/>
  <c r="Z115" i="5906"/>
  <c r="Z118" i="5906" s="1"/>
  <c r="Z128" i="5906" s="1"/>
  <c r="I127" i="5906"/>
  <c r="AC137" i="5906"/>
  <c r="AO137" i="5906"/>
  <c r="H115" i="5906"/>
  <c r="H118" i="5906" s="1"/>
  <c r="H145" i="5906" s="1"/>
  <c r="T115" i="5906"/>
  <c r="T118" i="5906" s="1"/>
  <c r="T120" i="5906" s="1"/>
  <c r="T131" i="5906" s="1"/>
  <c r="AF115" i="5906"/>
  <c r="AR115" i="5906"/>
  <c r="O124" i="5907"/>
  <c r="V137" i="5907"/>
  <c r="AH137" i="5907"/>
  <c r="Q124" i="5908"/>
  <c r="AR131" i="5908"/>
  <c r="L127" i="5908"/>
  <c r="C157" i="5906"/>
  <c r="I115" i="5906"/>
  <c r="I118" i="5906" s="1"/>
  <c r="I145" i="5906" s="1"/>
  <c r="U115" i="5906"/>
  <c r="U118" i="5906" s="1"/>
  <c r="AG115" i="5906"/>
  <c r="AG118" i="5906" s="1"/>
  <c r="D42" i="5907"/>
  <c r="T124" i="5908"/>
  <c r="AI115" i="5909"/>
  <c r="AI118" i="5909" s="1"/>
  <c r="AI126" i="5909" s="1"/>
  <c r="AI130" i="5909" s="1"/>
  <c r="AI132" i="5909" s="1"/>
  <c r="W115" i="5909"/>
  <c r="W118" i="5909" s="1"/>
  <c r="W120" i="5909" s="1"/>
  <c r="W131" i="5909" s="1"/>
  <c r="K115" i="5909"/>
  <c r="K118" i="5909" s="1"/>
  <c r="C34" i="5909"/>
  <c r="AR115" i="5909"/>
  <c r="AF115" i="5909"/>
  <c r="AF118" i="5909" s="1"/>
  <c r="T115" i="5909"/>
  <c r="T118" i="5909" s="1"/>
  <c r="T126" i="5909" s="1"/>
  <c r="AM115" i="5909"/>
  <c r="AM118" i="5909" s="1"/>
  <c r="AA115" i="5909"/>
  <c r="AA118" i="5909" s="1"/>
  <c r="O115" i="5909"/>
  <c r="O118" i="5909" s="1"/>
  <c r="AL115" i="5909"/>
  <c r="AL118" i="5909" s="1"/>
  <c r="Z115" i="5909"/>
  <c r="Z118" i="5909" s="1"/>
  <c r="N115" i="5909"/>
  <c r="N118" i="5909" s="1"/>
  <c r="N145" i="5909" s="1"/>
  <c r="AK115" i="5909"/>
  <c r="AK118" i="5909" s="1"/>
  <c r="AK126" i="5909" s="1"/>
  <c r="Y115" i="5909"/>
  <c r="Y118" i="5909" s="1"/>
  <c r="M115" i="5909"/>
  <c r="M118" i="5909" s="1"/>
  <c r="X115" i="5909"/>
  <c r="X118" i="5909" s="1"/>
  <c r="X120" i="5909" s="1"/>
  <c r="X131" i="5909" s="1"/>
  <c r="F115" i="5909"/>
  <c r="F118" i="5909" s="1"/>
  <c r="E115" i="5909"/>
  <c r="AQ115" i="5909"/>
  <c r="AQ118" i="5909" s="1"/>
  <c r="U115" i="5909"/>
  <c r="AO115" i="5909"/>
  <c r="S115" i="5909"/>
  <c r="S118" i="5909" s="1"/>
  <c r="S145" i="5909" s="1"/>
  <c r="AN115" i="5909"/>
  <c r="AN118" i="5909" s="1"/>
  <c r="R115" i="5909"/>
  <c r="R118" i="5909" s="1"/>
  <c r="R145" i="5909" s="1"/>
  <c r="AJ115" i="5909"/>
  <c r="Q115" i="5909"/>
  <c r="AE115" i="5909"/>
  <c r="J115" i="5909"/>
  <c r="J118" i="5909" s="1"/>
  <c r="J145" i="5909" s="1"/>
  <c r="I115" i="5909"/>
  <c r="AC115" i="5909"/>
  <c r="H115" i="5909"/>
  <c r="H118" i="5909" s="1"/>
  <c r="H145" i="5909" s="1"/>
  <c r="AL126" i="5909"/>
  <c r="N127" i="5909"/>
  <c r="N124" i="5909"/>
  <c r="N128" i="5909" s="1"/>
  <c r="AG115" i="5909"/>
  <c r="J115" i="5906"/>
  <c r="V115" i="5906"/>
  <c r="V118" i="5906" s="1"/>
  <c r="V120" i="5906" s="1"/>
  <c r="V131" i="5906" s="1"/>
  <c r="AH115" i="5906"/>
  <c r="AH118" i="5906" s="1"/>
  <c r="AH128" i="5906" s="1"/>
  <c r="P120" i="5906"/>
  <c r="P131" i="5906" s="1"/>
  <c r="AB131" i="5906"/>
  <c r="AN131" i="5906"/>
  <c r="AP127" i="5906"/>
  <c r="D43" i="5907"/>
  <c r="Q115" i="5907"/>
  <c r="R124" i="5907"/>
  <c r="AM124" i="5907"/>
  <c r="U108" i="5908"/>
  <c r="AI124" i="5908"/>
  <c r="W115" i="5908"/>
  <c r="W118" i="5908" s="1"/>
  <c r="W128" i="5908" s="1"/>
  <c r="AH115" i="5909"/>
  <c r="AH118" i="5909" s="1"/>
  <c r="AH126" i="5909" s="1"/>
  <c r="AH130" i="5909" s="1"/>
  <c r="AH132" i="5909" s="1"/>
  <c r="Y137" i="5907"/>
  <c r="AK137" i="5907"/>
  <c r="AR124" i="5909"/>
  <c r="P108" i="5909"/>
  <c r="Y124" i="5907"/>
  <c r="AK124" i="5907"/>
  <c r="U122" i="5907"/>
  <c r="U108" i="5907"/>
  <c r="AA115" i="5908"/>
  <c r="AA118" i="5908" s="1"/>
  <c r="AA126" i="5908" s="1"/>
  <c r="W127" i="5908"/>
  <c r="R127" i="5909"/>
  <c r="R124" i="5909"/>
  <c r="R128" i="5909" s="1"/>
  <c r="Y128" i="5909"/>
  <c r="V122" i="5907"/>
  <c r="V108" i="5907"/>
  <c r="V122" i="5908"/>
  <c r="V108" i="5908"/>
  <c r="Y131" i="5908"/>
  <c r="S124" i="5909"/>
  <c r="S128" i="5909" s="1"/>
  <c r="AH128" i="5909"/>
  <c r="R120" i="5909"/>
  <c r="R131" i="5909" s="1"/>
  <c r="X124" i="5910"/>
  <c r="AJ124" i="5910"/>
  <c r="H124" i="5910"/>
  <c r="T108" i="5910"/>
  <c r="T122" i="5910"/>
  <c r="C157" i="5907"/>
  <c r="W122" i="5907"/>
  <c r="W108" i="5907"/>
  <c r="V115" i="5907"/>
  <c r="V118" i="5907" s="1"/>
  <c r="V120" i="5907" s="1"/>
  <c r="V131" i="5907" s="1"/>
  <c r="S126" i="5909"/>
  <c r="AQ126" i="5909"/>
  <c r="AF124" i="5909"/>
  <c r="AF128" i="5909" s="1"/>
  <c r="M124" i="5907"/>
  <c r="Z115" i="5907"/>
  <c r="E115" i="5908"/>
  <c r="E127" i="5908" s="1"/>
  <c r="AJ115" i="5908"/>
  <c r="L115" i="5908"/>
  <c r="L118" i="5908" s="1"/>
  <c r="L145" i="5908" s="1"/>
  <c r="U115" i="5908"/>
  <c r="U118" i="5908" s="1"/>
  <c r="U120" i="5908" s="1"/>
  <c r="U131" i="5908" s="1"/>
  <c r="T115" i="5908"/>
  <c r="T118" i="5908" s="1"/>
  <c r="T120" i="5908" s="1"/>
  <c r="T131" i="5908" s="1"/>
  <c r="S115" i="5908"/>
  <c r="I124" i="5908"/>
  <c r="AN124" i="5908"/>
  <c r="X122" i="5908"/>
  <c r="X108" i="5908"/>
  <c r="AF126" i="5909"/>
  <c r="AH127" i="5909"/>
  <c r="D28" i="5907"/>
  <c r="D39" i="5907"/>
  <c r="AA115" i="5907"/>
  <c r="AB124" i="5907"/>
  <c r="C34" i="5908"/>
  <c r="AP115" i="5908" s="1"/>
  <c r="K124" i="5908"/>
  <c r="Z124" i="5908"/>
  <c r="L115" i="5907"/>
  <c r="W115" i="5907"/>
  <c r="W118" i="5907" s="1"/>
  <c r="W120" i="5907" s="1"/>
  <c r="W131" i="5907" s="1"/>
  <c r="C34" i="5907"/>
  <c r="AE115" i="5907" s="1"/>
  <c r="AD124" i="5907"/>
  <c r="AK126" i="5908"/>
  <c r="M115" i="5908"/>
  <c r="M118" i="5908" s="1"/>
  <c r="M145" i="5908" s="1"/>
  <c r="AK115" i="5908"/>
  <c r="AK118" i="5908" s="1"/>
  <c r="AK128" i="5908" s="1"/>
  <c r="AK127" i="5908"/>
  <c r="AR137" i="5908"/>
  <c r="V124" i="5909"/>
  <c r="AK128" i="5909"/>
  <c r="AB127" i="5906"/>
  <c r="AN127" i="5906"/>
  <c r="F115" i="5906"/>
  <c r="F118" i="5906" s="1"/>
  <c r="R115" i="5906"/>
  <c r="R118" i="5906" s="1"/>
  <c r="R145" i="5906" s="1"/>
  <c r="AD115" i="5906"/>
  <c r="AC115" i="5907"/>
  <c r="AC118" i="5907" s="1"/>
  <c r="I124" i="5907"/>
  <c r="N124" i="5908"/>
  <c r="L120" i="5908"/>
  <c r="L131" i="5908" s="1"/>
  <c r="AP131" i="5908"/>
  <c r="K126" i="5909"/>
  <c r="K128" i="5909"/>
  <c r="L115" i="5909"/>
  <c r="L118" i="5909" s="1"/>
  <c r="L145" i="5909" s="1"/>
  <c r="D26" i="5908"/>
  <c r="O127" i="5909"/>
  <c r="O124" i="5909"/>
  <c r="M127" i="5909"/>
  <c r="AD137" i="5909"/>
  <c r="C158" i="5910"/>
  <c r="M134" i="5910"/>
  <c r="V134" i="5910"/>
  <c r="J134" i="5910"/>
  <c r="T134" i="5910"/>
  <c r="H134" i="5910"/>
  <c r="Q134" i="5910"/>
  <c r="E134" i="5910"/>
  <c r="P134" i="5910"/>
  <c r="O134" i="5910"/>
  <c r="S134" i="5910"/>
  <c r="D113" i="5910"/>
  <c r="D146" i="5910" s="1"/>
  <c r="C157" i="5910"/>
  <c r="L134" i="5910"/>
  <c r="I134" i="5910"/>
  <c r="X134" i="5910"/>
  <c r="W134" i="5910"/>
  <c r="AN115" i="5910"/>
  <c r="J120" i="5911"/>
  <c r="J131" i="5911" s="1"/>
  <c r="O115" i="5911"/>
  <c r="O118" i="5911" s="1"/>
  <c r="O145" i="5911" s="1"/>
  <c r="F108" i="5908"/>
  <c r="R108" i="5908"/>
  <c r="D40" i="5909"/>
  <c r="D39" i="5909"/>
  <c r="M124" i="5909"/>
  <c r="O126" i="5909"/>
  <c r="AE137" i="5909"/>
  <c r="AQ137" i="5909"/>
  <c r="J108" i="5910"/>
  <c r="V122" i="5910"/>
  <c r="V108" i="5910"/>
  <c r="V137" i="5910"/>
  <c r="AH137" i="5910"/>
  <c r="AA115" i="5911"/>
  <c r="AA118" i="5911" s="1"/>
  <c r="D28" i="5908"/>
  <c r="W126" i="5908"/>
  <c r="W130" i="5908" s="1"/>
  <c r="AA131" i="5908"/>
  <c r="AM131" i="5908"/>
  <c r="D28" i="5909"/>
  <c r="AQ128" i="5909"/>
  <c r="AL131" i="5909"/>
  <c r="AI128" i="5909"/>
  <c r="AI115" i="5911"/>
  <c r="L127" i="5910"/>
  <c r="L124" i="5910"/>
  <c r="R126" i="5909"/>
  <c r="AG115" i="5911"/>
  <c r="AG118" i="5911" s="1"/>
  <c r="U115" i="5911"/>
  <c r="U118" i="5911" s="1"/>
  <c r="U120" i="5911" s="1"/>
  <c r="U131" i="5911" s="1"/>
  <c r="I115" i="5911"/>
  <c r="I118" i="5911" s="1"/>
  <c r="Z115" i="5911"/>
  <c r="AN115" i="5911"/>
  <c r="S115" i="5911"/>
  <c r="AL115" i="5911"/>
  <c r="P115" i="5911"/>
  <c r="AE115" i="5911"/>
  <c r="L115" i="5911"/>
  <c r="L118" i="5911" s="1"/>
  <c r="L145" i="5911" s="1"/>
  <c r="AC115" i="5911"/>
  <c r="K115" i="5911"/>
  <c r="K118" i="5911" s="1"/>
  <c r="K145" i="5911" s="1"/>
  <c r="AB115" i="5911"/>
  <c r="G115" i="5911"/>
  <c r="N115" i="5911"/>
  <c r="E115" i="5911"/>
  <c r="AO115" i="5911"/>
  <c r="AO118" i="5911" s="1"/>
  <c r="AO126" i="5911" s="1"/>
  <c r="AJ115" i="5911"/>
  <c r="AJ118" i="5911" s="1"/>
  <c r="X115" i="5911"/>
  <c r="X118" i="5911" s="1"/>
  <c r="W115" i="5911"/>
  <c r="W118" i="5911" s="1"/>
  <c r="W120" i="5911" s="1"/>
  <c r="W131" i="5911" s="1"/>
  <c r="Q115" i="5911"/>
  <c r="Q118" i="5911" s="1"/>
  <c r="Q145" i="5911" s="1"/>
  <c r="AQ115" i="5911"/>
  <c r="V122" i="5909"/>
  <c r="AP124" i="5909"/>
  <c r="Y126" i="5909"/>
  <c r="AD124" i="5910"/>
  <c r="AP124" i="5910"/>
  <c r="F127" i="5909"/>
  <c r="AI127" i="5909"/>
  <c r="H120" i="5909"/>
  <c r="H131" i="5909" s="1"/>
  <c r="AG128" i="5910"/>
  <c r="G134" i="5910"/>
  <c r="Q120" i="5911"/>
  <c r="Q131" i="5911" s="1"/>
  <c r="C158" i="5911"/>
  <c r="V134" i="5911"/>
  <c r="J134" i="5911"/>
  <c r="S134" i="5911"/>
  <c r="G134" i="5911"/>
  <c r="Q134" i="5911"/>
  <c r="E134" i="5911"/>
  <c r="N134" i="5911"/>
  <c r="M134" i="5911"/>
  <c r="X134" i="5911"/>
  <c r="L134" i="5911"/>
  <c r="P134" i="5911"/>
  <c r="I134" i="5911"/>
  <c r="F134" i="5911"/>
  <c r="C157" i="5911"/>
  <c r="W134" i="5911"/>
  <c r="U134" i="5911"/>
  <c r="T134" i="5911"/>
  <c r="R134" i="5911"/>
  <c r="O134" i="5911"/>
  <c r="D113" i="5911"/>
  <c r="D146" i="5911" s="1"/>
  <c r="H134" i="5911"/>
  <c r="Y127" i="5909"/>
  <c r="AK127" i="5909"/>
  <c r="F124" i="5909"/>
  <c r="Z137" i="5909"/>
  <c r="R124" i="5910"/>
  <c r="U124" i="5911"/>
  <c r="AH124" i="5911"/>
  <c r="F108" i="5911"/>
  <c r="R108" i="5911"/>
  <c r="R120" i="5911"/>
  <c r="R131" i="5911" s="1"/>
  <c r="Y126" i="5911"/>
  <c r="C157" i="5909"/>
  <c r="C154" i="5909"/>
  <c r="C41" i="5909"/>
  <c r="C152" i="5909" s="1"/>
  <c r="Z124" i="5909"/>
  <c r="AL127" i="5909"/>
  <c r="AL124" i="5909"/>
  <c r="AL128" i="5909" s="1"/>
  <c r="H124" i="5909"/>
  <c r="H128" i="5909" s="1"/>
  <c r="AG115" i="5910"/>
  <c r="AG118" i="5910" s="1"/>
  <c r="AG126" i="5910" s="1"/>
  <c r="L115" i="5910"/>
  <c r="L118" i="5910" s="1"/>
  <c r="L145" i="5910" s="1"/>
  <c r="W115" i="5910"/>
  <c r="W118" i="5910" s="1"/>
  <c r="W120" i="5910" s="1"/>
  <c r="W131" i="5910" s="1"/>
  <c r="C34" i="5910"/>
  <c r="AP115" i="5910" s="1"/>
  <c r="AA115" i="5910"/>
  <c r="F115" i="5910"/>
  <c r="AA126" i="5911"/>
  <c r="D21" i="5908"/>
  <c r="D21" i="5909"/>
  <c r="AA124" i="5909"/>
  <c r="AA126" i="5909" s="1"/>
  <c r="AM124" i="5909"/>
  <c r="AM126" i="5909" s="1"/>
  <c r="K127" i="5909"/>
  <c r="W122" i="5909"/>
  <c r="W108" i="5909"/>
  <c r="AD124" i="5909"/>
  <c r="AQ127" i="5909"/>
  <c r="R134" i="5910"/>
  <c r="X128" i="5911"/>
  <c r="AJ124" i="5911"/>
  <c r="AJ126" i="5911" s="1"/>
  <c r="AJ127" i="5911"/>
  <c r="H108" i="5911"/>
  <c r="T122" i="5911"/>
  <c r="T108" i="5911"/>
  <c r="W122" i="5910"/>
  <c r="W108" i="5910"/>
  <c r="AR126" i="5911"/>
  <c r="M124" i="5910"/>
  <c r="L120" i="5910"/>
  <c r="L131" i="5910" s="1"/>
  <c r="AA137" i="5910"/>
  <c r="AM137" i="5910"/>
  <c r="Q126" i="5911"/>
  <c r="O120" i="5911"/>
  <c r="O131" i="5911" s="1"/>
  <c r="Q128" i="5911"/>
  <c r="D28" i="5910"/>
  <c r="D39" i="5910"/>
  <c r="AR124" i="5910"/>
  <c r="F106" i="5911"/>
  <c r="G106" i="5911" s="1"/>
  <c r="H106" i="5911" s="1"/>
  <c r="I106" i="5911" s="1"/>
  <c r="J106" i="5911" s="1"/>
  <c r="K106" i="5911" s="1"/>
  <c r="L106" i="5911" s="1"/>
  <c r="M106" i="5911" s="1"/>
  <c r="N106" i="5911" s="1"/>
  <c r="O106" i="5911" s="1"/>
  <c r="P106" i="5911" s="1"/>
  <c r="Q106" i="5911" s="1"/>
  <c r="R106" i="5911" s="1"/>
  <c r="S106" i="5911" s="1"/>
  <c r="T106" i="5911" s="1"/>
  <c r="U106" i="5911" s="1"/>
  <c r="V106" i="5911" s="1"/>
  <c r="W106" i="5911" s="1"/>
  <c r="X106" i="5911" s="1"/>
  <c r="Y106" i="5911" s="1"/>
  <c r="Z106" i="5911" s="1"/>
  <c r="AA106" i="5911" s="1"/>
  <c r="AB106" i="5911" s="1"/>
  <c r="AC106" i="5911" s="1"/>
  <c r="AD106" i="5911" s="1"/>
  <c r="AE106" i="5911" s="1"/>
  <c r="AF106" i="5911" s="1"/>
  <c r="AG106" i="5911" s="1"/>
  <c r="AH106" i="5911" s="1"/>
  <c r="AI106" i="5911" s="1"/>
  <c r="AJ106" i="5911" s="1"/>
  <c r="AK106" i="5911" s="1"/>
  <c r="AL106" i="5911" s="1"/>
  <c r="AM106" i="5911" s="1"/>
  <c r="AN106" i="5911" s="1"/>
  <c r="AO106" i="5911" s="1"/>
  <c r="AP106" i="5911" s="1"/>
  <c r="AQ106" i="5911" s="1"/>
  <c r="AR106" i="5911" s="1"/>
  <c r="AF127" i="5911"/>
  <c r="AR127" i="5911"/>
  <c r="X126" i="5911"/>
  <c r="F126" i="5912"/>
  <c r="W124" i="5912"/>
  <c r="W127" i="5912"/>
  <c r="G108" i="5912"/>
  <c r="S108" i="5912"/>
  <c r="X128" i="5912"/>
  <c r="AP126" i="5912"/>
  <c r="I126" i="5911"/>
  <c r="P126" i="5912"/>
  <c r="R124" i="5913"/>
  <c r="R128" i="5913" s="1"/>
  <c r="R127" i="5913"/>
  <c r="N127" i="5912"/>
  <c r="AJ131" i="5910"/>
  <c r="I127" i="5911"/>
  <c r="I124" i="5911"/>
  <c r="I128" i="5911" s="1"/>
  <c r="Y127" i="5911"/>
  <c r="Y124" i="5911"/>
  <c r="AK124" i="5911"/>
  <c r="AM126" i="5911"/>
  <c r="AM128" i="5911"/>
  <c r="L126" i="5912"/>
  <c r="L124" i="5911"/>
  <c r="L127" i="5911"/>
  <c r="AA124" i="5911"/>
  <c r="AA128" i="5911" s="1"/>
  <c r="AM127" i="5911"/>
  <c r="K124" i="5911"/>
  <c r="W122" i="5911"/>
  <c r="W108" i="5911"/>
  <c r="AG118" i="5912"/>
  <c r="AG127" i="5912"/>
  <c r="AG128" i="5912"/>
  <c r="Y124" i="5910"/>
  <c r="AK124" i="5910"/>
  <c r="U122" i="5910"/>
  <c r="U108" i="5910"/>
  <c r="AO128" i="5911"/>
  <c r="L120" i="5911"/>
  <c r="L131" i="5911" s="1"/>
  <c r="X120" i="5911"/>
  <c r="X131" i="5911" s="1"/>
  <c r="AD131" i="5911"/>
  <c r="AP131" i="5911"/>
  <c r="AP128" i="5911"/>
  <c r="I126" i="5912"/>
  <c r="AJ124" i="5912"/>
  <c r="H128" i="5912"/>
  <c r="T122" i="5912"/>
  <c r="T108" i="5912"/>
  <c r="AK115" i="5912"/>
  <c r="U127" i="5913"/>
  <c r="U124" i="5913"/>
  <c r="U128" i="5913" s="1"/>
  <c r="AL115" i="5912"/>
  <c r="AL118" i="5912" s="1"/>
  <c r="O127" i="5911"/>
  <c r="E102" i="5912"/>
  <c r="AL127" i="5912"/>
  <c r="J120" i="5912"/>
  <c r="J131" i="5912" s="1"/>
  <c r="V122" i="5912"/>
  <c r="V108" i="5912"/>
  <c r="H115" i="5912"/>
  <c r="H118" i="5912" s="1"/>
  <c r="AR115" i="5912"/>
  <c r="AR118" i="5912" s="1"/>
  <c r="AR126" i="5912" s="1"/>
  <c r="I127" i="5912"/>
  <c r="U126" i="5912"/>
  <c r="U130" i="5912" s="1"/>
  <c r="U132" i="5912" s="1"/>
  <c r="X120" i="5913"/>
  <c r="X131" i="5913" s="1"/>
  <c r="X120" i="5912"/>
  <c r="X131" i="5912" s="1"/>
  <c r="AP115" i="5911"/>
  <c r="AP118" i="5911" s="1"/>
  <c r="AP126" i="5911" s="1"/>
  <c r="AG127" i="5911"/>
  <c r="AG124" i="5911"/>
  <c r="AG128" i="5911" s="1"/>
  <c r="L124" i="5912"/>
  <c r="L128" i="5912" s="1"/>
  <c r="L127" i="5912"/>
  <c r="AC124" i="5912"/>
  <c r="M115" i="5912"/>
  <c r="J124" i="5912"/>
  <c r="J128" i="5912" s="1"/>
  <c r="AD128" i="5913"/>
  <c r="N128" i="5912"/>
  <c r="K128" i="5912"/>
  <c r="V137" i="5912"/>
  <c r="AH137" i="5912"/>
  <c r="M126" i="5914"/>
  <c r="AK126" i="5914"/>
  <c r="J124" i="5914"/>
  <c r="V124" i="5911"/>
  <c r="Y131" i="5911"/>
  <c r="AK131" i="5911"/>
  <c r="D26" i="5912"/>
  <c r="D21" i="5912"/>
  <c r="D40" i="5912"/>
  <c r="D39" i="5912"/>
  <c r="AN115" i="5912"/>
  <c r="O124" i="5912"/>
  <c r="AE124" i="5912"/>
  <c r="AQ127" i="5912"/>
  <c r="AQ124" i="5912"/>
  <c r="X127" i="5912"/>
  <c r="Y115" i="5912"/>
  <c r="I115" i="5912"/>
  <c r="I118" i="5912" s="1"/>
  <c r="AI115" i="5912"/>
  <c r="P115" i="5912"/>
  <c r="P118" i="5912" s="1"/>
  <c r="AH115" i="5912"/>
  <c r="AH118" i="5912" s="1"/>
  <c r="N115" i="5912"/>
  <c r="N118" i="5912" s="1"/>
  <c r="N126" i="5912" s="1"/>
  <c r="Q124" i="5912"/>
  <c r="X115" i="5912"/>
  <c r="X118" i="5912" s="1"/>
  <c r="X126" i="5912" s="1"/>
  <c r="X130" i="5912" s="1"/>
  <c r="X132" i="5912" s="1"/>
  <c r="U128" i="5912"/>
  <c r="AG126" i="5912"/>
  <c r="AG126" i="5913"/>
  <c r="Z115" i="5912"/>
  <c r="AJ130" i="5913"/>
  <c r="AJ132" i="5913" s="1"/>
  <c r="J127" i="5911"/>
  <c r="J124" i="5911"/>
  <c r="J128" i="5911" s="1"/>
  <c r="D42" i="5912"/>
  <c r="AQ126" i="5912"/>
  <c r="U127" i="5912"/>
  <c r="R124" i="5912"/>
  <c r="AB115" i="5912"/>
  <c r="H126" i="5912"/>
  <c r="E102" i="5913"/>
  <c r="F106" i="5913"/>
  <c r="G106" i="5913" s="1"/>
  <c r="H106" i="5913" s="1"/>
  <c r="I106" i="5913" s="1"/>
  <c r="J106" i="5913" s="1"/>
  <c r="K106" i="5913" s="1"/>
  <c r="L106" i="5913" s="1"/>
  <c r="M106" i="5913" s="1"/>
  <c r="N106" i="5913" s="1"/>
  <c r="O106" i="5913" s="1"/>
  <c r="P106" i="5913" s="1"/>
  <c r="Q106" i="5913" s="1"/>
  <c r="R106" i="5913" s="1"/>
  <c r="S106" i="5913" s="1"/>
  <c r="T106" i="5913" s="1"/>
  <c r="U106" i="5913" s="1"/>
  <c r="V106" i="5913" s="1"/>
  <c r="W106" i="5913" s="1"/>
  <c r="X106" i="5913" s="1"/>
  <c r="Y106" i="5913" s="1"/>
  <c r="Z106" i="5913" s="1"/>
  <c r="AA106" i="5913" s="1"/>
  <c r="AB106" i="5913" s="1"/>
  <c r="AC106" i="5913" s="1"/>
  <c r="AD106" i="5913" s="1"/>
  <c r="AE106" i="5913" s="1"/>
  <c r="AF106" i="5913" s="1"/>
  <c r="AG106" i="5913" s="1"/>
  <c r="AH106" i="5913" s="1"/>
  <c r="AI106" i="5913" s="1"/>
  <c r="AJ106" i="5913" s="1"/>
  <c r="AK106" i="5913" s="1"/>
  <c r="AL106" i="5913" s="1"/>
  <c r="AM106" i="5913" s="1"/>
  <c r="AN106" i="5913" s="1"/>
  <c r="AO106" i="5913" s="1"/>
  <c r="AP106" i="5913" s="1"/>
  <c r="AQ106" i="5913" s="1"/>
  <c r="AR106" i="5913" s="1"/>
  <c r="S124" i="5913"/>
  <c r="AI126" i="5913"/>
  <c r="AI130" i="5913" s="1"/>
  <c r="AI132" i="5913" s="1"/>
  <c r="H115" i="5911"/>
  <c r="H118" i="5911" s="1"/>
  <c r="H145" i="5911" s="1"/>
  <c r="T115" i="5911"/>
  <c r="T118" i="5911" s="1"/>
  <c r="T120" i="5911" s="1"/>
  <c r="T131" i="5911" s="1"/>
  <c r="AF115" i="5911"/>
  <c r="AF118" i="5911" s="1"/>
  <c r="AF126" i="5911" s="1"/>
  <c r="AR115" i="5911"/>
  <c r="AR118" i="5911" s="1"/>
  <c r="AR128" i="5911" s="1"/>
  <c r="F124" i="5912"/>
  <c r="AN115" i="5913"/>
  <c r="Z115" i="5913"/>
  <c r="L115" i="5913"/>
  <c r="L118" i="5913" s="1"/>
  <c r="L145" i="5913" s="1"/>
  <c r="AK115" i="5913"/>
  <c r="AK118" i="5913" s="1"/>
  <c r="W115" i="5913"/>
  <c r="W118" i="5913" s="1"/>
  <c r="W120" i="5913" s="1"/>
  <c r="W131" i="5913" s="1"/>
  <c r="H115" i="5913"/>
  <c r="AI115" i="5913"/>
  <c r="AI118" i="5913" s="1"/>
  <c r="T115" i="5913"/>
  <c r="T118" i="5913" s="1"/>
  <c r="T120" i="5913" s="1"/>
  <c r="T131" i="5913" s="1"/>
  <c r="E115" i="5913"/>
  <c r="AD115" i="5913"/>
  <c r="AD118" i="5913" s="1"/>
  <c r="AD126" i="5913" s="1"/>
  <c r="P115" i="5913"/>
  <c r="AR115" i="5913"/>
  <c r="AC115" i="5913"/>
  <c r="O115" i="5913"/>
  <c r="O118" i="5913" s="1"/>
  <c r="O145" i="5913" s="1"/>
  <c r="AP115" i="5913"/>
  <c r="AB115" i="5913"/>
  <c r="AB118" i="5913" s="1"/>
  <c r="N115" i="5913"/>
  <c r="N118" i="5913" s="1"/>
  <c r="N145" i="5913" s="1"/>
  <c r="R126" i="5913"/>
  <c r="AJ128" i="5913"/>
  <c r="AA115" i="5913"/>
  <c r="N126" i="5914"/>
  <c r="K126" i="5912"/>
  <c r="K130" i="5912" s="1"/>
  <c r="K132" i="5912" s="1"/>
  <c r="W126" i="5912"/>
  <c r="G126" i="5913"/>
  <c r="AQ126" i="5913"/>
  <c r="Y127" i="5913"/>
  <c r="AK127" i="5913"/>
  <c r="AK124" i="5913"/>
  <c r="AK128" i="5913" s="1"/>
  <c r="I127" i="5913"/>
  <c r="I124" i="5913"/>
  <c r="U122" i="5913"/>
  <c r="U120" i="5913"/>
  <c r="U131" i="5913" s="1"/>
  <c r="AF118" i="5913"/>
  <c r="AF128" i="5913" s="1"/>
  <c r="Y124" i="5913"/>
  <c r="AE124" i="5914"/>
  <c r="AQ127" i="5914"/>
  <c r="AQ124" i="5914"/>
  <c r="AQ128" i="5914" s="1"/>
  <c r="O108" i="5914"/>
  <c r="V126" i="5914"/>
  <c r="J115" i="5911"/>
  <c r="J118" i="5911" s="1"/>
  <c r="J145" i="5911" s="1"/>
  <c r="V115" i="5911"/>
  <c r="AH115" i="5911"/>
  <c r="AH118" i="5911" s="1"/>
  <c r="T115" i="5912"/>
  <c r="T118" i="5912" s="1"/>
  <c r="T120" i="5912" s="1"/>
  <c r="T131" i="5912" s="1"/>
  <c r="AJ115" i="5912"/>
  <c r="AD131" i="5912"/>
  <c r="AP131" i="5912"/>
  <c r="AR127" i="5912"/>
  <c r="J108" i="5913"/>
  <c r="V122" i="5913"/>
  <c r="V108" i="5913"/>
  <c r="AG115" i="5913"/>
  <c r="AG118" i="5913" s="1"/>
  <c r="AG128" i="5913" s="1"/>
  <c r="AF127" i="5913"/>
  <c r="M128" i="5914"/>
  <c r="F118" i="5913"/>
  <c r="AJ127" i="5913"/>
  <c r="S124" i="5914"/>
  <c r="AG128" i="5914"/>
  <c r="Q108" i="5914"/>
  <c r="Q120" i="5914"/>
  <c r="Q131" i="5914" s="1"/>
  <c r="Y128" i="5914"/>
  <c r="F128" i="5913"/>
  <c r="AB124" i="5913"/>
  <c r="AB128" i="5913" s="1"/>
  <c r="AB127" i="5913"/>
  <c r="L120" i="5913"/>
  <c r="L131" i="5913" s="1"/>
  <c r="X122" i="5913"/>
  <c r="X108" i="5913"/>
  <c r="F126" i="5913"/>
  <c r="AL127" i="5913"/>
  <c r="U124" i="5914"/>
  <c r="W124" i="5915"/>
  <c r="M115" i="5911"/>
  <c r="M118" i="5911" s="1"/>
  <c r="Y115" i="5911"/>
  <c r="Y118" i="5911" s="1"/>
  <c r="AK115" i="5911"/>
  <c r="AK118" i="5911" s="1"/>
  <c r="I120" i="5912"/>
  <c r="I131" i="5912" s="1"/>
  <c r="U120" i="5912"/>
  <c r="U131" i="5912" s="1"/>
  <c r="W115" i="5912"/>
  <c r="W118" i="5912" s="1"/>
  <c r="AM128" i="5912"/>
  <c r="K126" i="5913"/>
  <c r="K115" i="5913"/>
  <c r="K118" i="5913" s="1"/>
  <c r="AM115" i="5913"/>
  <c r="AM118" i="5913" s="1"/>
  <c r="AM128" i="5913" s="1"/>
  <c r="F127" i="5913"/>
  <c r="AQ126" i="5914"/>
  <c r="AQ130" i="5914" s="1"/>
  <c r="AQ132" i="5914" s="1"/>
  <c r="AH118" i="5914"/>
  <c r="AH128" i="5914" s="1"/>
  <c r="AH127" i="5914"/>
  <c r="K127" i="5913"/>
  <c r="K124" i="5913"/>
  <c r="K128" i="5913" s="1"/>
  <c r="AD127" i="5913"/>
  <c r="AO118" i="5913"/>
  <c r="AO126" i="5913" s="1"/>
  <c r="AO130" i="5913" s="1"/>
  <c r="AO132" i="5913" s="1"/>
  <c r="AO127" i="5913"/>
  <c r="AN124" i="5913"/>
  <c r="T124" i="5914"/>
  <c r="AC128" i="5915"/>
  <c r="C41" i="5912"/>
  <c r="C152" i="5912" s="1"/>
  <c r="C154" i="5912"/>
  <c r="AM127" i="5912"/>
  <c r="K120" i="5912"/>
  <c r="K131" i="5912" s="1"/>
  <c r="W120" i="5912"/>
  <c r="W131" i="5912" s="1"/>
  <c r="L108" i="5913"/>
  <c r="AE127" i="5913"/>
  <c r="AE124" i="5913"/>
  <c r="AE128" i="5913" s="1"/>
  <c r="AQ127" i="5913"/>
  <c r="O108" i="5913"/>
  <c r="M118" i="5913"/>
  <c r="M145" i="5913" s="1"/>
  <c r="AO128" i="5913"/>
  <c r="Y127" i="5914"/>
  <c r="Y130" i="5914" s="1"/>
  <c r="Y132" i="5914" s="1"/>
  <c r="AL130" i="5913"/>
  <c r="AL132" i="5913" s="1"/>
  <c r="AQ128" i="5913"/>
  <c r="AP115" i="5915"/>
  <c r="AP118" i="5915" s="1"/>
  <c r="AH115" i="5915"/>
  <c r="AH118" i="5915" s="1"/>
  <c r="AD115" i="5915"/>
  <c r="AD118" i="5915" s="1"/>
  <c r="W115" i="5915"/>
  <c r="W118" i="5915" s="1"/>
  <c r="W120" i="5915" s="1"/>
  <c r="W131" i="5915" s="1"/>
  <c r="R115" i="5915"/>
  <c r="J115" i="5915"/>
  <c r="J118" i="5915" s="1"/>
  <c r="J145" i="5915" s="1"/>
  <c r="F115" i="5915"/>
  <c r="F118" i="5915" s="1"/>
  <c r="AM126" i="5913"/>
  <c r="N108" i="5913"/>
  <c r="AG127" i="5913"/>
  <c r="Q108" i="5913"/>
  <c r="Q120" i="5913"/>
  <c r="Q131" i="5913" s="1"/>
  <c r="I120" i="5913"/>
  <c r="I131" i="5913" s="1"/>
  <c r="F115" i="5911"/>
  <c r="F118" i="5911" s="1"/>
  <c r="F145" i="5911" s="1"/>
  <c r="R115" i="5911"/>
  <c r="R118" i="5911" s="1"/>
  <c r="R145" i="5911" s="1"/>
  <c r="AD115" i="5911"/>
  <c r="AM115" i="5912"/>
  <c r="AM118" i="5912" s="1"/>
  <c r="AM126" i="5912" s="1"/>
  <c r="AM130" i="5912" s="1"/>
  <c r="AM132" i="5912" s="1"/>
  <c r="AA115" i="5912"/>
  <c r="AA118" i="5912" s="1"/>
  <c r="O115" i="5912"/>
  <c r="O118" i="5912" s="1"/>
  <c r="O145" i="5912" s="1"/>
  <c r="AQ115" i="5912"/>
  <c r="AQ118" i="5912" s="1"/>
  <c r="AE115" i="5912"/>
  <c r="AE118" i="5912" s="1"/>
  <c r="S115" i="5912"/>
  <c r="S118" i="5912" s="1"/>
  <c r="G115" i="5912"/>
  <c r="G118" i="5912" s="1"/>
  <c r="G145" i="5912" s="1"/>
  <c r="AP115" i="5912"/>
  <c r="AP118" i="5912" s="1"/>
  <c r="AD115" i="5912"/>
  <c r="AD118" i="5912" s="1"/>
  <c r="R115" i="5912"/>
  <c r="F115" i="5912"/>
  <c r="F118" i="5912" s="1"/>
  <c r="AO115" i="5912"/>
  <c r="AC115" i="5912"/>
  <c r="AC118" i="5912" s="1"/>
  <c r="Q115" i="5912"/>
  <c r="Q118" i="5912" s="1"/>
  <c r="E115" i="5912"/>
  <c r="AD127" i="5912"/>
  <c r="AD124" i="5912"/>
  <c r="AD128" i="5912" s="1"/>
  <c r="AP127" i="5912"/>
  <c r="AP124" i="5912"/>
  <c r="L115" i="5912"/>
  <c r="L118" i="5912" s="1"/>
  <c r="L145" i="5912" s="1"/>
  <c r="AF115" i="5912"/>
  <c r="P127" i="5912"/>
  <c r="AB126" i="5913"/>
  <c r="R120" i="5913"/>
  <c r="R131" i="5913" s="1"/>
  <c r="X115" i="5913"/>
  <c r="X118" i="5913" s="1"/>
  <c r="I128" i="5914"/>
  <c r="AB127" i="5914"/>
  <c r="L120" i="5914"/>
  <c r="L131" i="5914" s="1"/>
  <c r="D40" i="5913"/>
  <c r="AH127" i="5913"/>
  <c r="AH124" i="5913"/>
  <c r="AH128" i="5913" s="1"/>
  <c r="AM127" i="5913"/>
  <c r="AO115" i="5914"/>
  <c r="X115" i="5914"/>
  <c r="E115" i="5914"/>
  <c r="AK124" i="5914"/>
  <c r="AK128" i="5914" s="1"/>
  <c r="AK127" i="5914"/>
  <c r="I120" i="5914"/>
  <c r="I131" i="5914" s="1"/>
  <c r="AL115" i="5914"/>
  <c r="C41" i="5913"/>
  <c r="C152" i="5913" s="1"/>
  <c r="W108" i="5913"/>
  <c r="AI127" i="5913"/>
  <c r="AI124" i="5913"/>
  <c r="AI128" i="5913" s="1"/>
  <c r="W122" i="5913"/>
  <c r="Y137" i="5913"/>
  <c r="AK137" i="5913"/>
  <c r="K126" i="5914"/>
  <c r="V120" i="5914"/>
  <c r="V131" i="5914" s="1"/>
  <c r="AM115" i="5914"/>
  <c r="AM118" i="5914" s="1"/>
  <c r="AA128" i="5914"/>
  <c r="AG126" i="5914"/>
  <c r="M120" i="5915"/>
  <c r="M131" i="5915" s="1"/>
  <c r="D42" i="5913"/>
  <c r="T122" i="5913"/>
  <c r="T108" i="5913"/>
  <c r="L126" i="5914"/>
  <c r="AM127" i="5914"/>
  <c r="W120" i="5914"/>
  <c r="W131" i="5914" s="1"/>
  <c r="AB128" i="5914"/>
  <c r="O134" i="5915"/>
  <c r="C158" i="5915"/>
  <c r="M134" i="5915"/>
  <c r="R134" i="5915"/>
  <c r="E134" i="5915"/>
  <c r="P134" i="5915"/>
  <c r="K134" i="5915"/>
  <c r="X134" i="5915"/>
  <c r="H134" i="5915"/>
  <c r="V134" i="5915"/>
  <c r="F134" i="5915"/>
  <c r="S134" i="5915"/>
  <c r="Q134" i="5915"/>
  <c r="D113" i="5915"/>
  <c r="D146" i="5915" s="1"/>
  <c r="N134" i="5915"/>
  <c r="W134" i="5915"/>
  <c r="T134" i="5915"/>
  <c r="L134" i="5915"/>
  <c r="I134" i="5915"/>
  <c r="G134" i="5915"/>
  <c r="AQ126" i="5915"/>
  <c r="AI128" i="5915"/>
  <c r="Z126" i="5915"/>
  <c r="M127" i="5915"/>
  <c r="T126" i="5915"/>
  <c r="AA126" i="5915"/>
  <c r="Y126" i="5916"/>
  <c r="Y130" i="5916" s="1"/>
  <c r="Y132" i="5916" s="1"/>
  <c r="AG126" i="5915"/>
  <c r="AA124" i="5915"/>
  <c r="AA127" i="5915"/>
  <c r="AM124" i="5915"/>
  <c r="W122" i="5915"/>
  <c r="W127" i="5915" s="1"/>
  <c r="AA126" i="5914"/>
  <c r="AM126" i="5914"/>
  <c r="AM130" i="5914" s="1"/>
  <c r="AM132" i="5914" s="1"/>
  <c r="L127" i="5914"/>
  <c r="AP127" i="5914"/>
  <c r="N118" i="5914"/>
  <c r="N145" i="5914" s="1"/>
  <c r="K128" i="5914"/>
  <c r="L128" i="5914"/>
  <c r="AM128" i="5914"/>
  <c r="H124" i="5915"/>
  <c r="AC127" i="5915"/>
  <c r="AO127" i="5915"/>
  <c r="AO124" i="5915"/>
  <c r="D28" i="5913"/>
  <c r="P128" i="5914"/>
  <c r="I126" i="5914"/>
  <c r="V128" i="5914"/>
  <c r="Y126" i="5915"/>
  <c r="Y130" i="5915" s="1"/>
  <c r="Y132" i="5915" s="1"/>
  <c r="K108" i="5915"/>
  <c r="O127" i="5915"/>
  <c r="P124" i="5915"/>
  <c r="D42" i="5914"/>
  <c r="D26" i="5914"/>
  <c r="D39" i="5914"/>
  <c r="D43" i="5914"/>
  <c r="D28" i="5914"/>
  <c r="V127" i="5914"/>
  <c r="AI127" i="5914"/>
  <c r="AC115" i="5914"/>
  <c r="AJ115" i="5915"/>
  <c r="X115" i="5915"/>
  <c r="X118" i="5915" s="1"/>
  <c r="X120" i="5915" s="1"/>
  <c r="X131" i="5915" s="1"/>
  <c r="L115" i="5915"/>
  <c r="AG115" i="5915"/>
  <c r="AG118" i="5915" s="1"/>
  <c r="U115" i="5915"/>
  <c r="I115" i="5915"/>
  <c r="I118" i="5915" s="1"/>
  <c r="I128" i="5915" s="1"/>
  <c r="AQ115" i="5915"/>
  <c r="AQ118" i="5915" s="1"/>
  <c r="AQ128" i="5915" s="1"/>
  <c r="AE115" i="5915"/>
  <c r="S115" i="5915"/>
  <c r="S118" i="5915" s="1"/>
  <c r="G115" i="5915"/>
  <c r="G118" i="5915" s="1"/>
  <c r="G128" i="5915" s="1"/>
  <c r="AN115" i="5915"/>
  <c r="AB115" i="5915"/>
  <c r="P115" i="5915"/>
  <c r="P118" i="5915" s="1"/>
  <c r="P145" i="5915" s="1"/>
  <c r="AM115" i="5915"/>
  <c r="AA115" i="5915"/>
  <c r="AA118" i="5915" s="1"/>
  <c r="O115" i="5915"/>
  <c r="O118" i="5915" s="1"/>
  <c r="AL115" i="5915"/>
  <c r="AL118" i="5915" s="1"/>
  <c r="AL126" i="5915" s="1"/>
  <c r="Z115" i="5915"/>
  <c r="Z118" i="5915" s="1"/>
  <c r="Z128" i="5915" s="1"/>
  <c r="N115" i="5915"/>
  <c r="N118" i="5915" s="1"/>
  <c r="N145" i="5915" s="1"/>
  <c r="AF115" i="5915"/>
  <c r="AF118" i="5915" s="1"/>
  <c r="H115" i="5915"/>
  <c r="AC115" i="5915"/>
  <c r="AC118" i="5915" s="1"/>
  <c r="AC126" i="5915" s="1"/>
  <c r="E115" i="5915"/>
  <c r="Y115" i="5915"/>
  <c r="Y118" i="5915" s="1"/>
  <c r="Y128" i="5915" s="1"/>
  <c r="V115" i="5915"/>
  <c r="AR115" i="5915"/>
  <c r="T115" i="5915"/>
  <c r="T118" i="5915" s="1"/>
  <c r="T120" i="5915" s="1"/>
  <c r="T131" i="5915" s="1"/>
  <c r="AO115" i="5915"/>
  <c r="AO118" i="5915" s="1"/>
  <c r="Q115" i="5915"/>
  <c r="Q118" i="5915" s="1"/>
  <c r="AK115" i="5915"/>
  <c r="M115" i="5915"/>
  <c r="M118" i="5915" s="1"/>
  <c r="M145" i="5915" s="1"/>
  <c r="AI115" i="5915"/>
  <c r="AI118" i="5915" s="1"/>
  <c r="K115" i="5915"/>
  <c r="K118" i="5915" s="1"/>
  <c r="AG124" i="5915"/>
  <c r="AG127" i="5915"/>
  <c r="Q108" i="5915"/>
  <c r="U134" i="5915"/>
  <c r="T134" i="5914"/>
  <c r="H134" i="5914"/>
  <c r="X134" i="5914"/>
  <c r="L134" i="5914"/>
  <c r="W134" i="5914"/>
  <c r="K134" i="5914"/>
  <c r="V134" i="5914"/>
  <c r="J134" i="5914"/>
  <c r="R127" i="5914"/>
  <c r="O115" i="5914"/>
  <c r="O118" i="5914" s="1"/>
  <c r="AI115" i="5914"/>
  <c r="AI118" i="5914" s="1"/>
  <c r="AI124" i="5914"/>
  <c r="Q134" i="5914"/>
  <c r="AD127" i="5915"/>
  <c r="AD124" i="5915"/>
  <c r="AD126" i="5915" s="1"/>
  <c r="AP124" i="5915"/>
  <c r="AP128" i="5915" s="1"/>
  <c r="N120" i="5915"/>
  <c r="N131" i="5915" s="1"/>
  <c r="N108" i="5915"/>
  <c r="T127" i="5915"/>
  <c r="P126" i="5916"/>
  <c r="K127" i="5916"/>
  <c r="J115" i="5913"/>
  <c r="J118" i="5913" s="1"/>
  <c r="J145" i="5913" s="1"/>
  <c r="V115" i="5913"/>
  <c r="V118" i="5913" s="1"/>
  <c r="V120" i="5913" s="1"/>
  <c r="V131" i="5913" s="1"/>
  <c r="AH115" i="5913"/>
  <c r="AH118" i="5913" s="1"/>
  <c r="G127" i="5914"/>
  <c r="G124" i="5914"/>
  <c r="G128" i="5914" s="1"/>
  <c r="W108" i="5914"/>
  <c r="Q115" i="5914"/>
  <c r="Q118" i="5914" s="1"/>
  <c r="Q145" i="5914" s="1"/>
  <c r="AJ115" i="5914"/>
  <c r="R134" i="5914"/>
  <c r="AL128" i="5915"/>
  <c r="Z127" i="5916"/>
  <c r="Z124" i="5916"/>
  <c r="Z128" i="5916" s="1"/>
  <c r="J108" i="5916"/>
  <c r="V108" i="5916"/>
  <c r="E118" i="5916"/>
  <c r="E127" i="5916"/>
  <c r="C159" i="5916"/>
  <c r="C160" i="5916" s="1"/>
  <c r="F145" i="5916"/>
  <c r="F120" i="5916"/>
  <c r="F131" i="5916" s="1"/>
  <c r="C157" i="5914"/>
  <c r="H124" i="5914"/>
  <c r="U115" i="5914"/>
  <c r="AE131" i="5914"/>
  <c r="AQ131" i="5914"/>
  <c r="W122" i="5914"/>
  <c r="R124" i="5914"/>
  <c r="S134" i="5914"/>
  <c r="AF127" i="5915"/>
  <c r="AF124" i="5915"/>
  <c r="P120" i="5915"/>
  <c r="P131" i="5915" s="1"/>
  <c r="O124" i="5915"/>
  <c r="AH137" i="5915"/>
  <c r="AD126" i="5916"/>
  <c r="AA127" i="5916"/>
  <c r="AA124" i="5916"/>
  <c r="AA128" i="5916" s="1"/>
  <c r="AM124" i="5916"/>
  <c r="K128" i="5916"/>
  <c r="W108" i="5916"/>
  <c r="W122" i="5916"/>
  <c r="W134" i="5916"/>
  <c r="K134" i="5916"/>
  <c r="L134" i="5916"/>
  <c r="P134" i="5916"/>
  <c r="O134" i="5916"/>
  <c r="V134" i="5916"/>
  <c r="F134" i="5916"/>
  <c r="S134" i="5916"/>
  <c r="C158" i="5916"/>
  <c r="J134" i="5916"/>
  <c r="I134" i="5916"/>
  <c r="H134" i="5916"/>
  <c r="U134" i="5916"/>
  <c r="M134" i="5916"/>
  <c r="G134" i="5916"/>
  <c r="E134" i="5916"/>
  <c r="X134" i="5916"/>
  <c r="T134" i="5916"/>
  <c r="Q134" i="5916"/>
  <c r="N134" i="5916"/>
  <c r="D113" i="5916"/>
  <c r="D146" i="5916" s="1"/>
  <c r="L145" i="5916"/>
  <c r="L120" i="5916"/>
  <c r="L131" i="5916" s="1"/>
  <c r="AP126" i="5915"/>
  <c r="T128" i="5915"/>
  <c r="AH126" i="5914"/>
  <c r="F134" i="5914"/>
  <c r="G126" i="5915"/>
  <c r="AI127" i="5915"/>
  <c r="S108" i="5915"/>
  <c r="O120" i="5916"/>
  <c r="O131" i="5916" s="1"/>
  <c r="AP115" i="5917"/>
  <c r="AA115" i="5917"/>
  <c r="L115" i="5917"/>
  <c r="AG115" i="5917"/>
  <c r="P115" i="5917"/>
  <c r="P118" i="5917" s="1"/>
  <c r="P145" i="5917" s="1"/>
  <c r="AD115" i="5917"/>
  <c r="O115" i="5917"/>
  <c r="AC115" i="5917"/>
  <c r="N115" i="5917"/>
  <c r="N118" i="5917" s="1"/>
  <c r="N145" i="5917" s="1"/>
  <c r="AL115" i="5917"/>
  <c r="AL118" i="5917" s="1"/>
  <c r="M115" i="5917"/>
  <c r="W115" i="5917"/>
  <c r="AO115" i="5917"/>
  <c r="U115" i="5917"/>
  <c r="U118" i="5917" s="1"/>
  <c r="AN115" i="5917"/>
  <c r="R115" i="5917"/>
  <c r="F115" i="5917"/>
  <c r="F118" i="5917" s="1"/>
  <c r="F145" i="5917" s="1"/>
  <c r="AM115" i="5917"/>
  <c r="AM118" i="5917" s="1"/>
  <c r="E115" i="5917"/>
  <c r="AJ115" i="5917"/>
  <c r="AJ118" i="5917" s="1"/>
  <c r="X115" i="5917"/>
  <c r="X118" i="5917" s="1"/>
  <c r="Q115" i="5917"/>
  <c r="K115" i="5917"/>
  <c r="K118" i="5917" s="1"/>
  <c r="K145" i="5917" s="1"/>
  <c r="I115" i="5917"/>
  <c r="AI115" i="5917"/>
  <c r="AB115" i="5917"/>
  <c r="Z115" i="5917"/>
  <c r="Z118" i="5917" s="1"/>
  <c r="Z126" i="5917" s="1"/>
  <c r="AK115" i="5917"/>
  <c r="AK118" i="5917" s="1"/>
  <c r="Y115" i="5917"/>
  <c r="Y118" i="5917" s="1"/>
  <c r="AN115" i="5914"/>
  <c r="AB115" i="5914"/>
  <c r="AB118" i="5914" s="1"/>
  <c r="AB126" i="5914" s="1"/>
  <c r="AB130" i="5914" s="1"/>
  <c r="AB132" i="5914" s="1"/>
  <c r="P115" i="5914"/>
  <c r="P118" i="5914" s="1"/>
  <c r="P145" i="5914" s="1"/>
  <c r="AR115" i="5914"/>
  <c r="AR118" i="5914" s="1"/>
  <c r="AF115" i="5914"/>
  <c r="AF118" i="5914" s="1"/>
  <c r="T115" i="5914"/>
  <c r="T118" i="5914" s="1"/>
  <c r="T120" i="5914" s="1"/>
  <c r="T131" i="5914" s="1"/>
  <c r="H115" i="5914"/>
  <c r="AQ115" i="5914"/>
  <c r="AQ118" i="5914" s="1"/>
  <c r="AE115" i="5914"/>
  <c r="AE118" i="5914" s="1"/>
  <c r="S115" i="5914"/>
  <c r="G115" i="5914"/>
  <c r="G118" i="5914" s="1"/>
  <c r="AP115" i="5914"/>
  <c r="AP118" i="5914" s="1"/>
  <c r="AP128" i="5914" s="1"/>
  <c r="AD115" i="5914"/>
  <c r="AD118" i="5914" s="1"/>
  <c r="R115" i="5914"/>
  <c r="R118" i="5914" s="1"/>
  <c r="F115" i="5914"/>
  <c r="F118" i="5914" s="1"/>
  <c r="F145" i="5914" s="1"/>
  <c r="J115" i="5914"/>
  <c r="J118" i="5914" s="1"/>
  <c r="Z115" i="5914"/>
  <c r="F120" i="5914"/>
  <c r="F131" i="5914" s="1"/>
  <c r="T126" i="5914"/>
  <c r="I134" i="5914"/>
  <c r="D28" i="5915"/>
  <c r="D42" i="5915"/>
  <c r="D40" i="5915"/>
  <c r="Y127" i="5915"/>
  <c r="L127" i="5916"/>
  <c r="L124" i="5916"/>
  <c r="L128" i="5916" s="1"/>
  <c r="AH126" i="5915"/>
  <c r="F127" i="5915"/>
  <c r="Z127" i="5915"/>
  <c r="AI126" i="5915"/>
  <c r="AI130" i="5915" s="1"/>
  <c r="AI132" i="5915" s="1"/>
  <c r="AK126" i="5916"/>
  <c r="O127" i="5916"/>
  <c r="O124" i="5916"/>
  <c r="G115" i="5913"/>
  <c r="G118" i="5913" s="1"/>
  <c r="S115" i="5913"/>
  <c r="AE115" i="5913"/>
  <c r="AE118" i="5913" s="1"/>
  <c r="AF127" i="5914"/>
  <c r="AF124" i="5914"/>
  <c r="AF128" i="5914" s="1"/>
  <c r="AR127" i="5914"/>
  <c r="AR124" i="5914"/>
  <c r="AR128" i="5914" s="1"/>
  <c r="P127" i="5914"/>
  <c r="M115" i="5914"/>
  <c r="M118" i="5914" s="1"/>
  <c r="M145" i="5914" s="1"/>
  <c r="AG115" i="5914"/>
  <c r="AG118" i="5914" s="1"/>
  <c r="O134" i="5914"/>
  <c r="I127" i="5915"/>
  <c r="X122" i="5915"/>
  <c r="X108" i="5915"/>
  <c r="F124" i="5915"/>
  <c r="AH128" i="5915"/>
  <c r="AD131" i="5915"/>
  <c r="D26" i="5916"/>
  <c r="D28" i="5916"/>
  <c r="D40" i="5916"/>
  <c r="D43" i="5916"/>
  <c r="D42" i="5916"/>
  <c r="AQ118" i="5916"/>
  <c r="AQ128" i="5916" s="1"/>
  <c r="Z126" i="5916"/>
  <c r="Y137" i="5916"/>
  <c r="AK137" i="5916"/>
  <c r="F126" i="5916"/>
  <c r="E126" i="5916"/>
  <c r="N120" i="5914"/>
  <c r="N131" i="5914" s="1"/>
  <c r="J120" i="5915"/>
  <c r="J131" i="5915" s="1"/>
  <c r="AF131" i="5915"/>
  <c r="AE126" i="5916"/>
  <c r="Y124" i="5916"/>
  <c r="Y128" i="5916" s="1"/>
  <c r="Y127" i="5916"/>
  <c r="AK127" i="5916"/>
  <c r="AK124" i="5916"/>
  <c r="AK128" i="5916" s="1"/>
  <c r="U122" i="5916"/>
  <c r="U108" i="5916"/>
  <c r="AF118" i="5916"/>
  <c r="AF126" i="5916" s="1"/>
  <c r="AF127" i="5916"/>
  <c r="V126" i="5917"/>
  <c r="K134" i="5917"/>
  <c r="N134" i="5917"/>
  <c r="L134" i="5917"/>
  <c r="M134" i="5917"/>
  <c r="R134" i="5917"/>
  <c r="Q134" i="5917"/>
  <c r="P134" i="5917"/>
  <c r="O134" i="5917"/>
  <c r="J134" i="5917"/>
  <c r="C157" i="5917"/>
  <c r="H134" i="5917"/>
  <c r="C158" i="5917"/>
  <c r="S134" i="5917"/>
  <c r="D113" i="5917"/>
  <c r="D146" i="5917" s="1"/>
  <c r="F134" i="5917"/>
  <c r="AC137" i="5916"/>
  <c r="AO137" i="5916"/>
  <c r="V137" i="5915"/>
  <c r="F128" i="5916"/>
  <c r="X122" i="5916"/>
  <c r="X108" i="5916"/>
  <c r="X120" i="5916"/>
  <c r="X131" i="5916" s="1"/>
  <c r="AO126" i="5916"/>
  <c r="AO130" i="5916" s="1"/>
  <c r="AO132" i="5916" s="1"/>
  <c r="AD137" i="5916"/>
  <c r="AP137" i="5916"/>
  <c r="T126" i="5917"/>
  <c r="X124" i="5917"/>
  <c r="AJ124" i="5917"/>
  <c r="AJ127" i="5917"/>
  <c r="H108" i="5917"/>
  <c r="W137" i="5917"/>
  <c r="AI137" i="5917"/>
  <c r="AQ126" i="5916"/>
  <c r="AQ130" i="5916" s="1"/>
  <c r="AQ132" i="5916" s="1"/>
  <c r="C157" i="5915"/>
  <c r="AQ127" i="5915"/>
  <c r="AD127" i="5916"/>
  <c r="AP127" i="5916"/>
  <c r="E128" i="5916"/>
  <c r="AR126" i="5916"/>
  <c r="AR130" i="5916" s="1"/>
  <c r="AR132" i="5916" s="1"/>
  <c r="I127" i="5916"/>
  <c r="E134" i="5917"/>
  <c r="J108" i="5915"/>
  <c r="AH127" i="5915"/>
  <c r="AB131" i="5915"/>
  <c r="AA126" i="5916"/>
  <c r="AA130" i="5916" s="1"/>
  <c r="AA132" i="5916" s="1"/>
  <c r="N108" i="5916"/>
  <c r="E120" i="5916"/>
  <c r="E131" i="5916" s="1"/>
  <c r="Q124" i="5916"/>
  <c r="AP124" i="5916"/>
  <c r="R127" i="5916"/>
  <c r="G134" i="5917"/>
  <c r="AH127" i="5916"/>
  <c r="Q115" i="5916"/>
  <c r="Q118" i="5916" s="1"/>
  <c r="AL115" i="5916"/>
  <c r="R115" i="5916"/>
  <c r="R118" i="5916" s="1"/>
  <c r="R126" i="5916" s="1"/>
  <c r="AM115" i="5916"/>
  <c r="L126" i="5916"/>
  <c r="AH137" i="5916"/>
  <c r="N124" i="5917"/>
  <c r="N128" i="5917" s="1"/>
  <c r="N127" i="5917"/>
  <c r="G128" i="5917"/>
  <c r="AA137" i="5915"/>
  <c r="AM137" i="5915"/>
  <c r="H124" i="5916"/>
  <c r="T122" i="5916"/>
  <c r="T108" i="5916"/>
  <c r="T115" i="5916"/>
  <c r="T118" i="5916" s="1"/>
  <c r="T120" i="5916" s="1"/>
  <c r="T131" i="5916" s="1"/>
  <c r="G120" i="5916"/>
  <c r="G131" i="5916" s="1"/>
  <c r="AH124" i="5916"/>
  <c r="M126" i="5916"/>
  <c r="M130" i="5916" s="1"/>
  <c r="M132" i="5916" s="1"/>
  <c r="N126" i="5917"/>
  <c r="N130" i="5917" s="1"/>
  <c r="AN115" i="5916"/>
  <c r="AB115" i="5916"/>
  <c r="P115" i="5916"/>
  <c r="P118" i="5916" s="1"/>
  <c r="AI115" i="5916"/>
  <c r="AI118" i="5916" s="1"/>
  <c r="AI128" i="5916" s="1"/>
  <c r="W115" i="5916"/>
  <c r="W118" i="5916" s="1"/>
  <c r="W120" i="5916" s="1"/>
  <c r="W131" i="5916" s="1"/>
  <c r="K115" i="5916"/>
  <c r="K118" i="5916" s="1"/>
  <c r="K126" i="5916" s="1"/>
  <c r="M120" i="5916"/>
  <c r="M131" i="5916" s="1"/>
  <c r="H115" i="5916"/>
  <c r="H118" i="5916" s="1"/>
  <c r="H126" i="5916" s="1"/>
  <c r="AC115" i="5916"/>
  <c r="AQ126" i="5917"/>
  <c r="AI131" i="5915"/>
  <c r="P127" i="5916"/>
  <c r="AF128" i="5916"/>
  <c r="AR128" i="5916"/>
  <c r="P120" i="5916"/>
  <c r="P131" i="5916" s="1"/>
  <c r="N115" i="5916"/>
  <c r="N118" i="5916" s="1"/>
  <c r="AJ115" i="5916"/>
  <c r="K124" i="5917"/>
  <c r="K127" i="5917"/>
  <c r="Z124" i="5917"/>
  <c r="AL124" i="5917"/>
  <c r="AL127" i="5917"/>
  <c r="J108" i="5917"/>
  <c r="AE127" i="5916"/>
  <c r="AQ127" i="5916"/>
  <c r="I115" i="5916"/>
  <c r="I118" i="5916" s="1"/>
  <c r="U115" i="5916"/>
  <c r="U118" i="5916" s="1"/>
  <c r="U120" i="5916" s="1"/>
  <c r="U131" i="5916" s="1"/>
  <c r="AG115" i="5916"/>
  <c r="AM126" i="5917"/>
  <c r="N120" i="5917"/>
  <c r="N131" i="5917" s="1"/>
  <c r="J115" i="5916"/>
  <c r="J118" i="5916" s="1"/>
  <c r="J145" i="5916" s="1"/>
  <c r="V115" i="5916"/>
  <c r="V118" i="5916" s="1"/>
  <c r="V120" i="5916" s="1"/>
  <c r="V131" i="5916" s="1"/>
  <c r="AH115" i="5916"/>
  <c r="AH118" i="5916" s="1"/>
  <c r="AR127" i="5916"/>
  <c r="C157" i="5916"/>
  <c r="P120" i="5917"/>
  <c r="P131" i="5917" s="1"/>
  <c r="W131" i="5917"/>
  <c r="AI131" i="5917"/>
  <c r="U137" i="5917"/>
  <c r="AH131" i="5916"/>
  <c r="Y127" i="5917"/>
  <c r="Y124" i="5917"/>
  <c r="AK127" i="5917"/>
  <c r="AK124" i="5917"/>
  <c r="I124" i="5917"/>
  <c r="AM127" i="5917"/>
  <c r="AM124" i="5917"/>
  <c r="AH126" i="5917"/>
  <c r="G115" i="5916"/>
  <c r="G118" i="5916" s="1"/>
  <c r="G128" i="5916" s="1"/>
  <c r="S115" i="5916"/>
  <c r="S118" i="5916" s="1"/>
  <c r="S126" i="5916" s="1"/>
  <c r="AE115" i="5916"/>
  <c r="AE118" i="5916" s="1"/>
  <c r="AE128" i="5916" s="1"/>
  <c r="AD131" i="5917"/>
  <c r="X137" i="5917"/>
  <c r="AJ137" i="5917"/>
  <c r="F127" i="5917"/>
  <c r="Y137" i="5917"/>
  <c r="AK137" i="5917"/>
  <c r="G127" i="5917"/>
  <c r="S124" i="5917"/>
  <c r="AF126" i="5917"/>
  <c r="AG137" i="5917"/>
  <c r="W137" i="5916"/>
  <c r="AI137" i="5916"/>
  <c r="P126" i="5917"/>
  <c r="AE131" i="5917"/>
  <c r="AQ131" i="5917"/>
  <c r="AH127" i="5917"/>
  <c r="T131" i="5917"/>
  <c r="AF131" i="5917"/>
  <c r="AR131" i="5917"/>
  <c r="AQ115" i="5917"/>
  <c r="AQ118" i="5917" s="1"/>
  <c r="AQ128" i="5917" s="1"/>
  <c r="F120" i="5917"/>
  <c r="F131" i="5917" s="1"/>
  <c r="U127" i="5917"/>
  <c r="Z137" i="5917"/>
  <c r="AL137" i="5917"/>
  <c r="H115" i="5917"/>
  <c r="H118" i="5917" s="1"/>
  <c r="H145" i="5917" s="1"/>
  <c r="T115" i="5917"/>
  <c r="T118" i="5917" s="1"/>
  <c r="T128" i="5917" s="1"/>
  <c r="AF115" i="5917"/>
  <c r="AF118" i="5917" s="1"/>
  <c r="AF128" i="5917" s="1"/>
  <c r="AR115" i="5917"/>
  <c r="J115" i="5917"/>
  <c r="J118" i="5917" s="1"/>
  <c r="V115" i="5917"/>
  <c r="V118" i="5917" s="1"/>
  <c r="V128" i="5917" s="1"/>
  <c r="AH115" i="5917"/>
  <c r="AH118" i="5917" s="1"/>
  <c r="AH128" i="5917" s="1"/>
  <c r="G115" i="5917"/>
  <c r="G118" i="5917" s="1"/>
  <c r="S115" i="5917"/>
  <c r="AE115" i="5917"/>
  <c r="D62" i="5850"/>
  <c r="F44" i="5850"/>
  <c r="D67" i="5850"/>
  <c r="D61" i="5850"/>
  <c r="D44" i="5850"/>
  <c r="D66" i="5850"/>
  <c r="D60" i="5850"/>
  <c r="D65" i="5850"/>
  <c r="D59" i="5850"/>
  <c r="D64" i="5850"/>
  <c r="D58" i="5850"/>
  <c r="H8" i="5850"/>
  <c r="H12" i="5850"/>
  <c r="H16" i="5850"/>
  <c r="F69" i="5850"/>
  <c r="D5" i="5850"/>
  <c r="D9" i="5850"/>
  <c r="D13" i="5850"/>
  <c r="D17" i="5850"/>
  <c r="D25" i="5850"/>
  <c r="D30" i="5850"/>
  <c r="F5" i="5850"/>
  <c r="F9" i="5850"/>
  <c r="F13" i="5850"/>
  <c r="F17" i="5850"/>
  <c r="F21" i="5850"/>
  <c r="F25" i="5850"/>
  <c r="F30" i="5850"/>
  <c r="D6" i="5850"/>
  <c r="D10" i="5850"/>
  <c r="D14" i="5850"/>
  <c r="D18" i="5850"/>
  <c r="D22" i="5850"/>
  <c r="D26" i="5850"/>
  <c r="D31" i="5850"/>
  <c r="F18" i="5850"/>
  <c r="F22" i="5850"/>
  <c r="H7" i="5850"/>
  <c r="H11" i="5850"/>
  <c r="H15" i="5850"/>
  <c r="D8" i="5850"/>
  <c r="D12" i="5850"/>
  <c r="AP118" i="5910" l="1"/>
  <c r="AP127" i="5910"/>
  <c r="AB118" i="5916"/>
  <c r="AB127" i="5916"/>
  <c r="L136" i="5914"/>
  <c r="P135" i="5914"/>
  <c r="P136" i="5914"/>
  <c r="H135" i="5914"/>
  <c r="H137" i="5914" s="1"/>
  <c r="O136" i="5914"/>
  <c r="S135" i="5914"/>
  <c r="G135" i="5914"/>
  <c r="N136" i="5914"/>
  <c r="R135" i="5914"/>
  <c r="F135" i="5914"/>
  <c r="E136" i="5914"/>
  <c r="R136" i="5914"/>
  <c r="O135" i="5914"/>
  <c r="M136" i="5914"/>
  <c r="M135" i="5914"/>
  <c r="M137" i="5914" s="1"/>
  <c r="I136" i="5914"/>
  <c r="J135" i="5914"/>
  <c r="J137" i="5914" s="1"/>
  <c r="H136" i="5914"/>
  <c r="I135" i="5914"/>
  <c r="G136" i="5914"/>
  <c r="E135" i="5914"/>
  <c r="F136" i="5914"/>
  <c r="Q135" i="5914"/>
  <c r="N135" i="5914"/>
  <c r="N137" i="5914" s="1"/>
  <c r="L135" i="5914"/>
  <c r="L137" i="5914" s="1"/>
  <c r="K135" i="5914"/>
  <c r="S136" i="5914"/>
  <c r="Q136" i="5914"/>
  <c r="K136" i="5914"/>
  <c r="J136" i="5914"/>
  <c r="D143" i="5914"/>
  <c r="M145" i="5911"/>
  <c r="M128" i="5911"/>
  <c r="M120" i="5911"/>
  <c r="M131" i="5911" s="1"/>
  <c r="M126" i="5911"/>
  <c r="S118" i="5917"/>
  <c r="S127" i="5917"/>
  <c r="O136" i="5917"/>
  <c r="S135" i="5917"/>
  <c r="S137" i="5917" s="1"/>
  <c r="G135" i="5917"/>
  <c r="R136" i="5917"/>
  <c r="F136" i="5917"/>
  <c r="J135" i="5917"/>
  <c r="J137" i="5917" s="1"/>
  <c r="Q136" i="5917"/>
  <c r="P136" i="5917"/>
  <c r="H135" i="5917"/>
  <c r="H137" i="5917" s="1"/>
  <c r="K136" i="5917"/>
  <c r="M135" i="5917"/>
  <c r="M137" i="5917" s="1"/>
  <c r="S136" i="5917"/>
  <c r="Q135" i="5917"/>
  <c r="Q137" i="5917" s="1"/>
  <c r="N136" i="5917"/>
  <c r="P135" i="5917"/>
  <c r="M136" i="5917"/>
  <c r="O135" i="5917"/>
  <c r="G136" i="5917"/>
  <c r="E136" i="5917"/>
  <c r="R135" i="5917"/>
  <c r="R137" i="5917" s="1"/>
  <c r="L136" i="5917"/>
  <c r="F135" i="5917"/>
  <c r="F137" i="5917" s="1"/>
  <c r="J136" i="5917"/>
  <c r="E135" i="5917"/>
  <c r="E137" i="5917" s="1"/>
  <c r="I136" i="5917"/>
  <c r="K135" i="5917"/>
  <c r="K137" i="5917" s="1"/>
  <c r="I135" i="5917"/>
  <c r="D143" i="5917"/>
  <c r="H136" i="5917"/>
  <c r="N135" i="5917"/>
  <c r="L135" i="5917"/>
  <c r="N124" i="5915"/>
  <c r="N127" i="5915"/>
  <c r="AC130" i="5915"/>
  <c r="AC132" i="5915" s="1"/>
  <c r="AM139" i="5912"/>
  <c r="AM140" i="5912" s="1"/>
  <c r="AM142" i="5912"/>
  <c r="AM144" i="5912" s="1"/>
  <c r="AM143" i="5912"/>
  <c r="O124" i="5913"/>
  <c r="O127" i="5913"/>
  <c r="G126" i="5914"/>
  <c r="G130" i="5914" s="1"/>
  <c r="V127" i="5913"/>
  <c r="V124" i="5913"/>
  <c r="AI118" i="5912"/>
  <c r="AI127" i="5912"/>
  <c r="L130" i="5912"/>
  <c r="L126" i="5910"/>
  <c r="Z118" i="5907"/>
  <c r="Z127" i="5907"/>
  <c r="AJ118" i="5903"/>
  <c r="AJ127" i="5903"/>
  <c r="AQ139" i="5916"/>
  <c r="AQ140" i="5916" s="1"/>
  <c r="AQ143" i="5916" s="1"/>
  <c r="AQ142" i="5916"/>
  <c r="AQ144" i="5916" s="1"/>
  <c r="S118" i="5914"/>
  <c r="S127" i="5914"/>
  <c r="AE118" i="5917"/>
  <c r="AE127" i="5917"/>
  <c r="C159" i="5915"/>
  <c r="C160" i="5915" s="1"/>
  <c r="E118" i="5915"/>
  <c r="E127" i="5915"/>
  <c r="Q145" i="5912"/>
  <c r="Q120" i="5912"/>
  <c r="Q131" i="5912" s="1"/>
  <c r="S145" i="5915"/>
  <c r="S120" i="5915"/>
  <c r="S131" i="5915" s="1"/>
  <c r="AO118" i="5912"/>
  <c r="AO127" i="5912"/>
  <c r="AD118" i="5911"/>
  <c r="AD127" i="5911"/>
  <c r="AG127" i="5910"/>
  <c r="AG130" i="5910" s="1"/>
  <c r="AG132" i="5910" s="1"/>
  <c r="AE118" i="5907"/>
  <c r="AE127" i="5907"/>
  <c r="H126" i="5909"/>
  <c r="Z139" i="5905"/>
  <c r="Z140" i="5905" s="1"/>
  <c r="Z142" i="5905" s="1"/>
  <c r="Z144" i="5905" s="1"/>
  <c r="AK128" i="5917"/>
  <c r="AK126" i="5917"/>
  <c r="AK130" i="5917" s="1"/>
  <c r="AK132" i="5917" s="1"/>
  <c r="AN118" i="5917"/>
  <c r="AN127" i="5917"/>
  <c r="AC118" i="5914"/>
  <c r="AC127" i="5914"/>
  <c r="Q118" i="5907"/>
  <c r="Q127" i="5907"/>
  <c r="AM139" i="5906"/>
  <c r="AM140" i="5906" s="1"/>
  <c r="AM142" i="5906" s="1"/>
  <c r="AM144" i="5906" s="1"/>
  <c r="AI139" i="5900"/>
  <c r="AI140" i="5900" s="1"/>
  <c r="AI142" i="5900" s="1"/>
  <c r="AI144" i="5900" s="1"/>
  <c r="AN118" i="5910"/>
  <c r="AN127" i="5910"/>
  <c r="N132" i="5917"/>
  <c r="E130" i="5916"/>
  <c r="E132" i="5916" s="1"/>
  <c r="T130" i="5914"/>
  <c r="T132" i="5914" s="1"/>
  <c r="H118" i="5914"/>
  <c r="H127" i="5914"/>
  <c r="I118" i="5917"/>
  <c r="I127" i="5917"/>
  <c r="W127" i="5917"/>
  <c r="W118" i="5917"/>
  <c r="AF128" i="5915"/>
  <c r="AF126" i="5915"/>
  <c r="AF130" i="5915" s="1"/>
  <c r="AF132" i="5915" s="1"/>
  <c r="AJ118" i="5914"/>
  <c r="AJ127" i="5914"/>
  <c r="K145" i="5915"/>
  <c r="K120" i="5915"/>
  <c r="K131" i="5915" s="1"/>
  <c r="H118" i="5915"/>
  <c r="H127" i="5915"/>
  <c r="L130" i="5914"/>
  <c r="L132" i="5914" s="1"/>
  <c r="S128" i="5917"/>
  <c r="S126" i="5917"/>
  <c r="S130" i="5917" s="1"/>
  <c r="AL128" i="5917"/>
  <c r="AL126" i="5917"/>
  <c r="AL130" i="5917" s="1"/>
  <c r="AL132" i="5917" s="1"/>
  <c r="AP128" i="5916"/>
  <c r="AP126" i="5916"/>
  <c r="AP130" i="5916" s="1"/>
  <c r="AP132" i="5916" s="1"/>
  <c r="H120" i="5917"/>
  <c r="H131" i="5917" s="1"/>
  <c r="AF130" i="5916"/>
  <c r="AF132" i="5916" s="1"/>
  <c r="AL127" i="5915"/>
  <c r="AL130" i="5915" s="1"/>
  <c r="AL132" i="5915" s="1"/>
  <c r="S127" i="5915"/>
  <c r="S124" i="5915"/>
  <c r="X118" i="5914"/>
  <c r="X127" i="5914"/>
  <c r="J127" i="5913"/>
  <c r="J124" i="5913"/>
  <c r="AP118" i="5913"/>
  <c r="AP127" i="5913"/>
  <c r="Z118" i="5912"/>
  <c r="Z127" i="5912"/>
  <c r="AL126" i="5912"/>
  <c r="AL128" i="5912"/>
  <c r="P118" i="5911"/>
  <c r="P127" i="5911"/>
  <c r="M128" i="5909"/>
  <c r="M126" i="5909"/>
  <c r="M130" i="5909" s="1"/>
  <c r="M132" i="5909" s="1"/>
  <c r="AC127" i="5907"/>
  <c r="AN139" i="5900"/>
  <c r="AN140" i="5900" s="1"/>
  <c r="AN142" i="5900" s="1"/>
  <c r="AN144" i="5900" s="1"/>
  <c r="AA128" i="5912"/>
  <c r="AA126" i="5912"/>
  <c r="AA130" i="5912" s="1"/>
  <c r="AA132" i="5912" s="1"/>
  <c r="AH128" i="5911"/>
  <c r="AH126" i="5911"/>
  <c r="Q118" i="5917"/>
  <c r="Q127" i="5917"/>
  <c r="R118" i="5912"/>
  <c r="R127" i="5912"/>
  <c r="S128" i="5914"/>
  <c r="AG130" i="5913"/>
  <c r="AG132" i="5913" s="1"/>
  <c r="AK126" i="5911"/>
  <c r="L118" i="5907"/>
  <c r="L127" i="5907"/>
  <c r="AH139" i="5909"/>
  <c r="AH140" i="5909" s="1"/>
  <c r="AH142" i="5909" s="1"/>
  <c r="AH144" i="5909" s="1"/>
  <c r="AR118" i="5909"/>
  <c r="AR128" i="5909" s="1"/>
  <c r="AR127" i="5909"/>
  <c r="AJ118" i="5899"/>
  <c r="AJ126" i="5899" s="1"/>
  <c r="AJ127" i="5899"/>
  <c r="Q145" i="5916"/>
  <c r="Q120" i="5916"/>
  <c r="Q131" i="5916" s="1"/>
  <c r="AN118" i="5916"/>
  <c r="AN127" i="5916"/>
  <c r="M127" i="5911"/>
  <c r="W124" i="5911"/>
  <c r="W127" i="5911"/>
  <c r="AK127" i="5911"/>
  <c r="F118" i="5910"/>
  <c r="F127" i="5910"/>
  <c r="S118" i="5911"/>
  <c r="S127" i="5911"/>
  <c r="M120" i="5909"/>
  <c r="M131" i="5909" s="1"/>
  <c r="M145" i="5909"/>
  <c r="AA130" i="5905"/>
  <c r="AA132" i="5905" s="1"/>
  <c r="AG118" i="5901"/>
  <c r="AG127" i="5901"/>
  <c r="L118" i="5917"/>
  <c r="L127" i="5917"/>
  <c r="S134" i="5912"/>
  <c r="G134" i="5912"/>
  <c r="D113" i="5912"/>
  <c r="D146" i="5912" s="1"/>
  <c r="P134" i="5912"/>
  <c r="N134" i="5912"/>
  <c r="W134" i="5912"/>
  <c r="K134" i="5912"/>
  <c r="V134" i="5912"/>
  <c r="J134" i="5912"/>
  <c r="U134" i="5912"/>
  <c r="U139" i="5912" s="1"/>
  <c r="U140" i="5912" s="1"/>
  <c r="I134" i="5912"/>
  <c r="L134" i="5912"/>
  <c r="E134" i="5912"/>
  <c r="R134" i="5912"/>
  <c r="Q134" i="5912"/>
  <c r="O134" i="5912"/>
  <c r="X134" i="5912"/>
  <c r="T134" i="5912"/>
  <c r="M134" i="5912"/>
  <c r="H134" i="5912"/>
  <c r="C158" i="5912"/>
  <c r="F134" i="5912"/>
  <c r="C157" i="5912"/>
  <c r="V118" i="5911"/>
  <c r="V120" i="5911" s="1"/>
  <c r="V131" i="5911" s="1"/>
  <c r="V127" i="5911"/>
  <c r="AH128" i="5912"/>
  <c r="AH126" i="5912"/>
  <c r="AH130" i="5912" s="1"/>
  <c r="AH132" i="5912" s="1"/>
  <c r="L128" i="5911"/>
  <c r="L126" i="5911"/>
  <c r="AJ118" i="5908"/>
  <c r="AJ127" i="5908"/>
  <c r="AA118" i="5917"/>
  <c r="AA127" i="5917"/>
  <c r="AN118" i="5915"/>
  <c r="AN127" i="5915"/>
  <c r="Z127" i="5917"/>
  <c r="Y139" i="5916"/>
  <c r="Y140" i="5916" s="1"/>
  <c r="Y142" i="5916" s="1"/>
  <c r="Y144" i="5916" s="1"/>
  <c r="Y143" i="5916"/>
  <c r="AO139" i="5913"/>
  <c r="AO140" i="5913" s="1"/>
  <c r="AO143" i="5913"/>
  <c r="AO142" i="5913"/>
  <c r="AO144" i="5913" s="1"/>
  <c r="AE126" i="5914"/>
  <c r="AC118" i="5913"/>
  <c r="AC127" i="5913"/>
  <c r="AN118" i="5913"/>
  <c r="AN127" i="5913"/>
  <c r="V128" i="5911"/>
  <c r="V126" i="5911"/>
  <c r="V130" i="5911" s="1"/>
  <c r="V132" i="5911" s="1"/>
  <c r="AR118" i="5917"/>
  <c r="AR127" i="5917"/>
  <c r="L130" i="5916"/>
  <c r="L132" i="5916" s="1"/>
  <c r="AJ128" i="5917"/>
  <c r="AJ126" i="5917"/>
  <c r="F128" i="5915"/>
  <c r="F126" i="5915"/>
  <c r="AH130" i="5915"/>
  <c r="AH132" i="5915" s="1"/>
  <c r="AM128" i="5916"/>
  <c r="R128" i="5914"/>
  <c r="R126" i="5914"/>
  <c r="R130" i="5914" s="1"/>
  <c r="Q145" i="5915"/>
  <c r="Q120" i="5915"/>
  <c r="Q131" i="5915" s="1"/>
  <c r="U118" i="5915"/>
  <c r="U127" i="5915"/>
  <c r="N120" i="5913"/>
  <c r="N131" i="5913" s="1"/>
  <c r="AE127" i="5914"/>
  <c r="J127" i="5914"/>
  <c r="AC128" i="5912"/>
  <c r="AC126" i="5912"/>
  <c r="AK118" i="5912"/>
  <c r="AK127" i="5912"/>
  <c r="S127" i="5912"/>
  <c r="S124" i="5912"/>
  <c r="Q127" i="5909"/>
  <c r="Q118" i="5909"/>
  <c r="AR118" i="5898"/>
  <c r="AR127" i="5898"/>
  <c r="AB118" i="5917"/>
  <c r="AB127" i="5917"/>
  <c r="H145" i="5916"/>
  <c r="H120" i="5916"/>
  <c r="H131" i="5916" s="1"/>
  <c r="Q127" i="5916"/>
  <c r="AH130" i="5917"/>
  <c r="AH132" i="5917" s="1"/>
  <c r="K128" i="5917"/>
  <c r="K126" i="5917"/>
  <c r="K130" i="5916"/>
  <c r="AM118" i="5916"/>
  <c r="AM126" i="5916" s="1"/>
  <c r="AM130" i="5916" s="1"/>
  <c r="AM132" i="5916" s="1"/>
  <c r="AM127" i="5916"/>
  <c r="N127" i="5916"/>
  <c r="N124" i="5916"/>
  <c r="X128" i="5917"/>
  <c r="X126" i="5917"/>
  <c r="Z130" i="5916"/>
  <c r="Z132" i="5916" s="1"/>
  <c r="AB139" i="5914"/>
  <c r="AB140" i="5914" s="1"/>
  <c r="AB143" i="5914"/>
  <c r="AB142" i="5914"/>
  <c r="AB144" i="5914" s="1"/>
  <c r="P128" i="5915"/>
  <c r="P126" i="5915"/>
  <c r="P130" i="5915" s="1"/>
  <c r="P132" i="5915" s="1"/>
  <c r="AD127" i="5914"/>
  <c r="C158" i="5913"/>
  <c r="W134" i="5913"/>
  <c r="K134" i="5913"/>
  <c r="T134" i="5913"/>
  <c r="H134" i="5913"/>
  <c r="O134" i="5913"/>
  <c r="N134" i="5913"/>
  <c r="M134" i="5913"/>
  <c r="R134" i="5913"/>
  <c r="L134" i="5913"/>
  <c r="I134" i="5913"/>
  <c r="X134" i="5913"/>
  <c r="E134" i="5913"/>
  <c r="V134" i="5913"/>
  <c r="U134" i="5913"/>
  <c r="C157" i="5913"/>
  <c r="S134" i="5913"/>
  <c r="Q134" i="5913"/>
  <c r="P134" i="5913"/>
  <c r="J134" i="5913"/>
  <c r="G134" i="5913"/>
  <c r="D113" i="5913"/>
  <c r="D146" i="5913" s="1"/>
  <c r="F134" i="5913"/>
  <c r="AJ118" i="5912"/>
  <c r="AJ126" i="5912" s="1"/>
  <c r="AJ127" i="5912"/>
  <c r="Y128" i="5913"/>
  <c r="Y126" i="5913"/>
  <c r="X139" i="5912"/>
  <c r="X140" i="5912" s="1"/>
  <c r="X142" i="5912"/>
  <c r="X144" i="5912" s="1"/>
  <c r="X143" i="5912"/>
  <c r="AE128" i="5912"/>
  <c r="AE126" i="5912"/>
  <c r="W127" i="5910"/>
  <c r="W124" i="5910"/>
  <c r="W127" i="5909"/>
  <c r="W124" i="5909"/>
  <c r="AA118" i="5910"/>
  <c r="AA127" i="5910"/>
  <c r="E118" i="5911"/>
  <c r="C159" i="5911"/>
  <c r="C160" i="5911" s="1"/>
  <c r="E127" i="5911"/>
  <c r="Z127" i="5911"/>
  <c r="Z118" i="5911"/>
  <c r="AP118" i="5908"/>
  <c r="AP127" i="5908"/>
  <c r="S118" i="5908"/>
  <c r="S127" i="5908"/>
  <c r="Q126" i="5907"/>
  <c r="Q130" i="5907" s="1"/>
  <c r="U126" i="5917"/>
  <c r="U128" i="5917"/>
  <c r="J145" i="5914"/>
  <c r="J120" i="5914"/>
  <c r="J131" i="5914" s="1"/>
  <c r="J126" i="5914"/>
  <c r="AN118" i="5914"/>
  <c r="AN127" i="5914"/>
  <c r="AD118" i="5917"/>
  <c r="AD127" i="5917"/>
  <c r="AH130" i="5914"/>
  <c r="AH132" i="5914" s="1"/>
  <c r="J127" i="5916"/>
  <c r="J124" i="5916"/>
  <c r="P127" i="5915"/>
  <c r="S145" i="5912"/>
  <c r="S120" i="5912"/>
  <c r="S131" i="5912" s="1"/>
  <c r="O128" i="5912"/>
  <c r="O126" i="5912"/>
  <c r="O130" i="5912" s="1"/>
  <c r="O132" i="5912" s="1"/>
  <c r="T115" i="5910"/>
  <c r="T118" i="5910" s="1"/>
  <c r="T120" i="5910" s="1"/>
  <c r="T131" i="5910" s="1"/>
  <c r="Q115" i="5910"/>
  <c r="O115" i="5910"/>
  <c r="AL115" i="5910"/>
  <c r="AI115" i="5910"/>
  <c r="G115" i="5910"/>
  <c r="K115" i="5910"/>
  <c r="Z115" i="5910"/>
  <c r="J115" i="5910"/>
  <c r="J118" i="5910" s="1"/>
  <c r="U115" i="5910"/>
  <c r="U118" i="5910" s="1"/>
  <c r="U120" i="5910" s="1"/>
  <c r="U131" i="5910" s="1"/>
  <c r="AM115" i="5910"/>
  <c r="AO115" i="5910"/>
  <c r="AC115" i="5910"/>
  <c r="I115" i="5910"/>
  <c r="S115" i="5910"/>
  <c r="V115" i="5910"/>
  <c r="V118" i="5910" s="1"/>
  <c r="V120" i="5910" s="1"/>
  <c r="V131" i="5910" s="1"/>
  <c r="H115" i="5910"/>
  <c r="AK115" i="5910"/>
  <c r="AF115" i="5910"/>
  <c r="E115" i="5910"/>
  <c r="AR115" i="5910"/>
  <c r="Y115" i="5910"/>
  <c r="P115" i="5910"/>
  <c r="AE115" i="5910"/>
  <c r="M115" i="5910"/>
  <c r="AD115" i="5910"/>
  <c r="R115" i="5910"/>
  <c r="AJ115" i="5910"/>
  <c r="N115" i="5910"/>
  <c r="AH115" i="5910"/>
  <c r="AB115" i="5910"/>
  <c r="X115" i="5910"/>
  <c r="AQ115" i="5910"/>
  <c r="AI139" i="5909"/>
  <c r="AI140" i="5909" s="1"/>
  <c r="AI143" i="5909" s="1"/>
  <c r="AI118" i="5902"/>
  <c r="AI126" i="5902" s="1"/>
  <c r="AI130" i="5902" s="1"/>
  <c r="AI132" i="5902" s="1"/>
  <c r="AI127" i="5902"/>
  <c r="J145" i="5917"/>
  <c r="J120" i="5917"/>
  <c r="J131" i="5917" s="1"/>
  <c r="AR143" i="5916"/>
  <c r="AR139" i="5916"/>
  <c r="AR140" i="5916" s="1"/>
  <c r="AR142" i="5916" s="1"/>
  <c r="AR144" i="5916" s="1"/>
  <c r="AG118" i="5916"/>
  <c r="AG127" i="5916"/>
  <c r="T130" i="5917"/>
  <c r="T132" i="5917" s="1"/>
  <c r="Q126" i="5916"/>
  <c r="S118" i="5913"/>
  <c r="S128" i="5913" s="1"/>
  <c r="S127" i="5913"/>
  <c r="AD126" i="5914"/>
  <c r="AD130" i="5914" s="1"/>
  <c r="AD132" i="5914" s="1"/>
  <c r="AD128" i="5914"/>
  <c r="N145" i="5916"/>
  <c r="N120" i="5916"/>
  <c r="N131" i="5916" s="1"/>
  <c r="H127" i="5916"/>
  <c r="H130" i="5916" s="1"/>
  <c r="H132" i="5916" s="1"/>
  <c r="S127" i="5916"/>
  <c r="S130" i="5916" s="1"/>
  <c r="S132" i="5916" s="1"/>
  <c r="O145" i="5914"/>
  <c r="O120" i="5914"/>
  <c r="O131" i="5914" s="1"/>
  <c r="AR118" i="5915"/>
  <c r="AR127" i="5915"/>
  <c r="AM118" i="5915"/>
  <c r="AM126" i="5915" s="1"/>
  <c r="AM127" i="5915"/>
  <c r="AM139" i="5914"/>
  <c r="AM140" i="5914" s="1"/>
  <c r="AM143" i="5914" s="1"/>
  <c r="AF126" i="5914"/>
  <c r="AF130" i="5914" s="1"/>
  <c r="AF132" i="5914" s="1"/>
  <c r="AL139" i="5913"/>
  <c r="AL140" i="5913" s="1"/>
  <c r="AL142" i="5913" s="1"/>
  <c r="AL144" i="5913" s="1"/>
  <c r="AL143" i="5913"/>
  <c r="AA127" i="5912"/>
  <c r="AH127" i="5912"/>
  <c r="Q127" i="5912"/>
  <c r="AN118" i="5912"/>
  <c r="AN127" i="5912"/>
  <c r="AC128" i="5907"/>
  <c r="AC126" i="5907"/>
  <c r="AC130" i="5907" s="1"/>
  <c r="AC132" i="5907" s="1"/>
  <c r="AA118" i="5907"/>
  <c r="AA127" i="5907"/>
  <c r="W139" i="5906"/>
  <c r="W140" i="5906" s="1"/>
  <c r="W142" i="5906" s="1"/>
  <c r="W144" i="5906" s="1"/>
  <c r="W143" i="5906"/>
  <c r="Y143" i="5915"/>
  <c r="Y139" i="5915"/>
  <c r="Y140" i="5915" s="1"/>
  <c r="Y142" i="5915"/>
  <c r="Y144" i="5915" s="1"/>
  <c r="S145" i="5916"/>
  <c r="S120" i="5916"/>
  <c r="S131" i="5916" s="1"/>
  <c r="S128" i="5916"/>
  <c r="S136" i="5915"/>
  <c r="G136" i="5915"/>
  <c r="K135" i="5915"/>
  <c r="D143" i="5915"/>
  <c r="H136" i="5915"/>
  <c r="J135" i="5915"/>
  <c r="L136" i="5915"/>
  <c r="O135" i="5915"/>
  <c r="O137" i="5915" s="1"/>
  <c r="J136" i="5915"/>
  <c r="M135" i="5915"/>
  <c r="O136" i="5915"/>
  <c r="N135" i="5915"/>
  <c r="N137" i="5915" s="1"/>
  <c r="K136" i="5915"/>
  <c r="H135" i="5915"/>
  <c r="F136" i="5915"/>
  <c r="F135" i="5915"/>
  <c r="F137" i="5915" s="1"/>
  <c r="S135" i="5915"/>
  <c r="R136" i="5915"/>
  <c r="R135" i="5915"/>
  <c r="R137" i="5915" s="1"/>
  <c r="Q136" i="5915"/>
  <c r="Q135" i="5915"/>
  <c r="Q137" i="5915" s="1"/>
  <c r="L135" i="5915"/>
  <c r="G135" i="5915"/>
  <c r="G137" i="5915" s="1"/>
  <c r="E135" i="5915"/>
  <c r="E137" i="5915" s="1"/>
  <c r="P136" i="5915"/>
  <c r="N136" i="5915"/>
  <c r="M136" i="5915"/>
  <c r="I136" i="5915"/>
  <c r="E136" i="5915"/>
  <c r="P135" i="5915"/>
  <c r="I135" i="5915"/>
  <c r="O128" i="5916"/>
  <c r="O126" i="5916"/>
  <c r="O130" i="5916" s="1"/>
  <c r="O132" i="5916" s="1"/>
  <c r="U118" i="5914"/>
  <c r="U127" i="5914"/>
  <c r="V118" i="5915"/>
  <c r="V127" i="5915"/>
  <c r="AJ118" i="5915"/>
  <c r="AJ127" i="5915"/>
  <c r="AM130" i="5913"/>
  <c r="AM132" i="5913" s="1"/>
  <c r="Y139" i="5914"/>
  <c r="Y140" i="5914" s="1"/>
  <c r="Y143" i="5914"/>
  <c r="Y142" i="5914"/>
  <c r="Y144" i="5914" s="1"/>
  <c r="N130" i="5912"/>
  <c r="AM130" i="5909"/>
  <c r="AM132" i="5909" s="1"/>
  <c r="F120" i="5911"/>
  <c r="F131" i="5911" s="1"/>
  <c r="Y130" i="5909"/>
  <c r="Y132" i="5909" s="1"/>
  <c r="AD130" i="5901"/>
  <c r="AD132" i="5901" s="1"/>
  <c r="J127" i="5897"/>
  <c r="J124" i="5897"/>
  <c r="F126" i="5917"/>
  <c r="F130" i="5917" s="1"/>
  <c r="F132" i="5917" s="1"/>
  <c r="O136" i="5916"/>
  <c r="S135" i="5916"/>
  <c r="S137" i="5916" s="1"/>
  <c r="G135" i="5916"/>
  <c r="G137" i="5916" s="1"/>
  <c r="G136" i="5916"/>
  <c r="J135" i="5916"/>
  <c r="J137" i="5916" s="1"/>
  <c r="D143" i="5916"/>
  <c r="K136" i="5916"/>
  <c r="N135" i="5916"/>
  <c r="N137" i="5916" s="1"/>
  <c r="J136" i="5916"/>
  <c r="M135" i="5916"/>
  <c r="I136" i="5916"/>
  <c r="H135" i="5916"/>
  <c r="H137" i="5916" s="1"/>
  <c r="E136" i="5916"/>
  <c r="P136" i="5916"/>
  <c r="O135" i="5916"/>
  <c r="O137" i="5916" s="1"/>
  <c r="N136" i="5916"/>
  <c r="L135" i="5916"/>
  <c r="M136" i="5916"/>
  <c r="K135" i="5916"/>
  <c r="K137" i="5916" s="1"/>
  <c r="R135" i="5916"/>
  <c r="R137" i="5916" s="1"/>
  <c r="I135" i="5916"/>
  <c r="L136" i="5916"/>
  <c r="H136" i="5916"/>
  <c r="F136" i="5916"/>
  <c r="S136" i="5916"/>
  <c r="R136" i="5916"/>
  <c r="Q135" i="5916"/>
  <c r="P135" i="5916"/>
  <c r="F135" i="5916"/>
  <c r="E135" i="5916"/>
  <c r="E137" i="5916" s="1"/>
  <c r="Q136" i="5916"/>
  <c r="AI126" i="5916"/>
  <c r="AI130" i="5916" s="1"/>
  <c r="AI132" i="5916" s="1"/>
  <c r="P127" i="5917"/>
  <c r="G127" i="5916"/>
  <c r="AA143" i="5916"/>
  <c r="AA142" i="5916"/>
  <c r="AA144" i="5916" s="1"/>
  <c r="AA139" i="5916"/>
  <c r="AA140" i="5916" s="1"/>
  <c r="AO143" i="5916"/>
  <c r="AO142" i="5916"/>
  <c r="AO144" i="5916" s="1"/>
  <c r="AO139" i="5916"/>
  <c r="AO140" i="5916" s="1"/>
  <c r="R128" i="5916"/>
  <c r="R130" i="5916" s="1"/>
  <c r="R132" i="5916" s="1"/>
  <c r="G127" i="5915"/>
  <c r="M120" i="5914"/>
  <c r="M131" i="5914" s="1"/>
  <c r="E145" i="5916"/>
  <c r="C85" i="5916"/>
  <c r="C84" i="5916"/>
  <c r="AE127" i="5915"/>
  <c r="AE118" i="5915"/>
  <c r="K130" i="5914"/>
  <c r="K132" i="5914" s="1"/>
  <c r="G127" i="5913"/>
  <c r="G130" i="5913" s="1"/>
  <c r="G132" i="5913" s="1"/>
  <c r="AF127" i="5912"/>
  <c r="AF118" i="5912"/>
  <c r="F128" i="5914"/>
  <c r="F145" i="5915"/>
  <c r="F120" i="5915"/>
  <c r="F131" i="5915" s="1"/>
  <c r="L124" i="5913"/>
  <c r="L127" i="5913"/>
  <c r="AG127" i="5914"/>
  <c r="K145" i="5913"/>
  <c r="K120" i="5913"/>
  <c r="K131" i="5913" s="1"/>
  <c r="J120" i="5913"/>
  <c r="J131" i="5913" s="1"/>
  <c r="N128" i="5914"/>
  <c r="AR118" i="5913"/>
  <c r="AR127" i="5913"/>
  <c r="F128" i="5912"/>
  <c r="I145" i="5912"/>
  <c r="I128" i="5912"/>
  <c r="I130" i="5912" s="1"/>
  <c r="I132" i="5912" s="1"/>
  <c r="J128" i="5914"/>
  <c r="G127" i="5912"/>
  <c r="G124" i="5912"/>
  <c r="Q127" i="5911"/>
  <c r="X127" i="5911"/>
  <c r="X130" i="5911" s="1"/>
  <c r="X132" i="5911" s="1"/>
  <c r="Z128" i="5909"/>
  <c r="Z126" i="5909"/>
  <c r="Z130" i="5909" s="1"/>
  <c r="Z132" i="5909" s="1"/>
  <c r="AH127" i="5911"/>
  <c r="J120" i="5909"/>
  <c r="J131" i="5909" s="1"/>
  <c r="N118" i="5911"/>
  <c r="N127" i="5911"/>
  <c r="I145" i="5911"/>
  <c r="I120" i="5911"/>
  <c r="I131" i="5911" s="1"/>
  <c r="AM115" i="5908"/>
  <c r="X115" i="5907"/>
  <c r="AI115" i="5908"/>
  <c r="G115" i="5907"/>
  <c r="AE115" i="5908"/>
  <c r="N115" i="5908"/>
  <c r="F115" i="5907"/>
  <c r="E115" i="5907"/>
  <c r="AG118" i="5909"/>
  <c r="AG127" i="5909"/>
  <c r="AJ118" i="5909"/>
  <c r="AJ127" i="5909"/>
  <c r="G115" i="5909"/>
  <c r="AB115" i="5909"/>
  <c r="P115" i="5909"/>
  <c r="P118" i="5909" s="1"/>
  <c r="T127" i="5908"/>
  <c r="AR118" i="5906"/>
  <c r="AR127" i="5906"/>
  <c r="G127" i="5906"/>
  <c r="R120" i="5906"/>
  <c r="R131" i="5906" s="1"/>
  <c r="X130" i="5906"/>
  <c r="X132" i="5906" s="1"/>
  <c r="D144" i="5908"/>
  <c r="P124" i="5907"/>
  <c r="X124" i="5909"/>
  <c r="X127" i="5909"/>
  <c r="AB127" i="5905"/>
  <c r="AC127" i="5906"/>
  <c r="AE126" i="5905"/>
  <c r="AE130" i="5905" s="1"/>
  <c r="AE132" i="5905" s="1"/>
  <c r="N120" i="5905"/>
  <c r="N131" i="5905" s="1"/>
  <c r="AJ127" i="5905"/>
  <c r="AJ130" i="5905" s="1"/>
  <c r="AJ132" i="5905" s="1"/>
  <c r="I120" i="5906"/>
  <c r="I131" i="5906" s="1"/>
  <c r="AC115" i="5903"/>
  <c r="AG127" i="5904"/>
  <c r="AB115" i="5903"/>
  <c r="J115" i="5903"/>
  <c r="N120" i="5904"/>
  <c r="N131" i="5904" s="1"/>
  <c r="AA127" i="5903"/>
  <c r="AD127" i="5904"/>
  <c r="K128" i="5902"/>
  <c r="AO127" i="5904"/>
  <c r="C159" i="5905"/>
  <c r="C160" i="5905" s="1"/>
  <c r="E118" i="5905"/>
  <c r="AM115" i="5903"/>
  <c r="K137" i="5903"/>
  <c r="Q137" i="5903"/>
  <c r="O126" i="5902"/>
  <c r="O130" i="5902" s="1"/>
  <c r="AI126" i="5901"/>
  <c r="AI130" i="5901" s="1"/>
  <c r="AI132" i="5901" s="1"/>
  <c r="G126" i="5902"/>
  <c r="F127" i="5903"/>
  <c r="AM126" i="5905"/>
  <c r="AM130" i="5905" s="1"/>
  <c r="AM132" i="5905" s="1"/>
  <c r="U120" i="5903"/>
  <c r="U131" i="5903" s="1"/>
  <c r="P124" i="5902"/>
  <c r="P127" i="5902"/>
  <c r="H128" i="5903"/>
  <c r="AE127" i="5902"/>
  <c r="AP127" i="5902"/>
  <c r="O115" i="5901"/>
  <c r="S120" i="5900"/>
  <c r="S131" i="5900" s="1"/>
  <c r="AM128" i="5901"/>
  <c r="AE126" i="5901"/>
  <c r="AE130" i="5901" s="1"/>
  <c r="AE132" i="5901" s="1"/>
  <c r="I118" i="5900"/>
  <c r="I127" i="5900"/>
  <c r="H128" i="5902"/>
  <c r="H126" i="5902"/>
  <c r="H130" i="5902" s="1"/>
  <c r="H132" i="5902" s="1"/>
  <c r="O145" i="5902"/>
  <c r="O120" i="5902"/>
  <c r="O131" i="5902" s="1"/>
  <c r="K130" i="5900"/>
  <c r="K132" i="5900" s="1"/>
  <c r="AM115" i="5897"/>
  <c r="AA115" i="5897"/>
  <c r="O115" i="5897"/>
  <c r="AD115" i="5897"/>
  <c r="M115" i="5897"/>
  <c r="AC115" i="5897"/>
  <c r="L115" i="5897"/>
  <c r="AR115" i="5897"/>
  <c r="H115" i="5897"/>
  <c r="E115" i="5897"/>
  <c r="AE115" i="5897"/>
  <c r="AB115" i="5897"/>
  <c r="AQ115" i="5897"/>
  <c r="Z115" i="5897"/>
  <c r="G115" i="5897"/>
  <c r="AP115" i="5897"/>
  <c r="F115" i="5897"/>
  <c r="AO115" i="5897"/>
  <c r="T115" i="5897"/>
  <c r="N115" i="5897"/>
  <c r="Y115" i="5897"/>
  <c r="X115" i="5897"/>
  <c r="AN115" i="5897"/>
  <c r="AL115" i="5897"/>
  <c r="S115" i="5897"/>
  <c r="AK115" i="5897"/>
  <c r="R115" i="5897"/>
  <c r="AJ115" i="5897"/>
  <c r="Q115" i="5897"/>
  <c r="AF115" i="5897"/>
  <c r="P115" i="5897"/>
  <c r="R127" i="5900"/>
  <c r="R120" i="5902"/>
  <c r="R131" i="5902" s="1"/>
  <c r="AL127" i="5900"/>
  <c r="U126" i="5901"/>
  <c r="AM128" i="5900"/>
  <c r="L124" i="5900"/>
  <c r="L127" i="5900"/>
  <c r="U115" i="5899"/>
  <c r="J127" i="5900"/>
  <c r="J124" i="5900"/>
  <c r="R137" i="5900"/>
  <c r="AG115" i="5899"/>
  <c r="N115" i="5898"/>
  <c r="K115" i="5898"/>
  <c r="AO115" i="5898"/>
  <c r="P126" i="5900"/>
  <c r="P137" i="5899"/>
  <c r="H137" i="5897"/>
  <c r="P127" i="5904"/>
  <c r="P124" i="5904"/>
  <c r="D144" i="5907"/>
  <c r="J130" i="5905"/>
  <c r="J132" i="5905" s="1"/>
  <c r="AO143" i="5905"/>
  <c r="AO139" i="5905"/>
  <c r="AO140" i="5905" s="1"/>
  <c r="AO142" i="5905" s="1"/>
  <c r="AO144" i="5905" s="1"/>
  <c r="AK118" i="5902"/>
  <c r="AK127" i="5902"/>
  <c r="Y115" i="5898"/>
  <c r="AL115" i="5898"/>
  <c r="J115" i="5898"/>
  <c r="J118" i="5898" s="1"/>
  <c r="AK115" i="5898"/>
  <c r="I115" i="5898"/>
  <c r="Z115" i="5898"/>
  <c r="AB142" i="5900"/>
  <c r="AB144" i="5900" s="1"/>
  <c r="AB143" i="5900"/>
  <c r="AB139" i="5900"/>
  <c r="AB140" i="5900" s="1"/>
  <c r="AF127" i="5917"/>
  <c r="AF130" i="5917" s="1"/>
  <c r="AF132" i="5917" s="1"/>
  <c r="AQ127" i="5917"/>
  <c r="AQ130" i="5917" s="1"/>
  <c r="AQ132" i="5917" s="1"/>
  <c r="K120" i="5917"/>
  <c r="K131" i="5917" s="1"/>
  <c r="F128" i="5917"/>
  <c r="I145" i="5916"/>
  <c r="I126" i="5916"/>
  <c r="I120" i="5916"/>
  <c r="I131" i="5916" s="1"/>
  <c r="M139" i="5916"/>
  <c r="AK130" i="5916"/>
  <c r="AK132" i="5916" s="1"/>
  <c r="AC118" i="5917"/>
  <c r="AC127" i="5917"/>
  <c r="V127" i="5916"/>
  <c r="V124" i="5916"/>
  <c r="I128" i="5916"/>
  <c r="AI128" i="5914"/>
  <c r="K127" i="5915"/>
  <c r="K124" i="5915"/>
  <c r="M128" i="5915"/>
  <c r="T130" i="5915"/>
  <c r="T132" i="5915" s="1"/>
  <c r="AL118" i="5914"/>
  <c r="AL127" i="5914"/>
  <c r="M127" i="5914"/>
  <c r="AI126" i="5914"/>
  <c r="AI130" i="5914" s="1"/>
  <c r="AI132" i="5914" s="1"/>
  <c r="K130" i="5913"/>
  <c r="U128" i="5914"/>
  <c r="F126" i="5914"/>
  <c r="F145" i="5913"/>
  <c r="F120" i="5913"/>
  <c r="F131" i="5913" s="1"/>
  <c r="V130" i="5914"/>
  <c r="V132" i="5914" s="1"/>
  <c r="I126" i="5913"/>
  <c r="I130" i="5913" s="1"/>
  <c r="I132" i="5913" s="1"/>
  <c r="I128" i="5913"/>
  <c r="P127" i="5913"/>
  <c r="P118" i="5913"/>
  <c r="F127" i="5912"/>
  <c r="F130" i="5912" s="1"/>
  <c r="F132" i="5912" s="1"/>
  <c r="AG130" i="5912"/>
  <c r="AG132" i="5912" s="1"/>
  <c r="Y118" i="5912"/>
  <c r="Y127" i="5912"/>
  <c r="AK130" i="5914"/>
  <c r="AK132" i="5914" s="1"/>
  <c r="J126" i="5912"/>
  <c r="J130" i="5912" s="1"/>
  <c r="J132" i="5912" s="1"/>
  <c r="K127" i="5911"/>
  <c r="J126" i="5911"/>
  <c r="J130" i="5911" s="1"/>
  <c r="J132" i="5911" s="1"/>
  <c r="G120" i="5912"/>
  <c r="G131" i="5912" s="1"/>
  <c r="Z127" i="5909"/>
  <c r="U128" i="5911"/>
  <c r="U126" i="5911"/>
  <c r="U130" i="5911" s="1"/>
  <c r="U132" i="5911" s="1"/>
  <c r="T127" i="5909"/>
  <c r="T130" i="5909" s="1"/>
  <c r="T132" i="5909" s="1"/>
  <c r="G118" i="5911"/>
  <c r="G127" i="5911"/>
  <c r="R124" i="5908"/>
  <c r="O115" i="5908"/>
  <c r="J127" i="5909"/>
  <c r="AJ115" i="5907"/>
  <c r="K115" i="5908"/>
  <c r="AH115" i="5908"/>
  <c r="AQ115" i="5908"/>
  <c r="Z115" i="5908"/>
  <c r="W127" i="5907"/>
  <c r="W124" i="5907"/>
  <c r="AF127" i="5909"/>
  <c r="AF130" i="5909" s="1"/>
  <c r="AF132" i="5909" s="1"/>
  <c r="AK130" i="5909"/>
  <c r="AK132" i="5909" s="1"/>
  <c r="K120" i="5909"/>
  <c r="K131" i="5909" s="1"/>
  <c r="K145" i="5909"/>
  <c r="T128" i="5908"/>
  <c r="AF118" i="5906"/>
  <c r="AF127" i="5906"/>
  <c r="H126" i="5906"/>
  <c r="H130" i="5906" s="1"/>
  <c r="H132" i="5906" s="1"/>
  <c r="M127" i="5905"/>
  <c r="H127" i="5905"/>
  <c r="AJ128" i="5905"/>
  <c r="T118" i="5905"/>
  <c r="T127" i="5905"/>
  <c r="W127" i="5905"/>
  <c r="W124" i="5905"/>
  <c r="AD128" i="5903"/>
  <c r="L145" i="5903"/>
  <c r="L128" i="5903"/>
  <c r="P120" i="5904"/>
  <c r="P131" i="5904" s="1"/>
  <c r="AP126" i="5904"/>
  <c r="AP128" i="5903"/>
  <c r="Q128" i="5904"/>
  <c r="AQ130" i="5905"/>
  <c r="AQ132" i="5905" s="1"/>
  <c r="AC128" i="5904"/>
  <c r="AC118" i="5905"/>
  <c r="AC127" i="5905"/>
  <c r="W115" i="5903"/>
  <c r="W118" i="5903" s="1"/>
  <c r="W120" i="5903" s="1"/>
  <c r="W131" i="5903" s="1"/>
  <c r="I130" i="5905"/>
  <c r="I132" i="5905" s="1"/>
  <c r="S127" i="5903"/>
  <c r="AL126" i="5905"/>
  <c r="AL130" i="5905" s="1"/>
  <c r="AL132" i="5905" s="1"/>
  <c r="Q124" i="5903"/>
  <c r="H137" i="5903"/>
  <c r="N128" i="5903"/>
  <c r="I120" i="5903"/>
  <c r="I131" i="5903" s="1"/>
  <c r="H127" i="5903"/>
  <c r="F120" i="5901"/>
  <c r="F131" i="5901" s="1"/>
  <c r="AL115" i="5901"/>
  <c r="P115" i="5901"/>
  <c r="P118" i="5901" s="1"/>
  <c r="AC115" i="5901"/>
  <c r="L115" i="5901"/>
  <c r="AB115" i="5901"/>
  <c r="J115" i="5901"/>
  <c r="AP115" i="5901"/>
  <c r="Y115" i="5901"/>
  <c r="E115" i="5901"/>
  <c r="N115" i="5901"/>
  <c r="N118" i="5901" s="1"/>
  <c r="AO115" i="5901"/>
  <c r="AF115" i="5901"/>
  <c r="X115" i="5901"/>
  <c r="W126" i="5902"/>
  <c r="W130" i="5902" s="1"/>
  <c r="W132" i="5902" s="1"/>
  <c r="X118" i="5900"/>
  <c r="X127" i="5900"/>
  <c r="AH128" i="5900"/>
  <c r="AH130" i="5900" s="1"/>
  <c r="AH132" i="5900" s="1"/>
  <c r="AR128" i="5900"/>
  <c r="C159" i="5900"/>
  <c r="C160" i="5900" s="1"/>
  <c r="E118" i="5900"/>
  <c r="E127" i="5900"/>
  <c r="AJ127" i="5901"/>
  <c r="H115" i="5899"/>
  <c r="G137" i="5900"/>
  <c r="T115" i="5899"/>
  <c r="O127" i="5899"/>
  <c r="AM127" i="5901"/>
  <c r="W115" i="5898"/>
  <c r="AD115" i="5898"/>
  <c r="Q137" i="5899"/>
  <c r="I128" i="5897"/>
  <c r="AH115" i="5898"/>
  <c r="D144" i="5906"/>
  <c r="AP143" i="5906"/>
  <c r="AP139" i="5906"/>
  <c r="AP140" i="5906" s="1"/>
  <c r="AP142" i="5906"/>
  <c r="AP144" i="5906" s="1"/>
  <c r="AG130" i="5902"/>
  <c r="AG132" i="5902" s="1"/>
  <c r="AJ126" i="5901"/>
  <c r="AJ128" i="5901"/>
  <c r="W118" i="5900"/>
  <c r="W127" i="5900"/>
  <c r="AB118" i="5902"/>
  <c r="AB127" i="5902"/>
  <c r="R127" i="5902"/>
  <c r="R124" i="5902"/>
  <c r="AF115" i="5898"/>
  <c r="T127" i="5917"/>
  <c r="AM128" i="5917"/>
  <c r="AM130" i="5917" s="1"/>
  <c r="AM132" i="5917" s="1"/>
  <c r="AJ127" i="5916"/>
  <c r="AJ118" i="5916"/>
  <c r="K145" i="5916"/>
  <c r="K120" i="5916"/>
  <c r="K131" i="5916" s="1"/>
  <c r="AH128" i="5916"/>
  <c r="AH126" i="5916"/>
  <c r="AL118" i="5916"/>
  <c r="AL127" i="5916"/>
  <c r="X124" i="5916"/>
  <c r="X127" i="5916"/>
  <c r="F130" i="5916"/>
  <c r="F132" i="5916" s="1"/>
  <c r="R145" i="5914"/>
  <c r="R120" i="5914"/>
  <c r="R131" i="5914" s="1"/>
  <c r="E118" i="5917"/>
  <c r="C159" i="5917"/>
  <c r="C160" i="5917" s="1"/>
  <c r="E127" i="5917"/>
  <c r="O118" i="5917"/>
  <c r="O127" i="5917"/>
  <c r="AD130" i="5916"/>
  <c r="AD132" i="5916" s="1"/>
  <c r="P120" i="5914"/>
  <c r="P131" i="5914" s="1"/>
  <c r="AK118" i="5915"/>
  <c r="AK127" i="5915"/>
  <c r="I145" i="5915"/>
  <c r="I120" i="5915"/>
  <c r="I131" i="5915" s="1"/>
  <c r="AO128" i="5915"/>
  <c r="AO126" i="5915"/>
  <c r="AO130" i="5915" s="1"/>
  <c r="AO132" i="5915" s="1"/>
  <c r="AP126" i="5914"/>
  <c r="AP130" i="5914" s="1"/>
  <c r="AP132" i="5914" s="1"/>
  <c r="D144" i="5915"/>
  <c r="M126" i="5915"/>
  <c r="AP128" i="5912"/>
  <c r="AP130" i="5912" s="1"/>
  <c r="AP132" i="5912" s="1"/>
  <c r="M128" i="5913"/>
  <c r="R118" i="5915"/>
  <c r="R127" i="5915"/>
  <c r="M126" i="5913"/>
  <c r="AF126" i="5913"/>
  <c r="AF130" i="5913" s="1"/>
  <c r="AF132" i="5913" s="1"/>
  <c r="O127" i="5914"/>
  <c r="O124" i="5914"/>
  <c r="N130" i="5914"/>
  <c r="N132" i="5914" s="1"/>
  <c r="AD130" i="5913"/>
  <c r="AD132" i="5913" s="1"/>
  <c r="AP127" i="5911"/>
  <c r="AJ128" i="5912"/>
  <c r="K128" i="5911"/>
  <c r="K126" i="5911"/>
  <c r="AM130" i="5911"/>
  <c r="AM132" i="5911" s="1"/>
  <c r="AG126" i="5911"/>
  <c r="AG130" i="5911" s="1"/>
  <c r="AG132" i="5911" s="1"/>
  <c r="AM128" i="5909"/>
  <c r="Q134" i="5909"/>
  <c r="E134" i="5909"/>
  <c r="U134" i="5909"/>
  <c r="I134" i="5909"/>
  <c r="T134" i="5909"/>
  <c r="H134" i="5909"/>
  <c r="S134" i="5909"/>
  <c r="G134" i="5909"/>
  <c r="X134" i="5909"/>
  <c r="R134" i="5909"/>
  <c r="O134" i="5909"/>
  <c r="L134" i="5909"/>
  <c r="D113" i="5909"/>
  <c r="D146" i="5909" s="1"/>
  <c r="K134" i="5909"/>
  <c r="J134" i="5909"/>
  <c r="P134" i="5909"/>
  <c r="N134" i="5909"/>
  <c r="M134" i="5909"/>
  <c r="F134" i="5909"/>
  <c r="C158" i="5909"/>
  <c r="W134" i="5909"/>
  <c r="V134" i="5909"/>
  <c r="U127" i="5911"/>
  <c r="AB118" i="5911"/>
  <c r="AB127" i="5911"/>
  <c r="F124" i="5908"/>
  <c r="AR115" i="5907"/>
  <c r="M115" i="5907"/>
  <c r="M120" i="5908"/>
  <c r="M131" i="5908" s="1"/>
  <c r="J115" i="5908"/>
  <c r="H115" i="5908"/>
  <c r="AL115" i="5908"/>
  <c r="F115" i="5908"/>
  <c r="F118" i="5908" s="1"/>
  <c r="AB115" i="5908"/>
  <c r="U124" i="5907"/>
  <c r="U124" i="5908"/>
  <c r="U127" i="5908"/>
  <c r="AK128" i="5906"/>
  <c r="AK126" i="5906"/>
  <c r="AK130" i="5906" s="1"/>
  <c r="AK132" i="5906" s="1"/>
  <c r="V128" i="5906"/>
  <c r="T126" i="5908"/>
  <c r="T130" i="5908" s="1"/>
  <c r="T132" i="5908" s="1"/>
  <c r="N127" i="5906"/>
  <c r="AD115" i="5908"/>
  <c r="G128" i="5906"/>
  <c r="AL127" i="5905"/>
  <c r="AB126" i="5905"/>
  <c r="AB130" i="5905" s="1"/>
  <c r="AB132" i="5905" s="1"/>
  <c r="AE118" i="5903"/>
  <c r="AE127" i="5903"/>
  <c r="L128" i="5904"/>
  <c r="L126" i="5904"/>
  <c r="N120" i="5903"/>
  <c r="N131" i="5903" s="1"/>
  <c r="S128" i="5904"/>
  <c r="AQ118" i="5903"/>
  <c r="AQ127" i="5903"/>
  <c r="Q127" i="5904"/>
  <c r="U130" i="5905"/>
  <c r="U132" i="5905" s="1"/>
  <c r="AC127" i="5904"/>
  <c r="AK118" i="5905"/>
  <c r="AK127" i="5905"/>
  <c r="J120" i="5904"/>
  <c r="J131" i="5904" s="1"/>
  <c r="Q145" i="5905"/>
  <c r="Q120" i="5905"/>
  <c r="Q131" i="5905" s="1"/>
  <c r="Q132" i="5905" s="1"/>
  <c r="K120" i="5903"/>
  <c r="K131" i="5903" s="1"/>
  <c r="L137" i="5903"/>
  <c r="K136" i="5902"/>
  <c r="O135" i="5902"/>
  <c r="J136" i="5902"/>
  <c r="N135" i="5902"/>
  <c r="N137" i="5902" s="1"/>
  <c r="I136" i="5902"/>
  <c r="M135" i="5902"/>
  <c r="M137" i="5902" s="1"/>
  <c r="H136" i="5902"/>
  <c r="L135" i="5902"/>
  <c r="L137" i="5902" s="1"/>
  <c r="S136" i="5902"/>
  <c r="G136" i="5902"/>
  <c r="K135" i="5902"/>
  <c r="K137" i="5902" s="1"/>
  <c r="R136" i="5902"/>
  <c r="F136" i="5902"/>
  <c r="J135" i="5902"/>
  <c r="Q136" i="5902"/>
  <c r="E136" i="5902"/>
  <c r="P136" i="5902"/>
  <c r="H135" i="5902"/>
  <c r="O136" i="5902"/>
  <c r="S135" i="5902"/>
  <c r="G135" i="5902"/>
  <c r="G137" i="5902" s="1"/>
  <c r="N136" i="5902"/>
  <c r="R135" i="5902"/>
  <c r="F135" i="5902"/>
  <c r="F137" i="5902" s="1"/>
  <c r="M136" i="5902"/>
  <c r="Q135" i="5902"/>
  <c r="Q137" i="5902" s="1"/>
  <c r="E135" i="5902"/>
  <c r="E137" i="5902" s="1"/>
  <c r="L136" i="5902"/>
  <c r="P135" i="5902"/>
  <c r="P137" i="5902" s="1"/>
  <c r="I135" i="5902"/>
  <c r="I137" i="5902" s="1"/>
  <c r="M128" i="5903"/>
  <c r="AR128" i="5902"/>
  <c r="AR126" i="5902"/>
  <c r="S127" i="5901"/>
  <c r="AJ130" i="5902"/>
  <c r="AJ132" i="5902" s="1"/>
  <c r="AC142" i="5900"/>
  <c r="AC144" i="5900" s="1"/>
  <c r="AC139" i="5900"/>
  <c r="AC140" i="5900" s="1"/>
  <c r="AC143" i="5900"/>
  <c r="K130" i="5902"/>
  <c r="K132" i="5902" s="1"/>
  <c r="V127" i="5900"/>
  <c r="U128" i="5900"/>
  <c r="U126" i="5900"/>
  <c r="U130" i="5900" s="1"/>
  <c r="U132" i="5900" s="1"/>
  <c r="AH128" i="5902"/>
  <c r="Z143" i="5900"/>
  <c r="Z139" i="5900"/>
  <c r="Z140" i="5900" s="1"/>
  <c r="Z142" i="5900"/>
  <c r="Z144" i="5900" s="1"/>
  <c r="AK115" i="5899"/>
  <c r="V115" i="5899"/>
  <c r="G115" i="5899"/>
  <c r="M126" i="5900"/>
  <c r="M130" i="5900" s="1"/>
  <c r="M132" i="5900" s="1"/>
  <c r="AE130" i="5900"/>
  <c r="AE132" i="5900" s="1"/>
  <c r="O128" i="5899"/>
  <c r="AI115" i="5898"/>
  <c r="F115" i="5898"/>
  <c r="I137" i="5899"/>
  <c r="L137" i="5899"/>
  <c r="I127" i="5897"/>
  <c r="M115" i="5898"/>
  <c r="F130" i="5913"/>
  <c r="F132" i="5913" s="1"/>
  <c r="AA118" i="5913"/>
  <c r="AA127" i="5913"/>
  <c r="E118" i="5913"/>
  <c r="C159" i="5913"/>
  <c r="C160" i="5913" s="1"/>
  <c r="E127" i="5913"/>
  <c r="AB118" i="5912"/>
  <c r="AB127" i="5912"/>
  <c r="M130" i="5914"/>
  <c r="M132" i="5914" s="1"/>
  <c r="I130" i="5911"/>
  <c r="I132" i="5911" s="1"/>
  <c r="Q130" i="5911"/>
  <c r="Q132" i="5911" s="1"/>
  <c r="T127" i="5911"/>
  <c r="T124" i="5911"/>
  <c r="AM127" i="5909"/>
  <c r="AP128" i="5910"/>
  <c r="AP126" i="5910"/>
  <c r="AP130" i="5910" s="1"/>
  <c r="AP132" i="5910" s="1"/>
  <c r="AF128" i="5911"/>
  <c r="AF130" i="5911" s="1"/>
  <c r="AF132" i="5911" s="1"/>
  <c r="AD118" i="5906"/>
  <c r="AD127" i="5906"/>
  <c r="AB115" i="5907"/>
  <c r="Y115" i="5907"/>
  <c r="X124" i="5908"/>
  <c r="C159" i="5908"/>
  <c r="C160" i="5908" s="1"/>
  <c r="E118" i="5908"/>
  <c r="W120" i="5908"/>
  <c r="W131" i="5908" s="1"/>
  <c r="W132" i="5908" s="1"/>
  <c r="V124" i="5908"/>
  <c r="AL130" i="5909"/>
  <c r="AL132" i="5909" s="1"/>
  <c r="E145" i="5906"/>
  <c r="T127" i="5906"/>
  <c r="T124" i="5906"/>
  <c r="L124" i="5909"/>
  <c r="L127" i="5909"/>
  <c r="L128" i="5907"/>
  <c r="L126" i="5907"/>
  <c r="L130" i="5907" s="1"/>
  <c r="AI139" i="5906"/>
  <c r="AI140" i="5906" s="1"/>
  <c r="AI142" i="5906" s="1"/>
  <c r="AI144" i="5906" s="1"/>
  <c r="R120" i="5904"/>
  <c r="R131" i="5904" s="1"/>
  <c r="AP127" i="5903"/>
  <c r="AP130" i="5903" s="1"/>
  <c r="AP132" i="5903" s="1"/>
  <c r="F145" i="5903"/>
  <c r="F120" i="5903"/>
  <c r="F131" i="5903" s="1"/>
  <c r="Z115" i="5903"/>
  <c r="AO126" i="5904"/>
  <c r="AO130" i="5904" s="1"/>
  <c r="AO132" i="5904" s="1"/>
  <c r="M128" i="5904"/>
  <c r="F145" i="5905"/>
  <c r="F128" i="5905"/>
  <c r="F130" i="5905" s="1"/>
  <c r="F132" i="5905" s="1"/>
  <c r="AD118" i="5905"/>
  <c r="AD127" i="5905"/>
  <c r="K128" i="5905"/>
  <c r="K126" i="5905"/>
  <c r="AK115" i="5903"/>
  <c r="J128" i="5905"/>
  <c r="AG128" i="5903"/>
  <c r="I137" i="5903"/>
  <c r="AO126" i="5902"/>
  <c r="S134" i="5902"/>
  <c r="G134" i="5902"/>
  <c r="D113" i="5902"/>
  <c r="D146" i="5902" s="1"/>
  <c r="C158" i="5902"/>
  <c r="R134" i="5902"/>
  <c r="F134" i="5902"/>
  <c r="Q134" i="5902"/>
  <c r="E134" i="5902"/>
  <c r="P134" i="5902"/>
  <c r="O134" i="5902"/>
  <c r="N134" i="5902"/>
  <c r="L134" i="5902"/>
  <c r="K134" i="5902"/>
  <c r="J134" i="5902"/>
  <c r="I134" i="5902"/>
  <c r="M134" i="5902"/>
  <c r="H134" i="5902"/>
  <c r="L126" i="5903"/>
  <c r="L130" i="5903" s="1"/>
  <c r="L132" i="5903" s="1"/>
  <c r="AG130" i="5905"/>
  <c r="AG132" i="5905" s="1"/>
  <c r="Y127" i="5900"/>
  <c r="G120" i="5901"/>
  <c r="G131" i="5901" s="1"/>
  <c r="AP126" i="5902"/>
  <c r="AP130" i="5902" s="1"/>
  <c r="AP132" i="5902" s="1"/>
  <c r="AH127" i="5901"/>
  <c r="M118" i="5901"/>
  <c r="M127" i="5901"/>
  <c r="AK128" i="5900"/>
  <c r="AK126" i="5900"/>
  <c r="L126" i="5902"/>
  <c r="L130" i="5902" s="1"/>
  <c r="L132" i="5902" s="1"/>
  <c r="D144" i="5899"/>
  <c r="V128" i="5900"/>
  <c r="V126" i="5900"/>
  <c r="V130" i="5900" s="1"/>
  <c r="V132" i="5900" s="1"/>
  <c r="AG118" i="5900"/>
  <c r="AG127" i="5900"/>
  <c r="AH127" i="5902"/>
  <c r="AH130" i="5902" s="1"/>
  <c r="AH132" i="5902" s="1"/>
  <c r="T126" i="5900"/>
  <c r="T130" i="5900" s="1"/>
  <c r="T132" i="5900" s="1"/>
  <c r="AQ128" i="5900"/>
  <c r="X115" i="5899"/>
  <c r="AA115" i="5901"/>
  <c r="I115" i="5899"/>
  <c r="Q124" i="5899"/>
  <c r="U115" i="5898"/>
  <c r="L115" i="5898"/>
  <c r="R115" i="5898"/>
  <c r="AI128" i="5897"/>
  <c r="AI126" i="5897"/>
  <c r="AH126" i="5899"/>
  <c r="J120" i="5897"/>
  <c r="J131" i="5897" s="1"/>
  <c r="J127" i="5917"/>
  <c r="J124" i="5917"/>
  <c r="J124" i="5915"/>
  <c r="J127" i="5915"/>
  <c r="H124" i="5917"/>
  <c r="H127" i="5917"/>
  <c r="AE130" i="5916"/>
  <c r="AE132" i="5916" s="1"/>
  <c r="AI127" i="5916"/>
  <c r="AI139" i="5915"/>
  <c r="AI140" i="5915" s="1"/>
  <c r="AI142" i="5915" s="1"/>
  <c r="AI144" i="5915" s="1"/>
  <c r="AI143" i="5915"/>
  <c r="G130" i="5915"/>
  <c r="J120" i="5916"/>
  <c r="J131" i="5916" s="1"/>
  <c r="Q127" i="5915"/>
  <c r="Q124" i="5915"/>
  <c r="O145" i="5915"/>
  <c r="O120" i="5915"/>
  <c r="O131" i="5915" s="1"/>
  <c r="Z130" i="5915"/>
  <c r="Z132" i="5915" s="1"/>
  <c r="T128" i="5914"/>
  <c r="Q124" i="5914"/>
  <c r="Q127" i="5914"/>
  <c r="O120" i="5912"/>
  <c r="O131" i="5912" s="1"/>
  <c r="AH126" i="5913"/>
  <c r="AH130" i="5913" s="1"/>
  <c r="AH132" i="5913" s="1"/>
  <c r="AP130" i="5911"/>
  <c r="AP132" i="5911" s="1"/>
  <c r="W128" i="5912"/>
  <c r="W130" i="5912" s="1"/>
  <c r="W132" i="5912" s="1"/>
  <c r="AR130" i="5911"/>
  <c r="AR132" i="5911" s="1"/>
  <c r="AA128" i="5909"/>
  <c r="I136" i="5909"/>
  <c r="M135" i="5909"/>
  <c r="M137" i="5909" s="1"/>
  <c r="D143" i="5909"/>
  <c r="M136" i="5909"/>
  <c r="Q135" i="5909"/>
  <c r="Q137" i="5909" s="1"/>
  <c r="E135" i="5909"/>
  <c r="L136" i="5909"/>
  <c r="P135" i="5909"/>
  <c r="P137" i="5909" s="1"/>
  <c r="K136" i="5909"/>
  <c r="O135" i="5909"/>
  <c r="O137" i="5909" s="1"/>
  <c r="J136" i="5909"/>
  <c r="I135" i="5909"/>
  <c r="F136" i="5909"/>
  <c r="F135" i="5909"/>
  <c r="Q136" i="5909"/>
  <c r="N135" i="5909"/>
  <c r="P136" i="5909"/>
  <c r="L135" i="5909"/>
  <c r="O136" i="5909"/>
  <c r="K135" i="5909"/>
  <c r="K137" i="5909" s="1"/>
  <c r="H135" i="5909"/>
  <c r="G135" i="5909"/>
  <c r="S136" i="5909"/>
  <c r="R136" i="5909"/>
  <c r="N136" i="5909"/>
  <c r="H136" i="5909"/>
  <c r="G136" i="5909"/>
  <c r="E136" i="5909"/>
  <c r="S135" i="5909"/>
  <c r="S137" i="5909" s="1"/>
  <c r="R135" i="5909"/>
  <c r="J135" i="5909"/>
  <c r="J137" i="5909" s="1"/>
  <c r="F128" i="5909"/>
  <c r="N136" i="5911"/>
  <c r="R135" i="5911"/>
  <c r="F135" i="5911"/>
  <c r="K136" i="5911"/>
  <c r="O135" i="5911"/>
  <c r="O137" i="5911" s="1"/>
  <c r="I136" i="5911"/>
  <c r="M135" i="5911"/>
  <c r="M137" i="5911" s="1"/>
  <c r="R136" i="5911"/>
  <c r="F136" i="5911"/>
  <c r="J135" i="5911"/>
  <c r="D143" i="5911"/>
  <c r="Q136" i="5911"/>
  <c r="E136" i="5911"/>
  <c r="I135" i="5911"/>
  <c r="P136" i="5911"/>
  <c r="H135" i="5911"/>
  <c r="H137" i="5911" s="1"/>
  <c r="J136" i="5911"/>
  <c r="Q135" i="5911"/>
  <c r="S136" i="5911"/>
  <c r="L135" i="5911"/>
  <c r="O136" i="5911"/>
  <c r="K135" i="5911"/>
  <c r="M136" i="5911"/>
  <c r="G135" i="5911"/>
  <c r="G137" i="5911" s="1"/>
  <c r="G136" i="5911"/>
  <c r="S135" i="5911"/>
  <c r="P135" i="5911"/>
  <c r="P137" i="5911" s="1"/>
  <c r="E135" i="5911"/>
  <c r="E137" i="5911" s="1"/>
  <c r="L136" i="5911"/>
  <c r="H136" i="5911"/>
  <c r="N135" i="5911"/>
  <c r="N137" i="5911" s="1"/>
  <c r="T120" i="5909"/>
  <c r="T131" i="5909" s="1"/>
  <c r="S120" i="5909"/>
  <c r="S131" i="5909" s="1"/>
  <c r="AC118" i="5911"/>
  <c r="AC127" i="5911"/>
  <c r="R130" i="5909"/>
  <c r="R132" i="5909" s="1"/>
  <c r="AI118" i="5911"/>
  <c r="AI127" i="5911"/>
  <c r="Q136" i="5910"/>
  <c r="E136" i="5910"/>
  <c r="I135" i="5910"/>
  <c r="I137" i="5910" s="1"/>
  <c r="N136" i="5910"/>
  <c r="R135" i="5910"/>
  <c r="R137" i="5910" s="1"/>
  <c r="F135" i="5910"/>
  <c r="L136" i="5910"/>
  <c r="P135" i="5910"/>
  <c r="I136" i="5910"/>
  <c r="M135" i="5910"/>
  <c r="M137" i="5910" s="1"/>
  <c r="H136" i="5910"/>
  <c r="L135" i="5910"/>
  <c r="S136" i="5910"/>
  <c r="G136" i="5910"/>
  <c r="K135" i="5910"/>
  <c r="K137" i="5910" s="1"/>
  <c r="M136" i="5910"/>
  <c r="E135" i="5910"/>
  <c r="F136" i="5910"/>
  <c r="S135" i="5910"/>
  <c r="S137" i="5910" s="1"/>
  <c r="N135" i="5910"/>
  <c r="R136" i="5910"/>
  <c r="J135" i="5910"/>
  <c r="J137" i="5910" s="1"/>
  <c r="P136" i="5910"/>
  <c r="H135" i="5910"/>
  <c r="H137" i="5910" s="1"/>
  <c r="Q135" i="5910"/>
  <c r="Q137" i="5910" s="1"/>
  <c r="O135" i="5910"/>
  <c r="O137" i="5910" s="1"/>
  <c r="G135" i="5910"/>
  <c r="G137" i="5910" s="1"/>
  <c r="D143" i="5910"/>
  <c r="O136" i="5910"/>
  <c r="K136" i="5910"/>
  <c r="J136" i="5910"/>
  <c r="D144" i="5910"/>
  <c r="AA128" i="5908"/>
  <c r="H115" i="5907"/>
  <c r="AK115" i="5907"/>
  <c r="AF115" i="5908"/>
  <c r="Q115" i="5908"/>
  <c r="Q136" i="5907"/>
  <c r="E136" i="5907"/>
  <c r="I135" i="5907"/>
  <c r="I137" i="5907" s="1"/>
  <c r="N136" i="5907"/>
  <c r="R135" i="5907"/>
  <c r="F135" i="5907"/>
  <c r="L136" i="5907"/>
  <c r="P135" i="5907"/>
  <c r="P137" i="5907" s="1"/>
  <c r="I136" i="5907"/>
  <c r="M135" i="5907"/>
  <c r="H136" i="5907"/>
  <c r="L135" i="5907"/>
  <c r="L137" i="5907" s="1"/>
  <c r="S136" i="5907"/>
  <c r="G136" i="5907"/>
  <c r="K135" i="5907"/>
  <c r="S135" i="5907"/>
  <c r="Q135" i="5907"/>
  <c r="O135" i="5907"/>
  <c r="N135" i="5907"/>
  <c r="R136" i="5907"/>
  <c r="J135" i="5907"/>
  <c r="J137" i="5907" s="1"/>
  <c r="P136" i="5907"/>
  <c r="H135" i="5907"/>
  <c r="H137" i="5907" s="1"/>
  <c r="D143" i="5907"/>
  <c r="O136" i="5907"/>
  <c r="G135" i="5907"/>
  <c r="G137" i="5907" s="1"/>
  <c r="M136" i="5907"/>
  <c r="E135" i="5907"/>
  <c r="K136" i="5907"/>
  <c r="J136" i="5907"/>
  <c r="F136" i="5907"/>
  <c r="Y115" i="5908"/>
  <c r="T128" i="5909"/>
  <c r="N126" i="5909"/>
  <c r="N130" i="5909" s="1"/>
  <c r="AO127" i="5909"/>
  <c r="AO118" i="5909"/>
  <c r="AF115" i="5907"/>
  <c r="I136" i="5906"/>
  <c r="M135" i="5906"/>
  <c r="D143" i="5906"/>
  <c r="M136" i="5906"/>
  <c r="Q135" i="5906"/>
  <c r="E135" i="5906"/>
  <c r="E137" i="5906" s="1"/>
  <c r="L136" i="5906"/>
  <c r="P135" i="5906"/>
  <c r="K136" i="5906"/>
  <c r="O135" i="5906"/>
  <c r="S136" i="5906"/>
  <c r="S135" i="5906"/>
  <c r="S137" i="5906" s="1"/>
  <c r="G136" i="5906"/>
  <c r="G135" i="5906"/>
  <c r="F136" i="5906"/>
  <c r="F135" i="5906"/>
  <c r="F137" i="5906" s="1"/>
  <c r="E136" i="5906"/>
  <c r="L135" i="5906"/>
  <c r="K135" i="5906"/>
  <c r="K137" i="5906" s="1"/>
  <c r="R136" i="5906"/>
  <c r="J135" i="5906"/>
  <c r="Q136" i="5906"/>
  <c r="I135" i="5906"/>
  <c r="I137" i="5906" s="1"/>
  <c r="P136" i="5906"/>
  <c r="H135" i="5906"/>
  <c r="H137" i="5906" s="1"/>
  <c r="O136" i="5906"/>
  <c r="N136" i="5906"/>
  <c r="J136" i="5906"/>
  <c r="H136" i="5906"/>
  <c r="R135" i="5906"/>
  <c r="R137" i="5906" s="1"/>
  <c r="N135" i="5906"/>
  <c r="N137" i="5906" s="1"/>
  <c r="V126" i="5906"/>
  <c r="L120" i="5909"/>
  <c r="L131" i="5909" s="1"/>
  <c r="AE118" i="5906"/>
  <c r="AE127" i="5906"/>
  <c r="AJ118" i="5904"/>
  <c r="AJ127" i="5904"/>
  <c r="N127" i="5905"/>
  <c r="L130" i="5906"/>
  <c r="L132" i="5906" s="1"/>
  <c r="G124" i="5905"/>
  <c r="G127" i="5905"/>
  <c r="AR127" i="5905"/>
  <c r="AH118" i="5905"/>
  <c r="AH127" i="5905"/>
  <c r="F120" i="5904"/>
  <c r="F131" i="5904" s="1"/>
  <c r="AO115" i="5903"/>
  <c r="Y115" i="5903"/>
  <c r="E115" i="5903"/>
  <c r="AN115" i="5903"/>
  <c r="X115" i="5903"/>
  <c r="AI115" i="5903"/>
  <c r="O115" i="5903"/>
  <c r="AD127" i="5903"/>
  <c r="R115" i="5903"/>
  <c r="L127" i="5903"/>
  <c r="G115" i="5903"/>
  <c r="AC126" i="5904"/>
  <c r="AC130" i="5904" s="1"/>
  <c r="AC132" i="5904" s="1"/>
  <c r="N126" i="5905"/>
  <c r="N130" i="5905" s="1"/>
  <c r="N132" i="5905" s="1"/>
  <c r="M127" i="5904"/>
  <c r="K145" i="5905"/>
  <c r="K120" i="5905"/>
  <c r="K131" i="5905" s="1"/>
  <c r="AF126" i="5904"/>
  <c r="AF130" i="5904" s="1"/>
  <c r="AF132" i="5904" s="1"/>
  <c r="AL115" i="5903"/>
  <c r="K127" i="5905"/>
  <c r="Z127" i="5904"/>
  <c r="Z130" i="5904" s="1"/>
  <c r="Z132" i="5904" s="1"/>
  <c r="Q115" i="5903"/>
  <c r="Q118" i="5903" s="1"/>
  <c r="AD126" i="5904"/>
  <c r="AD130" i="5904" s="1"/>
  <c r="AD132" i="5904" s="1"/>
  <c r="P115" i="5903"/>
  <c r="AG127" i="5903"/>
  <c r="AG130" i="5903" s="1"/>
  <c r="AG132" i="5903" s="1"/>
  <c r="M137" i="5903"/>
  <c r="I130" i="5902"/>
  <c r="I132" i="5902" s="1"/>
  <c r="AL128" i="5902"/>
  <c r="AL130" i="5902" s="1"/>
  <c r="AL132" i="5902" s="1"/>
  <c r="AF128" i="5902"/>
  <c r="AF126" i="5902"/>
  <c r="AF130" i="5902" s="1"/>
  <c r="AF132" i="5902" s="1"/>
  <c r="O126" i="5905"/>
  <c r="G127" i="5901"/>
  <c r="G124" i="5901"/>
  <c r="AD126" i="5902"/>
  <c r="AD130" i="5902" s="1"/>
  <c r="AD132" i="5902" s="1"/>
  <c r="V128" i="5901"/>
  <c r="V126" i="5901"/>
  <c r="M128" i="5902"/>
  <c r="M126" i="5902"/>
  <c r="M130" i="5902" s="1"/>
  <c r="M132" i="5902" s="1"/>
  <c r="AR127" i="5901"/>
  <c r="U128" i="5903"/>
  <c r="AA126" i="5903"/>
  <c r="AA130" i="5903" s="1"/>
  <c r="AA132" i="5903" s="1"/>
  <c r="K120" i="5901"/>
  <c r="K131" i="5901" s="1"/>
  <c r="AE126" i="5902"/>
  <c r="AE130" i="5902" s="1"/>
  <c r="AE132" i="5902" s="1"/>
  <c r="AD128" i="5901"/>
  <c r="J145" i="5902"/>
  <c r="J120" i="5902"/>
  <c r="J131" i="5902" s="1"/>
  <c r="F127" i="5902"/>
  <c r="F124" i="5902"/>
  <c r="V128" i="5902"/>
  <c r="S128" i="5900"/>
  <c r="AQ127" i="5900"/>
  <c r="K115" i="5899"/>
  <c r="K118" i="5899" s="1"/>
  <c r="J124" i="5898"/>
  <c r="J127" i="5898"/>
  <c r="O137" i="5900"/>
  <c r="Y126" i="5900"/>
  <c r="Y130" i="5900" s="1"/>
  <c r="Y132" i="5900" s="1"/>
  <c r="O120" i="5899"/>
  <c r="O131" i="5899" s="1"/>
  <c r="X115" i="5898"/>
  <c r="AP115" i="5898"/>
  <c r="S137" i="5899"/>
  <c r="J137" i="5899"/>
  <c r="N137" i="5899"/>
  <c r="P128" i="5900"/>
  <c r="AI127" i="5897"/>
  <c r="AA115" i="5898"/>
  <c r="AH128" i="5897"/>
  <c r="AL126" i="5900"/>
  <c r="AL130" i="5900" s="1"/>
  <c r="AL132" i="5900" s="1"/>
  <c r="I126" i="5917"/>
  <c r="I130" i="5917" s="1"/>
  <c r="I128" i="5917"/>
  <c r="P145" i="5916"/>
  <c r="P128" i="5916"/>
  <c r="P130" i="5916" s="1"/>
  <c r="P132" i="5916" s="1"/>
  <c r="T124" i="5916"/>
  <c r="T127" i="5916"/>
  <c r="D144" i="5917"/>
  <c r="G145" i="5914"/>
  <c r="G120" i="5914"/>
  <c r="G131" i="5914" s="1"/>
  <c r="R118" i="5917"/>
  <c r="R127" i="5917"/>
  <c r="AG118" i="5917"/>
  <c r="AG127" i="5917"/>
  <c r="O128" i="5915"/>
  <c r="W127" i="5914"/>
  <c r="W124" i="5914"/>
  <c r="F127" i="5914"/>
  <c r="L118" i="5915"/>
  <c r="L127" i="5915"/>
  <c r="AA128" i="5915"/>
  <c r="Q127" i="5913"/>
  <c r="Q124" i="5913"/>
  <c r="T127" i="5914"/>
  <c r="X124" i="5913"/>
  <c r="X127" i="5913"/>
  <c r="P126" i="5914"/>
  <c r="P130" i="5914" s="1"/>
  <c r="P132" i="5914" s="1"/>
  <c r="AR128" i="5912"/>
  <c r="AR130" i="5912" s="1"/>
  <c r="AR132" i="5912" s="1"/>
  <c r="AQ128" i="5912"/>
  <c r="AQ130" i="5912" s="1"/>
  <c r="AQ132" i="5912" s="1"/>
  <c r="M118" i="5912"/>
  <c r="M127" i="5912"/>
  <c r="H145" i="5912"/>
  <c r="H120" i="5912"/>
  <c r="H131" i="5912" s="1"/>
  <c r="O128" i="5911"/>
  <c r="AO127" i="5911"/>
  <c r="AO130" i="5911" s="1"/>
  <c r="AO132" i="5911" s="1"/>
  <c r="AA127" i="5911"/>
  <c r="AA130" i="5911" s="1"/>
  <c r="AA132" i="5911" s="1"/>
  <c r="H120" i="5911"/>
  <c r="H131" i="5911" s="1"/>
  <c r="AA127" i="5909"/>
  <c r="AA130" i="5909" s="1"/>
  <c r="AA132" i="5909" s="1"/>
  <c r="AQ118" i="5911"/>
  <c r="AQ127" i="5911"/>
  <c r="V124" i="5910"/>
  <c r="V127" i="5910"/>
  <c r="K130" i="5909"/>
  <c r="K132" i="5909" s="1"/>
  <c r="F145" i="5906"/>
  <c r="F120" i="5906"/>
  <c r="F131" i="5906" s="1"/>
  <c r="I115" i="5907"/>
  <c r="L126" i="5908"/>
  <c r="L130" i="5908" s="1"/>
  <c r="L132" i="5908" s="1"/>
  <c r="AR115" i="5908"/>
  <c r="AC115" i="5908"/>
  <c r="U118" i="5909"/>
  <c r="U127" i="5909"/>
  <c r="O145" i="5909"/>
  <c r="O120" i="5909"/>
  <c r="O131" i="5909" s="1"/>
  <c r="M127" i="5908"/>
  <c r="P115" i="5907"/>
  <c r="P118" i="5907" s="1"/>
  <c r="R127" i="5906"/>
  <c r="AN127" i="5909"/>
  <c r="X127" i="5904"/>
  <c r="X124" i="5904"/>
  <c r="E120" i="5906"/>
  <c r="E131" i="5906" s="1"/>
  <c r="P128" i="5905"/>
  <c r="AA128" i="5905"/>
  <c r="AF127" i="5903"/>
  <c r="AF130" i="5903" s="1"/>
  <c r="AF132" i="5903" s="1"/>
  <c r="H120" i="5903"/>
  <c r="H131" i="5903" s="1"/>
  <c r="H145" i="5903"/>
  <c r="AN126" i="5904"/>
  <c r="Q126" i="5904"/>
  <c r="Q130" i="5904" s="1"/>
  <c r="Q132" i="5904" s="1"/>
  <c r="N128" i="5905"/>
  <c r="M130" i="5903"/>
  <c r="AP118" i="5905"/>
  <c r="AP127" i="5905"/>
  <c r="N126" i="5903"/>
  <c r="N130" i="5903" s="1"/>
  <c r="N132" i="5903" s="1"/>
  <c r="H130" i="5904"/>
  <c r="H132" i="5904" s="1"/>
  <c r="J127" i="5904"/>
  <c r="S145" i="5903"/>
  <c r="S120" i="5903"/>
  <c r="S131" i="5903" s="1"/>
  <c r="AR126" i="5905"/>
  <c r="AR130" i="5905" s="1"/>
  <c r="AR132" i="5905" s="1"/>
  <c r="I127" i="5904"/>
  <c r="W124" i="5903"/>
  <c r="W127" i="5903"/>
  <c r="F126" i="5904"/>
  <c r="F130" i="5904" s="1"/>
  <c r="F132" i="5904" s="1"/>
  <c r="AH128" i="5903"/>
  <c r="AH130" i="5903" s="1"/>
  <c r="AH132" i="5903" s="1"/>
  <c r="AB130" i="5904"/>
  <c r="AB132" i="5904" s="1"/>
  <c r="AE130" i="5904"/>
  <c r="AE132" i="5904" s="1"/>
  <c r="AD126" i="5903"/>
  <c r="AD130" i="5903" s="1"/>
  <c r="AD132" i="5903" s="1"/>
  <c r="AN127" i="5901"/>
  <c r="AN130" i="5901" s="1"/>
  <c r="AN132" i="5901" s="1"/>
  <c r="K127" i="5903"/>
  <c r="M127" i="5902"/>
  <c r="U127" i="5903"/>
  <c r="U130" i="5903" s="1"/>
  <c r="U132" i="5903" s="1"/>
  <c r="P120" i="5900"/>
  <c r="P131" i="5900" s="1"/>
  <c r="U127" i="5901"/>
  <c r="AR115" i="5899"/>
  <c r="AE115" i="5899"/>
  <c r="R115" i="5899"/>
  <c r="E115" i="5899"/>
  <c r="W115" i="5899"/>
  <c r="AD127" i="5901"/>
  <c r="AH127" i="5899"/>
  <c r="AQ127" i="5899"/>
  <c r="AR126" i="5898"/>
  <c r="AR128" i="5898"/>
  <c r="AP139" i="5900"/>
  <c r="AP140" i="5900" s="1"/>
  <c r="AP142" i="5900" s="1"/>
  <c r="AP144" i="5900" s="1"/>
  <c r="AJ115" i="5898"/>
  <c r="G115" i="5898"/>
  <c r="G118" i="5898" s="1"/>
  <c r="K124" i="5899"/>
  <c r="K127" i="5899"/>
  <c r="N132" i="5900"/>
  <c r="G124" i="5898"/>
  <c r="R128" i="5900"/>
  <c r="AH127" i="5897"/>
  <c r="U127" i="5897"/>
  <c r="AH126" i="5897"/>
  <c r="AG130" i="5915"/>
  <c r="AG132" i="5915" s="1"/>
  <c r="AQ130" i="5915"/>
  <c r="AQ132" i="5915" s="1"/>
  <c r="AG130" i="5914"/>
  <c r="AG132" i="5914" s="1"/>
  <c r="W127" i="5913"/>
  <c r="W124" i="5913"/>
  <c r="E118" i="5914"/>
  <c r="C159" i="5914"/>
  <c r="C160" i="5914" s="1"/>
  <c r="E127" i="5914"/>
  <c r="C159" i="5912"/>
  <c r="C160" i="5912" s="1"/>
  <c r="E118" i="5912"/>
  <c r="AQ143" i="5914"/>
  <c r="AQ139" i="5914"/>
  <c r="AQ140" i="5914" s="1"/>
  <c r="AQ142" i="5914"/>
  <c r="AQ144" i="5914" s="1"/>
  <c r="AE128" i="5914"/>
  <c r="AQ130" i="5913"/>
  <c r="AQ132" i="5913" s="1"/>
  <c r="R130" i="5913"/>
  <c r="R132" i="5913" s="1"/>
  <c r="H118" i="5913"/>
  <c r="H127" i="5913"/>
  <c r="AI139" i="5913"/>
  <c r="AI140" i="5913" s="1"/>
  <c r="AI142" i="5913" s="1"/>
  <c r="AI144" i="5913" s="1"/>
  <c r="AI143" i="5913"/>
  <c r="AJ142" i="5913"/>
  <c r="AJ144" i="5913" s="1"/>
  <c r="AJ139" i="5913"/>
  <c r="AJ140" i="5913" s="1"/>
  <c r="AJ143" i="5913" s="1"/>
  <c r="Q128" i="5912"/>
  <c r="Q126" i="5912"/>
  <c r="V127" i="5912"/>
  <c r="V124" i="5912"/>
  <c r="AK128" i="5911"/>
  <c r="H127" i="5911"/>
  <c r="H124" i="5911"/>
  <c r="D144" i="5911"/>
  <c r="AE118" i="5911"/>
  <c r="AE127" i="5911"/>
  <c r="O130" i="5909"/>
  <c r="O132" i="5909" s="1"/>
  <c r="U115" i="5907"/>
  <c r="U118" i="5907" s="1"/>
  <c r="U120" i="5907" s="1"/>
  <c r="U131" i="5907" s="1"/>
  <c r="AN115" i="5908"/>
  <c r="P115" i="5908"/>
  <c r="I115" i="5908"/>
  <c r="AO115" i="5908"/>
  <c r="AC118" i="5909"/>
  <c r="AC127" i="5909"/>
  <c r="R115" i="5908"/>
  <c r="R118" i="5908" s="1"/>
  <c r="M128" i="5908"/>
  <c r="I128" i="5906"/>
  <c r="AG142" i="5906"/>
  <c r="AG144" i="5906" s="1"/>
  <c r="AG139" i="5906"/>
  <c r="AG140" i="5906" s="1"/>
  <c r="AG143" i="5906" s="1"/>
  <c r="AN128" i="5909"/>
  <c r="AN126" i="5909"/>
  <c r="H120" i="5906"/>
  <c r="H131" i="5906" s="1"/>
  <c r="G120" i="5906"/>
  <c r="G131" i="5906" s="1"/>
  <c r="R126" i="5906"/>
  <c r="R130" i="5906" s="1"/>
  <c r="R132" i="5906" s="1"/>
  <c r="O145" i="5905"/>
  <c r="O120" i="5905"/>
  <c r="O131" i="5905" s="1"/>
  <c r="P127" i="5905"/>
  <c r="P130" i="5905" s="1"/>
  <c r="P132" i="5905" s="1"/>
  <c r="X127" i="5905"/>
  <c r="X124" i="5905"/>
  <c r="I145" i="5904"/>
  <c r="I120" i="5904"/>
  <c r="I131" i="5904" s="1"/>
  <c r="K130" i="5906"/>
  <c r="K132" i="5906" s="1"/>
  <c r="L120" i="5904"/>
  <c r="L131" i="5904" s="1"/>
  <c r="T127" i="5903"/>
  <c r="T124" i="5903"/>
  <c r="Z128" i="5904"/>
  <c r="AL130" i="5904"/>
  <c r="AL132" i="5904" s="1"/>
  <c r="I127" i="5903"/>
  <c r="I124" i="5903"/>
  <c r="AI118" i="5904"/>
  <c r="AI127" i="5904"/>
  <c r="AQ126" i="5902"/>
  <c r="U128" i="5904"/>
  <c r="N137" i="5903"/>
  <c r="AM130" i="5901"/>
  <c r="AM132" i="5901" s="1"/>
  <c r="W142" i="5904"/>
  <c r="W144" i="5904" s="1"/>
  <c r="W143" i="5904"/>
  <c r="W139" i="5904"/>
  <c r="W140" i="5904" s="1"/>
  <c r="T128" i="5902"/>
  <c r="T126" i="5902"/>
  <c r="T130" i="5902" s="1"/>
  <c r="T132" i="5902" s="1"/>
  <c r="AM139" i="5904"/>
  <c r="AM140" i="5904" s="1"/>
  <c r="AM143" i="5904" s="1"/>
  <c r="K128" i="5903"/>
  <c r="K126" i="5903"/>
  <c r="K130" i="5903" s="1"/>
  <c r="K132" i="5903" s="1"/>
  <c r="F127" i="5901"/>
  <c r="AO127" i="5902"/>
  <c r="Q118" i="5901"/>
  <c r="Q127" i="5901"/>
  <c r="K128" i="5901"/>
  <c r="C159" i="5902"/>
  <c r="C160" i="5902" s="1"/>
  <c r="E118" i="5902"/>
  <c r="T127" i="5900"/>
  <c r="AD115" i="5899"/>
  <c r="AP115" i="5899"/>
  <c r="AH126" i="5901"/>
  <c r="AH130" i="5901" s="1"/>
  <c r="AH132" i="5901" s="1"/>
  <c r="AJ128" i="5899"/>
  <c r="V130" i="5902"/>
  <c r="V132" i="5902" s="1"/>
  <c r="Q127" i="5900"/>
  <c r="Q124" i="5900"/>
  <c r="AF127" i="5900"/>
  <c r="J115" i="5899"/>
  <c r="K137" i="5900"/>
  <c r="I120" i="5897"/>
  <c r="I131" i="5897" s="1"/>
  <c r="O115" i="5898"/>
  <c r="AM115" i="5898"/>
  <c r="AB115" i="5898"/>
  <c r="S115" i="5898"/>
  <c r="AM127" i="5899"/>
  <c r="AM130" i="5899" s="1"/>
  <c r="AM132" i="5899" s="1"/>
  <c r="D143" i="5899"/>
  <c r="K137" i="5899"/>
  <c r="AC127" i="5898"/>
  <c r="V128" i="5897"/>
  <c r="P136" i="5898"/>
  <c r="H135" i="5898"/>
  <c r="O136" i="5898"/>
  <c r="S135" i="5898"/>
  <c r="S137" i="5898" s="1"/>
  <c r="G135" i="5898"/>
  <c r="G137" i="5898" s="1"/>
  <c r="N136" i="5898"/>
  <c r="R135" i="5898"/>
  <c r="R137" i="5898" s="1"/>
  <c r="F135" i="5898"/>
  <c r="D143" i="5898"/>
  <c r="M136" i="5898"/>
  <c r="Q135" i="5898"/>
  <c r="E135" i="5898"/>
  <c r="L136" i="5898"/>
  <c r="P135" i="5898"/>
  <c r="K136" i="5898"/>
  <c r="O135" i="5898"/>
  <c r="O137" i="5898" s="1"/>
  <c r="I136" i="5898"/>
  <c r="M135" i="5898"/>
  <c r="M137" i="5898" s="1"/>
  <c r="H136" i="5898"/>
  <c r="L135" i="5898"/>
  <c r="S136" i="5898"/>
  <c r="G136" i="5898"/>
  <c r="K135" i="5898"/>
  <c r="E136" i="5898"/>
  <c r="N135" i="5898"/>
  <c r="J135" i="5898"/>
  <c r="I135" i="5898"/>
  <c r="R136" i="5898"/>
  <c r="F136" i="5898"/>
  <c r="Q136" i="5898"/>
  <c r="J136" i="5898"/>
  <c r="AG126" i="5897"/>
  <c r="K136" i="5908"/>
  <c r="O135" i="5908"/>
  <c r="O137" i="5908" s="1"/>
  <c r="O136" i="5908"/>
  <c r="S135" i="5908"/>
  <c r="G135" i="5908"/>
  <c r="D143" i="5908"/>
  <c r="M136" i="5908"/>
  <c r="Q135" i="5908"/>
  <c r="E135" i="5908"/>
  <c r="E137" i="5908" s="1"/>
  <c r="I136" i="5908"/>
  <c r="J135" i="5908"/>
  <c r="J137" i="5908" s="1"/>
  <c r="G136" i="5908"/>
  <c r="H135" i="5908"/>
  <c r="H137" i="5908" s="1"/>
  <c r="F136" i="5908"/>
  <c r="F135" i="5908"/>
  <c r="S136" i="5908"/>
  <c r="P136" i="5908"/>
  <c r="N135" i="5908"/>
  <c r="N136" i="5908"/>
  <c r="M135" i="5908"/>
  <c r="M137" i="5908" s="1"/>
  <c r="L136" i="5908"/>
  <c r="L135" i="5908"/>
  <c r="L137" i="5908" s="1"/>
  <c r="E136" i="5908"/>
  <c r="R135" i="5908"/>
  <c r="R137" i="5908" s="1"/>
  <c r="P135" i="5908"/>
  <c r="K135" i="5908"/>
  <c r="K137" i="5908" s="1"/>
  <c r="I135" i="5908"/>
  <c r="R136" i="5908"/>
  <c r="Q136" i="5908"/>
  <c r="J136" i="5908"/>
  <c r="H136" i="5908"/>
  <c r="Q127" i="5906"/>
  <c r="Q124" i="5906"/>
  <c r="F130" i="5906"/>
  <c r="F132" i="5906" s="1"/>
  <c r="AH130" i="5906"/>
  <c r="AH132" i="5906" s="1"/>
  <c r="M127" i="5906"/>
  <c r="M124" i="5906"/>
  <c r="E128" i="5906"/>
  <c r="E130" i="5906" s="1"/>
  <c r="E132" i="5906" s="1"/>
  <c r="N134" i="5905"/>
  <c r="C158" i="5905"/>
  <c r="R134" i="5905"/>
  <c r="E134" i="5905"/>
  <c r="Q134" i="5905"/>
  <c r="W134" i="5905"/>
  <c r="J134" i="5905"/>
  <c r="V134" i="5905"/>
  <c r="I134" i="5905"/>
  <c r="U134" i="5905"/>
  <c r="H134" i="5905"/>
  <c r="D113" i="5905"/>
  <c r="D146" i="5905" s="1"/>
  <c r="T134" i="5905"/>
  <c r="G134" i="5905"/>
  <c r="S134" i="5905"/>
  <c r="P134" i="5905"/>
  <c r="O134" i="5905"/>
  <c r="M134" i="5905"/>
  <c r="L134" i="5905"/>
  <c r="K134" i="5905"/>
  <c r="F134" i="5905"/>
  <c r="X134" i="5905"/>
  <c r="C159" i="5904"/>
  <c r="C160" i="5904" s="1"/>
  <c r="E118" i="5904"/>
  <c r="AL126" i="5906"/>
  <c r="AL130" i="5906" s="1"/>
  <c r="AL132" i="5906" s="1"/>
  <c r="AG130" i="5904"/>
  <c r="AG132" i="5904" s="1"/>
  <c r="L127" i="5904"/>
  <c r="AQ126" i="5906"/>
  <c r="AQ130" i="5906" s="1"/>
  <c r="AQ132" i="5906" s="1"/>
  <c r="Y126" i="5904"/>
  <c r="V127" i="5903"/>
  <c r="V124" i="5903"/>
  <c r="M120" i="5903"/>
  <c r="M131" i="5903" s="1"/>
  <c r="D144" i="5904"/>
  <c r="F126" i="5903"/>
  <c r="F130" i="5903" s="1"/>
  <c r="F132" i="5903" s="1"/>
  <c r="T127" i="5902"/>
  <c r="S126" i="5903"/>
  <c r="S130" i="5903" s="1"/>
  <c r="S132" i="5903" s="1"/>
  <c r="F128" i="5901"/>
  <c r="P124" i="5901"/>
  <c r="K127" i="5901"/>
  <c r="K130" i="5901" s="1"/>
  <c r="K132" i="5901" s="1"/>
  <c r="AN118" i="5902"/>
  <c r="AN127" i="5902"/>
  <c r="Q115" i="5899"/>
  <c r="Q118" i="5899" s="1"/>
  <c r="AC115" i="5899"/>
  <c r="AO115" i="5899"/>
  <c r="J130" i="5902"/>
  <c r="AR126" i="5901"/>
  <c r="AR130" i="5901" s="1"/>
  <c r="AR132" i="5901" s="1"/>
  <c r="S126" i="5901"/>
  <c r="AF126" i="5900"/>
  <c r="R126" i="5900"/>
  <c r="R130" i="5900" s="1"/>
  <c r="R132" i="5900" s="1"/>
  <c r="P115" i="5898"/>
  <c r="AE115" i="5898"/>
  <c r="AM128" i="5899"/>
  <c r="H127" i="5900"/>
  <c r="H130" i="5900" s="1"/>
  <c r="H132" i="5900" s="1"/>
  <c r="V127" i="5897"/>
  <c r="V126" i="5897"/>
  <c r="V130" i="5897" s="1"/>
  <c r="V132" i="5897" s="1"/>
  <c r="I126" i="5897"/>
  <c r="AM115" i="5907"/>
  <c r="S115" i="5907"/>
  <c r="AL115" i="5907"/>
  <c r="AD115" i="5907"/>
  <c r="R115" i="5907"/>
  <c r="N115" i="5907"/>
  <c r="AG115" i="5907"/>
  <c r="AQ130" i="5909"/>
  <c r="AQ132" i="5909" s="1"/>
  <c r="T124" i="5910"/>
  <c r="I118" i="5909"/>
  <c r="I127" i="5909"/>
  <c r="C159" i="5909"/>
  <c r="C160" i="5909" s="1"/>
  <c r="E118" i="5909"/>
  <c r="E127" i="5909"/>
  <c r="O115" i="5907"/>
  <c r="Y139" i="5906"/>
  <c r="Y140" i="5906" s="1"/>
  <c r="Y143" i="5906" s="1"/>
  <c r="G145" i="5917"/>
  <c r="G120" i="5917"/>
  <c r="G131" i="5917" s="1"/>
  <c r="G126" i="5917"/>
  <c r="G130" i="5917" s="1"/>
  <c r="G132" i="5917" s="1"/>
  <c r="Y128" i="5917"/>
  <c r="Y126" i="5917"/>
  <c r="Z128" i="5917"/>
  <c r="Z130" i="5917" s="1"/>
  <c r="Z132" i="5917" s="1"/>
  <c r="H128" i="5916"/>
  <c r="Q128" i="5916"/>
  <c r="P128" i="5917"/>
  <c r="P130" i="5917" s="1"/>
  <c r="P132" i="5917" s="1"/>
  <c r="X127" i="5917"/>
  <c r="X124" i="5915"/>
  <c r="X127" i="5915"/>
  <c r="AI118" i="5917"/>
  <c r="AI127" i="5917"/>
  <c r="AO118" i="5917"/>
  <c r="AO127" i="5917"/>
  <c r="AP118" i="5917"/>
  <c r="AP127" i="5917"/>
  <c r="D144" i="5916"/>
  <c r="W127" i="5916"/>
  <c r="W124" i="5916"/>
  <c r="AP127" i="5915"/>
  <c r="AP130" i="5915" s="1"/>
  <c r="AP132" i="5915" s="1"/>
  <c r="AG128" i="5915"/>
  <c r="AB118" i="5915"/>
  <c r="AB127" i="5915"/>
  <c r="I130" i="5914"/>
  <c r="I132" i="5914" s="1"/>
  <c r="AR126" i="5914"/>
  <c r="AR130" i="5914" s="1"/>
  <c r="AR132" i="5914" s="1"/>
  <c r="I126" i="5915"/>
  <c r="I130" i="5915" s="1"/>
  <c r="I132" i="5915" s="1"/>
  <c r="AO118" i="5914"/>
  <c r="AO127" i="5914"/>
  <c r="N127" i="5913"/>
  <c r="N124" i="5913"/>
  <c r="O120" i="5913"/>
  <c r="O131" i="5913" s="1"/>
  <c r="AN128" i="5913"/>
  <c r="AN126" i="5913"/>
  <c r="AK126" i="5913"/>
  <c r="AK130" i="5913" s="1"/>
  <c r="AK132" i="5913" s="1"/>
  <c r="E127" i="5912"/>
  <c r="N120" i="5912"/>
  <c r="N131" i="5912" s="1"/>
  <c r="N145" i="5912"/>
  <c r="AE127" i="5912"/>
  <c r="AC127" i="5912"/>
  <c r="L120" i="5912"/>
  <c r="L131" i="5912" s="1"/>
  <c r="H127" i="5912"/>
  <c r="H130" i="5912" s="1"/>
  <c r="H132" i="5912" s="1"/>
  <c r="U127" i="5910"/>
  <c r="U124" i="5910"/>
  <c r="Y128" i="5911"/>
  <c r="Y130" i="5911" s="1"/>
  <c r="Y132" i="5911" s="1"/>
  <c r="AJ128" i="5911"/>
  <c r="AJ130" i="5911" s="1"/>
  <c r="AJ132" i="5911" s="1"/>
  <c r="AA127" i="5908"/>
  <c r="AA130" i="5908" s="1"/>
  <c r="AA132" i="5908" s="1"/>
  <c r="F126" i="5909"/>
  <c r="F130" i="5909" s="1"/>
  <c r="F132" i="5909" s="1"/>
  <c r="R127" i="5911"/>
  <c r="R124" i="5911"/>
  <c r="H127" i="5909"/>
  <c r="O126" i="5911"/>
  <c r="O130" i="5911" s="1"/>
  <c r="O132" i="5911" s="1"/>
  <c r="AL127" i="5911"/>
  <c r="AL118" i="5911"/>
  <c r="L128" i="5910"/>
  <c r="J124" i="5910"/>
  <c r="J127" i="5910"/>
  <c r="N120" i="5909"/>
  <c r="N131" i="5909" s="1"/>
  <c r="O128" i="5909"/>
  <c r="K115" i="5907"/>
  <c r="AG115" i="5908"/>
  <c r="S127" i="5909"/>
  <c r="S130" i="5909" s="1"/>
  <c r="S132" i="5909" s="1"/>
  <c r="AN115" i="5907"/>
  <c r="AD115" i="5909"/>
  <c r="V115" i="5909"/>
  <c r="V118" i="5909" s="1"/>
  <c r="AP115" i="5909"/>
  <c r="V115" i="5908"/>
  <c r="V118" i="5908" s="1"/>
  <c r="V120" i="5908" s="1"/>
  <c r="V131" i="5908" s="1"/>
  <c r="V124" i="5905"/>
  <c r="V127" i="5905"/>
  <c r="M126" i="5908"/>
  <c r="M130" i="5908" s="1"/>
  <c r="M132" i="5908" s="1"/>
  <c r="I126" i="5906"/>
  <c r="I130" i="5906" s="1"/>
  <c r="I132" i="5906" s="1"/>
  <c r="F128" i="5906"/>
  <c r="AC126" i="5906"/>
  <c r="AC130" i="5906" s="1"/>
  <c r="AC132" i="5906" s="1"/>
  <c r="O130" i="5906"/>
  <c r="O132" i="5906" s="1"/>
  <c r="Z126" i="5906"/>
  <c r="Z130" i="5906" s="1"/>
  <c r="Z132" i="5906" s="1"/>
  <c r="L127" i="5905"/>
  <c r="L130" i="5905" s="1"/>
  <c r="L132" i="5905" s="1"/>
  <c r="M120" i="5906"/>
  <c r="M131" i="5906" s="1"/>
  <c r="C157" i="5905"/>
  <c r="O124" i="5904"/>
  <c r="O127" i="5904"/>
  <c r="AH126" i="5904"/>
  <c r="AH130" i="5904" s="1"/>
  <c r="AH132" i="5904" s="1"/>
  <c r="U126" i="5904"/>
  <c r="U130" i="5904" s="1"/>
  <c r="U132" i="5904" s="1"/>
  <c r="R127" i="5905"/>
  <c r="R130" i="5905" s="1"/>
  <c r="R132" i="5905" s="1"/>
  <c r="AR115" i="5903"/>
  <c r="AF127" i="5905"/>
  <c r="AF130" i="5905" s="1"/>
  <c r="AF132" i="5905" s="1"/>
  <c r="N127" i="5904"/>
  <c r="H128" i="5905"/>
  <c r="M128" i="5905"/>
  <c r="M130" i="5905" s="1"/>
  <c r="M132" i="5905" s="1"/>
  <c r="AN127" i="5904"/>
  <c r="N126" i="5904"/>
  <c r="N130" i="5904" s="1"/>
  <c r="N132" i="5904" s="1"/>
  <c r="Q127" i="5902"/>
  <c r="Q124" i="5902"/>
  <c r="H126" i="5905"/>
  <c r="H130" i="5905" s="1"/>
  <c r="H132" i="5905" s="1"/>
  <c r="M126" i="5904"/>
  <c r="M130" i="5904" s="1"/>
  <c r="M132" i="5904" s="1"/>
  <c r="AK127" i="5904"/>
  <c r="AK130" i="5904" s="1"/>
  <c r="AK132" i="5904" s="1"/>
  <c r="E137" i="5903"/>
  <c r="O137" i="5903"/>
  <c r="AA127" i="5902"/>
  <c r="AA130" i="5902" s="1"/>
  <c r="AA132" i="5902" s="1"/>
  <c r="J127" i="5902"/>
  <c r="M120" i="5904"/>
  <c r="M131" i="5904" s="1"/>
  <c r="U126" i="5902"/>
  <c r="U130" i="5902" s="1"/>
  <c r="U132" i="5902" s="1"/>
  <c r="R115" i="5901"/>
  <c r="W127" i="5901"/>
  <c r="G126" i="5904"/>
  <c r="G130" i="5904" s="1"/>
  <c r="G132" i="5904" s="1"/>
  <c r="N128" i="5902"/>
  <c r="T115" i="5901"/>
  <c r="AQ115" i="5901"/>
  <c r="AJ128" i="5902"/>
  <c r="Z115" i="5901"/>
  <c r="AC115" i="5902"/>
  <c r="P115" i="5899"/>
  <c r="AB115" i="5899"/>
  <c r="W126" i="5901"/>
  <c r="AN115" i="5899"/>
  <c r="AQ126" i="5900"/>
  <c r="AQ130" i="5900" s="1"/>
  <c r="AQ132" i="5900" s="1"/>
  <c r="N115" i="5899"/>
  <c r="AF115" i="5899"/>
  <c r="F126" i="5900"/>
  <c r="F130" i="5900" s="1"/>
  <c r="F132" i="5900" s="1"/>
  <c r="AN115" i="5898"/>
  <c r="AQ115" i="5898"/>
  <c r="AR127" i="5900"/>
  <c r="AR130" i="5900" s="1"/>
  <c r="AR132" i="5900" s="1"/>
  <c r="M137" i="5899"/>
  <c r="O120" i="5900"/>
  <c r="O131" i="5900" s="1"/>
  <c r="AI115" i="5899"/>
  <c r="AG127" i="5897"/>
  <c r="H128" i="5900"/>
  <c r="K120" i="5897"/>
  <c r="K131" i="5897" s="1"/>
  <c r="AK130" i="5908"/>
  <c r="AK132" i="5908" s="1"/>
  <c r="Q128" i="5907"/>
  <c r="P145" i="5905"/>
  <c r="P120" i="5905"/>
  <c r="P131" i="5905" s="1"/>
  <c r="AO139" i="5906"/>
  <c r="AO140" i="5906" s="1"/>
  <c r="AO142" i="5906" s="1"/>
  <c r="AO144" i="5906" s="1"/>
  <c r="AO143" i="5906"/>
  <c r="AN143" i="5906"/>
  <c r="AN139" i="5906"/>
  <c r="AN140" i="5906" s="1"/>
  <c r="AN142" i="5906" s="1"/>
  <c r="AN144" i="5906" s="1"/>
  <c r="AA143" i="5906"/>
  <c r="AA139" i="5906"/>
  <c r="AA140" i="5906" s="1"/>
  <c r="AA142" i="5906"/>
  <c r="AA144" i="5906" s="1"/>
  <c r="N130" i="5906"/>
  <c r="N132" i="5906" s="1"/>
  <c r="AN128" i="5905"/>
  <c r="S145" i="5905"/>
  <c r="S120" i="5905"/>
  <c r="S131" i="5905" s="1"/>
  <c r="V132" i="5904"/>
  <c r="S128" i="5905"/>
  <c r="I130" i="5904"/>
  <c r="I132" i="5904" s="1"/>
  <c r="AR142" i="5904"/>
  <c r="AR144" i="5904" s="1"/>
  <c r="AR139" i="5904"/>
  <c r="AR140" i="5904" s="1"/>
  <c r="AR143" i="5904"/>
  <c r="R128" i="5904"/>
  <c r="AA143" i="5904"/>
  <c r="AA142" i="5904"/>
  <c r="AA144" i="5904" s="1"/>
  <c r="AA139" i="5904"/>
  <c r="AA140" i="5904" s="1"/>
  <c r="S126" i="5906"/>
  <c r="S130" i="5906" s="1"/>
  <c r="S132" i="5906" s="1"/>
  <c r="J136" i="5904"/>
  <c r="N135" i="5904"/>
  <c r="N137" i="5904" s="1"/>
  <c r="I136" i="5904"/>
  <c r="M135" i="5904"/>
  <c r="M137" i="5904" s="1"/>
  <c r="H136" i="5904"/>
  <c r="L135" i="5904"/>
  <c r="S136" i="5904"/>
  <c r="G136" i="5904"/>
  <c r="K135" i="5904"/>
  <c r="R136" i="5904"/>
  <c r="F136" i="5904"/>
  <c r="J135" i="5904"/>
  <c r="J137" i="5904" s="1"/>
  <c r="D143" i="5904"/>
  <c r="Q136" i="5904"/>
  <c r="E136" i="5904"/>
  <c r="I135" i="5904"/>
  <c r="P136" i="5904"/>
  <c r="H135" i="5904"/>
  <c r="O136" i="5904"/>
  <c r="S135" i="5904"/>
  <c r="G135" i="5904"/>
  <c r="G137" i="5904" s="1"/>
  <c r="N136" i="5904"/>
  <c r="R135" i="5904"/>
  <c r="F135" i="5904"/>
  <c r="F137" i="5904" s="1"/>
  <c r="M136" i="5904"/>
  <c r="Q135" i="5904"/>
  <c r="E135" i="5904"/>
  <c r="L136" i="5904"/>
  <c r="P135" i="5904"/>
  <c r="P137" i="5904" s="1"/>
  <c r="O135" i="5904"/>
  <c r="K136" i="5904"/>
  <c r="AQ130" i="5904"/>
  <c r="AQ132" i="5904" s="1"/>
  <c r="S139" i="5902"/>
  <c r="N127" i="5902"/>
  <c r="N130" i="5902" s="1"/>
  <c r="N132" i="5902" s="1"/>
  <c r="AK127" i="5901"/>
  <c r="AK118" i="5901"/>
  <c r="N124" i="5901"/>
  <c r="P127" i="5900"/>
  <c r="S128" i="5901"/>
  <c r="AA115" i="5899"/>
  <c r="Y115" i="5899"/>
  <c r="H126" i="5901"/>
  <c r="G130" i="5900"/>
  <c r="G132" i="5900" s="1"/>
  <c r="Z115" i="5899"/>
  <c r="O127" i="5900"/>
  <c r="O124" i="5900"/>
  <c r="AQ128" i="5899"/>
  <c r="AQ126" i="5899"/>
  <c r="AQ130" i="5899" s="1"/>
  <c r="AQ132" i="5899" s="1"/>
  <c r="AM127" i="5900"/>
  <c r="AM130" i="5900" s="1"/>
  <c r="AM132" i="5900" s="1"/>
  <c r="S115" i="5899"/>
  <c r="K128" i="5897"/>
  <c r="K126" i="5897"/>
  <c r="E115" i="5898"/>
  <c r="H115" i="5898"/>
  <c r="S127" i="5900"/>
  <c r="S130" i="5900" s="1"/>
  <c r="S132" i="5900" s="1"/>
  <c r="N137" i="5897"/>
  <c r="F137" i="5897"/>
  <c r="P137" i="5897"/>
  <c r="T115" i="5907"/>
  <c r="T118" i="5907" s="1"/>
  <c r="T120" i="5907" s="1"/>
  <c r="T131" i="5907" s="1"/>
  <c r="P124" i="5909"/>
  <c r="P127" i="5909"/>
  <c r="F145" i="5909"/>
  <c r="F120" i="5909"/>
  <c r="F131" i="5909" s="1"/>
  <c r="V127" i="5917"/>
  <c r="V130" i="5917" s="1"/>
  <c r="V132" i="5917" s="1"/>
  <c r="G145" i="5916"/>
  <c r="G126" i="5916"/>
  <c r="G130" i="5916" s="1"/>
  <c r="G132" i="5916" s="1"/>
  <c r="AC118" i="5916"/>
  <c r="AC127" i="5916"/>
  <c r="R145" i="5916"/>
  <c r="R120" i="5916"/>
  <c r="R131" i="5916" s="1"/>
  <c r="U127" i="5916"/>
  <c r="U124" i="5916"/>
  <c r="G120" i="5913"/>
  <c r="G131" i="5913" s="1"/>
  <c r="G145" i="5913"/>
  <c r="Z118" i="5914"/>
  <c r="Z127" i="5914"/>
  <c r="M118" i="5917"/>
  <c r="M127" i="5917"/>
  <c r="AD128" i="5915"/>
  <c r="AD130" i="5915" s="1"/>
  <c r="AD132" i="5915" s="1"/>
  <c r="O126" i="5915"/>
  <c r="G145" i="5915"/>
  <c r="G120" i="5915"/>
  <c r="G131" i="5915" s="1"/>
  <c r="M120" i="5913"/>
  <c r="M131" i="5913" s="1"/>
  <c r="AA130" i="5914"/>
  <c r="AA132" i="5914" s="1"/>
  <c r="AA130" i="5915"/>
  <c r="AA132" i="5915" s="1"/>
  <c r="T124" i="5913"/>
  <c r="T127" i="5913"/>
  <c r="AB130" i="5913"/>
  <c r="AB132" i="5913" s="1"/>
  <c r="F145" i="5912"/>
  <c r="F120" i="5912"/>
  <c r="F131" i="5912" s="1"/>
  <c r="G128" i="5913"/>
  <c r="U126" i="5913"/>
  <c r="U130" i="5913" s="1"/>
  <c r="U132" i="5913" s="1"/>
  <c r="W126" i="5915"/>
  <c r="W130" i="5915" s="1"/>
  <c r="W132" i="5915" s="1"/>
  <c r="W128" i="5915"/>
  <c r="Z118" i="5913"/>
  <c r="Z127" i="5913"/>
  <c r="AD126" i="5912"/>
  <c r="AD130" i="5912" s="1"/>
  <c r="AD132" i="5912" s="1"/>
  <c r="P145" i="5912"/>
  <c r="P128" i="5912"/>
  <c r="P130" i="5912" s="1"/>
  <c r="P132" i="5912" s="1"/>
  <c r="P120" i="5912"/>
  <c r="P131" i="5912" s="1"/>
  <c r="O127" i="5912"/>
  <c r="AE126" i="5913"/>
  <c r="AE130" i="5913" s="1"/>
  <c r="AE132" i="5913" s="1"/>
  <c r="T124" i="5912"/>
  <c r="T127" i="5912"/>
  <c r="K120" i="5911"/>
  <c r="K131" i="5911" s="1"/>
  <c r="F127" i="5911"/>
  <c r="F124" i="5911"/>
  <c r="J126" i="5909"/>
  <c r="J130" i="5909" s="1"/>
  <c r="J132" i="5909" s="1"/>
  <c r="AN118" i="5911"/>
  <c r="AN127" i="5911"/>
  <c r="J115" i="5907"/>
  <c r="AI115" i="5907"/>
  <c r="G115" i="5908"/>
  <c r="X115" i="5908"/>
  <c r="X118" i="5908" s="1"/>
  <c r="X120" i="5908" s="1"/>
  <c r="X131" i="5908" s="1"/>
  <c r="AP115" i="5907"/>
  <c r="AO115" i="5907"/>
  <c r="V124" i="5907"/>
  <c r="V127" i="5907"/>
  <c r="AH115" i="5907"/>
  <c r="J118" i="5906"/>
  <c r="C85" i="5906" s="1"/>
  <c r="J127" i="5906"/>
  <c r="AE118" i="5909"/>
  <c r="AE127" i="5909"/>
  <c r="T124" i="5907"/>
  <c r="T127" i="5907"/>
  <c r="AQ115" i="5907"/>
  <c r="V127" i="5906"/>
  <c r="U127" i="5906"/>
  <c r="U124" i="5906"/>
  <c r="AB126" i="5906"/>
  <c r="AB130" i="5906" s="1"/>
  <c r="AB132" i="5906" s="1"/>
  <c r="P130" i="5906"/>
  <c r="P132" i="5906" s="1"/>
  <c r="AN127" i="5905"/>
  <c r="AN130" i="5905" s="1"/>
  <c r="AN132" i="5905" s="1"/>
  <c r="AI128" i="5905"/>
  <c r="AI126" i="5905"/>
  <c r="J126" i="5904"/>
  <c r="J130" i="5904" s="1"/>
  <c r="J132" i="5904" s="1"/>
  <c r="S127" i="5905"/>
  <c r="S130" i="5905" s="1"/>
  <c r="S132" i="5905" s="1"/>
  <c r="T130" i="5904"/>
  <c r="T132" i="5904" s="1"/>
  <c r="R127" i="5904"/>
  <c r="R130" i="5904" s="1"/>
  <c r="R132" i="5904" s="1"/>
  <c r="O127" i="5905"/>
  <c r="AP127" i="5904"/>
  <c r="AI128" i="5902"/>
  <c r="Y118" i="5905"/>
  <c r="Y127" i="5905"/>
  <c r="G126" i="5906"/>
  <c r="G130" i="5906" s="1"/>
  <c r="G132" i="5906" s="1"/>
  <c r="AJ130" i="5906"/>
  <c r="AJ132" i="5906" s="1"/>
  <c r="Y127" i="5904"/>
  <c r="H126" i="5903"/>
  <c r="P137" i="5903"/>
  <c r="AM130" i="5902"/>
  <c r="AM132" i="5902" s="1"/>
  <c r="Z126" i="5902"/>
  <c r="Z130" i="5902" s="1"/>
  <c r="Z132" i="5902" s="1"/>
  <c r="S126" i="5904"/>
  <c r="AQ127" i="5902"/>
  <c r="Q120" i="5902"/>
  <c r="Q131" i="5902" s="1"/>
  <c r="H128" i="5901"/>
  <c r="N120" i="5902"/>
  <c r="N131" i="5902" s="1"/>
  <c r="S120" i="5901"/>
  <c r="S131" i="5901" s="1"/>
  <c r="AD118" i="5900"/>
  <c r="AD127" i="5900"/>
  <c r="O136" i="5901"/>
  <c r="S135" i="5901"/>
  <c r="G135" i="5901"/>
  <c r="S136" i="5901"/>
  <c r="G136" i="5901"/>
  <c r="K135" i="5901"/>
  <c r="K137" i="5901" s="1"/>
  <c r="R136" i="5901"/>
  <c r="F136" i="5901"/>
  <c r="J135" i="5901"/>
  <c r="J137" i="5901" s="1"/>
  <c r="Q136" i="5901"/>
  <c r="E136" i="5901"/>
  <c r="I135" i="5901"/>
  <c r="M136" i="5901"/>
  <c r="M135" i="5901"/>
  <c r="L136" i="5901"/>
  <c r="L135" i="5901"/>
  <c r="L137" i="5901" s="1"/>
  <c r="K136" i="5901"/>
  <c r="H135" i="5901"/>
  <c r="J136" i="5901"/>
  <c r="F135" i="5901"/>
  <c r="F137" i="5901" s="1"/>
  <c r="N136" i="5901"/>
  <c r="I136" i="5901"/>
  <c r="H136" i="5901"/>
  <c r="Q135" i="5901"/>
  <c r="P135" i="5901"/>
  <c r="P137" i="5901" s="1"/>
  <c r="O135" i="5901"/>
  <c r="D143" i="5901"/>
  <c r="N135" i="5901"/>
  <c r="E135" i="5901"/>
  <c r="P136" i="5901"/>
  <c r="R135" i="5901"/>
  <c r="R137" i="5901" s="1"/>
  <c r="I115" i="5901"/>
  <c r="X128" i="5902"/>
  <c r="AN128" i="5901"/>
  <c r="G128" i="5902"/>
  <c r="Y118" i="5902"/>
  <c r="Y127" i="5902"/>
  <c r="AJ128" i="5900"/>
  <c r="AJ130" i="5900" s="1"/>
  <c r="AJ132" i="5900" s="1"/>
  <c r="X126" i="5902"/>
  <c r="W115" i="5897"/>
  <c r="H145" i="5900"/>
  <c r="H120" i="5900"/>
  <c r="H131" i="5900" s="1"/>
  <c r="M115" i="5899"/>
  <c r="L115" i="5899"/>
  <c r="AO142" i="5900"/>
  <c r="AO144" i="5900" s="1"/>
  <c r="AO143" i="5900"/>
  <c r="AO139" i="5900"/>
  <c r="AO140" i="5900" s="1"/>
  <c r="F126" i="5901"/>
  <c r="AL115" i="5899"/>
  <c r="AA128" i="5900"/>
  <c r="AA130" i="5900" s="1"/>
  <c r="AA132" i="5900" s="1"/>
  <c r="Q137" i="5900"/>
  <c r="F115" i="5899"/>
  <c r="V115" i="5898"/>
  <c r="K127" i="5897"/>
  <c r="Q115" i="5898"/>
  <c r="T115" i="5898"/>
  <c r="O137" i="5899"/>
  <c r="AC126" i="5898"/>
  <c r="AG115" i="5898"/>
  <c r="O126" i="5899"/>
  <c r="L137" i="5897"/>
  <c r="U126" i="5897"/>
  <c r="U130" i="5897" s="1"/>
  <c r="U132" i="5897" s="1"/>
  <c r="AM139" i="5899" l="1"/>
  <c r="AM140" i="5899" s="1"/>
  <c r="AM142" i="5899" s="1"/>
  <c r="AM144" i="5899" s="1"/>
  <c r="AM143" i="5899"/>
  <c r="AO139" i="5911"/>
  <c r="AO140" i="5911" s="1"/>
  <c r="AO142" i="5911" s="1"/>
  <c r="AO144" i="5911" s="1"/>
  <c r="AO143" i="5911"/>
  <c r="AJ143" i="5905"/>
  <c r="AJ142" i="5905"/>
  <c r="AJ144" i="5905" s="1"/>
  <c r="AJ139" i="5905"/>
  <c r="AJ140" i="5905" s="1"/>
  <c r="E139" i="5906"/>
  <c r="AH142" i="5903"/>
  <c r="AH144" i="5903" s="1"/>
  <c r="AH139" i="5903"/>
  <c r="AH140" i="5903" s="1"/>
  <c r="AH143" i="5903"/>
  <c r="AL143" i="5902"/>
  <c r="AL139" i="5902"/>
  <c r="AL140" i="5902" s="1"/>
  <c r="AL142" i="5902"/>
  <c r="AL144" i="5902" s="1"/>
  <c r="AP139" i="5912"/>
  <c r="AP140" i="5912" s="1"/>
  <c r="AP142" i="5912" s="1"/>
  <c r="AP144" i="5912" s="1"/>
  <c r="AI139" i="5902"/>
  <c r="AI140" i="5902" s="1"/>
  <c r="AI143" i="5902" s="1"/>
  <c r="AI142" i="5902"/>
  <c r="AI144" i="5902" s="1"/>
  <c r="AK139" i="5904"/>
  <c r="AK140" i="5904" s="1"/>
  <c r="AK142" i="5904" s="1"/>
  <c r="AK144" i="5904" s="1"/>
  <c r="AA139" i="5908"/>
  <c r="AA140" i="5908" s="1"/>
  <c r="AA142" i="5908" s="1"/>
  <c r="AA144" i="5908" s="1"/>
  <c r="AJ139" i="5911"/>
  <c r="AJ140" i="5911" s="1"/>
  <c r="AJ142" i="5911" s="1"/>
  <c r="AJ144" i="5911" s="1"/>
  <c r="Y139" i="5911"/>
  <c r="Y140" i="5911" s="1"/>
  <c r="Y142" i="5911"/>
  <c r="Y144" i="5911" s="1"/>
  <c r="Y143" i="5911"/>
  <c r="P139" i="5917"/>
  <c r="N139" i="5902"/>
  <c r="AF139" i="5911"/>
  <c r="AF140" i="5911" s="1"/>
  <c r="AF143" i="5911" s="1"/>
  <c r="AH139" i="5900"/>
  <c r="AH140" i="5900" s="1"/>
  <c r="AH143" i="5900" s="1"/>
  <c r="AH142" i="5900"/>
  <c r="AH144" i="5900" s="1"/>
  <c r="X143" i="5911"/>
  <c r="X139" i="5911"/>
  <c r="X140" i="5911" s="1"/>
  <c r="X142" i="5911" s="1"/>
  <c r="X144" i="5911" s="1"/>
  <c r="AL143" i="5915"/>
  <c r="AL142" i="5915"/>
  <c r="AL144" i="5915" s="1"/>
  <c r="AL139" i="5915"/>
  <c r="AL140" i="5915" s="1"/>
  <c r="W139" i="5912"/>
  <c r="W140" i="5912" s="1"/>
  <c r="W143" i="5912" s="1"/>
  <c r="AQ139" i="5917"/>
  <c r="AQ140" i="5917" s="1"/>
  <c r="AQ143" i="5917" s="1"/>
  <c r="AM139" i="5900"/>
  <c r="AM140" i="5900" s="1"/>
  <c r="AM143" i="5900" s="1"/>
  <c r="AM142" i="5900"/>
  <c r="AM144" i="5900" s="1"/>
  <c r="AA139" i="5911"/>
  <c r="AA140" i="5911" s="1"/>
  <c r="AA143" i="5911" s="1"/>
  <c r="AA142" i="5911"/>
  <c r="AA144" i="5911" s="1"/>
  <c r="AN139" i="5905"/>
  <c r="AN140" i="5905" s="1"/>
  <c r="AN142" i="5905" s="1"/>
  <c r="AN144" i="5905" s="1"/>
  <c r="AN143" i="5905"/>
  <c r="AP142" i="5915"/>
  <c r="AP144" i="5915" s="1"/>
  <c r="AP139" i="5915"/>
  <c r="AP140" i="5915" s="1"/>
  <c r="AP143" i="5915" s="1"/>
  <c r="Z139" i="5917"/>
  <c r="Z140" i="5917" s="1"/>
  <c r="Z142" i="5917" s="1"/>
  <c r="Z144" i="5917" s="1"/>
  <c r="Z143" i="5917"/>
  <c r="AG143" i="5903"/>
  <c r="AG139" i="5903"/>
  <c r="AG140" i="5903" s="1"/>
  <c r="AG142" i="5903"/>
  <c r="AG144" i="5903" s="1"/>
  <c r="AH139" i="5902"/>
  <c r="AH140" i="5902" s="1"/>
  <c r="AH142" i="5902" s="1"/>
  <c r="AH144" i="5902" s="1"/>
  <c r="AF143" i="5917"/>
  <c r="AF139" i="5917"/>
  <c r="AF140" i="5917" s="1"/>
  <c r="AF142" i="5917"/>
  <c r="AF144" i="5917" s="1"/>
  <c r="AD139" i="5915"/>
  <c r="AD140" i="5915" s="1"/>
  <c r="AD142" i="5915" s="1"/>
  <c r="AD144" i="5915" s="1"/>
  <c r="AD143" i="5915"/>
  <c r="S139" i="5900"/>
  <c r="M139" i="5905"/>
  <c r="H139" i="5900"/>
  <c r="AM139" i="5916"/>
  <c r="AM140" i="5916" s="1"/>
  <c r="AM142" i="5916" s="1"/>
  <c r="AM144" i="5916" s="1"/>
  <c r="R139" i="5904"/>
  <c r="U143" i="5903"/>
  <c r="U139" i="5903"/>
  <c r="U140" i="5903" s="1"/>
  <c r="U142" i="5903"/>
  <c r="U144" i="5903" s="1"/>
  <c r="AQ139" i="5912"/>
  <c r="AQ140" i="5912" s="1"/>
  <c r="AQ142" i="5912" s="1"/>
  <c r="AQ144" i="5912" s="1"/>
  <c r="AQ143" i="5912"/>
  <c r="P139" i="5916"/>
  <c r="AP139" i="5903"/>
  <c r="AP140" i="5903" s="1"/>
  <c r="AP143" i="5903" s="1"/>
  <c r="AP142" i="5903"/>
  <c r="AP144" i="5903" s="1"/>
  <c r="W142" i="5908"/>
  <c r="W144" i="5908" s="1"/>
  <c r="W139" i="5908"/>
  <c r="W140" i="5908" s="1"/>
  <c r="W143" i="5908"/>
  <c r="AF139" i="5909"/>
  <c r="AF140" i="5909" s="1"/>
  <c r="AF142" i="5909" s="1"/>
  <c r="AF144" i="5909" s="1"/>
  <c r="AA139" i="5902"/>
  <c r="AA140" i="5902" s="1"/>
  <c r="AA142" i="5902" s="1"/>
  <c r="AA144" i="5902" s="1"/>
  <c r="S139" i="5909"/>
  <c r="K139" i="5901"/>
  <c r="AR139" i="5912"/>
  <c r="AR140" i="5912" s="1"/>
  <c r="AR142" i="5912" s="1"/>
  <c r="AR144" i="5912" s="1"/>
  <c r="AR143" i="5912"/>
  <c r="AM142" i="5917"/>
  <c r="AM144" i="5917" s="1"/>
  <c r="AM143" i="5917"/>
  <c r="AM139" i="5917"/>
  <c r="AM140" i="5917" s="1"/>
  <c r="T139" i="5909"/>
  <c r="T140" i="5909" s="1"/>
  <c r="T142" i="5909" s="1"/>
  <c r="T144" i="5909" s="1"/>
  <c r="T143" i="5909"/>
  <c r="AJ139" i="5900"/>
  <c r="AJ140" i="5900" s="1"/>
  <c r="AJ142" i="5900" s="1"/>
  <c r="AJ144" i="5900" s="1"/>
  <c r="V139" i="5917"/>
  <c r="V140" i="5917" s="1"/>
  <c r="V143" i="5917"/>
  <c r="V142" i="5917"/>
  <c r="V144" i="5917" s="1"/>
  <c r="AR139" i="5900"/>
  <c r="AR140" i="5900" s="1"/>
  <c r="AR142" i="5900" s="1"/>
  <c r="AR144" i="5900" s="1"/>
  <c r="AF142" i="5905"/>
  <c r="AF144" i="5905" s="1"/>
  <c r="AF139" i="5905"/>
  <c r="AF140" i="5905" s="1"/>
  <c r="AF143" i="5905"/>
  <c r="AF139" i="5903"/>
  <c r="AF140" i="5903" s="1"/>
  <c r="AF142" i="5903" s="1"/>
  <c r="AF144" i="5903" s="1"/>
  <c r="Z139" i="5904"/>
  <c r="Z140" i="5904" s="1"/>
  <c r="Z142" i="5904"/>
  <c r="Z144" i="5904" s="1"/>
  <c r="Z143" i="5904"/>
  <c r="S139" i="5916"/>
  <c r="AA139" i="5900"/>
  <c r="AA140" i="5900" s="1"/>
  <c r="AA143" i="5900" s="1"/>
  <c r="S139" i="5905"/>
  <c r="AN139" i="5901"/>
  <c r="AN140" i="5901" s="1"/>
  <c r="AN142" i="5901" s="1"/>
  <c r="AN144" i="5901" s="1"/>
  <c r="AA143" i="5909"/>
  <c r="AA139" i="5909"/>
  <c r="AA140" i="5909" s="1"/>
  <c r="AA142" i="5909"/>
  <c r="AA144" i="5909" s="1"/>
  <c r="R139" i="5916"/>
  <c r="H139" i="5916"/>
  <c r="U143" i="5912"/>
  <c r="U142" i="5912"/>
  <c r="U144" i="5912" s="1"/>
  <c r="AG143" i="5910"/>
  <c r="AG139" i="5910"/>
  <c r="AG140" i="5910" s="1"/>
  <c r="AG142" i="5910" s="1"/>
  <c r="AG144" i="5910" s="1"/>
  <c r="H139" i="5904"/>
  <c r="R145" i="5917"/>
  <c r="R120" i="5917"/>
  <c r="R131" i="5917" s="1"/>
  <c r="R126" i="5917"/>
  <c r="R128" i="5917"/>
  <c r="Z139" i="5915"/>
  <c r="Z140" i="5915" s="1"/>
  <c r="Z143" i="5915" s="1"/>
  <c r="M139" i="5914"/>
  <c r="AI142" i="5914"/>
  <c r="AI144" i="5914" s="1"/>
  <c r="AI143" i="5914"/>
  <c r="AI139" i="5914"/>
  <c r="AI140" i="5914" s="1"/>
  <c r="C151" i="5916"/>
  <c r="AB139" i="5913"/>
  <c r="AB140" i="5913" s="1"/>
  <c r="AB142" i="5913" s="1"/>
  <c r="AB144" i="5913" s="1"/>
  <c r="AB143" i="5913"/>
  <c r="Q137" i="5904"/>
  <c r="P139" i="5906"/>
  <c r="E137" i="5904"/>
  <c r="AG118" i="5908"/>
  <c r="AG127" i="5908"/>
  <c r="V139" i="5902"/>
  <c r="V140" i="5902" s="1"/>
  <c r="V143" i="5902" s="1"/>
  <c r="V142" i="5902"/>
  <c r="V144" i="5902" s="1"/>
  <c r="C159" i="5899"/>
  <c r="C160" i="5899" s="1"/>
  <c r="E118" i="5899"/>
  <c r="E127" i="5899"/>
  <c r="AE143" i="5916"/>
  <c r="AE139" i="5916"/>
  <c r="AE140" i="5916" s="1"/>
  <c r="AE142" i="5916" s="1"/>
  <c r="AE144" i="5916" s="1"/>
  <c r="N145" i="5901"/>
  <c r="N120" i="5901"/>
  <c r="N131" i="5901" s="1"/>
  <c r="AG143" i="5912"/>
  <c r="AG139" i="5912"/>
  <c r="AG140" i="5912" s="1"/>
  <c r="AG142" i="5912" s="1"/>
  <c r="AG144" i="5912" s="1"/>
  <c r="AN118" i="5897"/>
  <c r="AN127" i="5897"/>
  <c r="C84" i="5905"/>
  <c r="E120" i="5905"/>
  <c r="E131" i="5905" s="1"/>
  <c r="E145" i="5905"/>
  <c r="C151" i="5905" s="1"/>
  <c r="E128" i="5905"/>
  <c r="C85" i="5905"/>
  <c r="C86" i="5905" s="1"/>
  <c r="C70" i="5905" s="1"/>
  <c r="E126" i="5905"/>
  <c r="AG126" i="5909"/>
  <c r="AG128" i="5909"/>
  <c r="AI139" i="5916"/>
  <c r="AI140" i="5916" s="1"/>
  <c r="AI143" i="5916" s="1"/>
  <c r="AC118" i="5910"/>
  <c r="AC127" i="5910"/>
  <c r="I118" i="5901"/>
  <c r="I127" i="5901"/>
  <c r="T128" i="5903"/>
  <c r="T126" i="5903"/>
  <c r="AE139" i="5904"/>
  <c r="AE140" i="5904" s="1"/>
  <c r="AE142" i="5904" s="1"/>
  <c r="AE144" i="5904" s="1"/>
  <c r="G128" i="5901"/>
  <c r="G126" i="5901"/>
  <c r="G130" i="5901" s="1"/>
  <c r="G132" i="5901" s="1"/>
  <c r="AE128" i="5906"/>
  <c r="AE126" i="5906"/>
  <c r="AE130" i="5906" s="1"/>
  <c r="AE132" i="5906" s="1"/>
  <c r="Q118" i="5908"/>
  <c r="Q127" i="5908"/>
  <c r="T143" i="5900"/>
  <c r="T139" i="5900"/>
  <c r="T140" i="5900" s="1"/>
  <c r="T142" i="5900" s="1"/>
  <c r="T144" i="5900" s="1"/>
  <c r="AL143" i="5909"/>
  <c r="AL139" i="5909"/>
  <c r="AL140" i="5909" s="1"/>
  <c r="AL142" i="5909" s="1"/>
  <c r="AL144" i="5909" s="1"/>
  <c r="X128" i="5916"/>
  <c r="X126" i="5916"/>
  <c r="X130" i="5916" s="1"/>
  <c r="X132" i="5916" s="1"/>
  <c r="E118" i="5901"/>
  <c r="C159" i="5901"/>
  <c r="C160" i="5901" s="1"/>
  <c r="E127" i="5901"/>
  <c r="AC128" i="5905"/>
  <c r="AC126" i="5905"/>
  <c r="W128" i="5905"/>
  <c r="W126" i="5905"/>
  <c r="W130" i="5905" s="1"/>
  <c r="W132" i="5905" s="1"/>
  <c r="Z118" i="5908"/>
  <c r="Z127" i="5908"/>
  <c r="AC126" i="5917"/>
  <c r="AC128" i="5917"/>
  <c r="E118" i="5907"/>
  <c r="C159" i="5907"/>
  <c r="C160" i="5907" s="1"/>
  <c r="E127" i="5907"/>
  <c r="AD143" i="5901"/>
  <c r="AD142" i="5901"/>
  <c r="AD144" i="5901" s="1"/>
  <c r="AD139" i="5901"/>
  <c r="AD140" i="5901" s="1"/>
  <c r="U128" i="5906"/>
  <c r="U126" i="5906"/>
  <c r="V128" i="5907"/>
  <c r="V126" i="5907"/>
  <c r="V130" i="5907" s="1"/>
  <c r="V132" i="5907" s="1"/>
  <c r="Z128" i="5914"/>
  <c r="Z126" i="5914"/>
  <c r="H130" i="5901"/>
  <c r="H132" i="5901" s="1"/>
  <c r="S140" i="5902"/>
  <c r="S143" i="5902" s="1"/>
  <c r="W130" i="5901"/>
  <c r="W132" i="5901" s="1"/>
  <c r="O128" i="5904"/>
  <c r="O126" i="5904"/>
  <c r="O130" i="5904" s="1"/>
  <c r="O132" i="5904" s="1"/>
  <c r="I139" i="5915"/>
  <c r="N118" i="5907"/>
  <c r="N127" i="5907"/>
  <c r="Q137" i="5908"/>
  <c r="AM118" i="5898"/>
  <c r="AM127" i="5898"/>
  <c r="AH139" i="5901"/>
  <c r="AH140" i="5901" s="1"/>
  <c r="AH143" i="5901" s="1"/>
  <c r="AH142" i="5901"/>
  <c r="AH144" i="5901" s="1"/>
  <c r="AO118" i="5908"/>
  <c r="AO127" i="5908"/>
  <c r="AP143" i="5900"/>
  <c r="AE118" i="5899"/>
  <c r="AE127" i="5899"/>
  <c r="AB142" i="5904"/>
  <c r="AB144" i="5904" s="1"/>
  <c r="AB139" i="5904"/>
  <c r="AB140" i="5904" s="1"/>
  <c r="AB143" i="5904" s="1"/>
  <c r="X128" i="5904"/>
  <c r="X126" i="5904"/>
  <c r="V128" i="5910"/>
  <c r="V126" i="5910"/>
  <c r="V130" i="5910" s="1"/>
  <c r="V132" i="5910" s="1"/>
  <c r="AA118" i="5898"/>
  <c r="AA127" i="5898"/>
  <c r="P118" i="5903"/>
  <c r="P127" i="5903"/>
  <c r="O137" i="5906"/>
  <c r="AF118" i="5908"/>
  <c r="AF127" i="5908"/>
  <c r="F137" i="5911"/>
  <c r="AR139" i="5911"/>
  <c r="AR140" i="5911" s="1"/>
  <c r="AR143" i="5911" s="1"/>
  <c r="AR142" i="5911"/>
  <c r="AR144" i="5911" s="1"/>
  <c r="H128" i="5917"/>
  <c r="H126" i="5917"/>
  <c r="H130" i="5917" s="1"/>
  <c r="H132" i="5917" s="1"/>
  <c r="V127" i="5908"/>
  <c r="AD128" i="5906"/>
  <c r="AD126" i="5906"/>
  <c r="AD130" i="5906" s="1"/>
  <c r="AD132" i="5906" s="1"/>
  <c r="AB126" i="5912"/>
  <c r="AB130" i="5912" s="1"/>
  <c r="AB132" i="5912" s="1"/>
  <c r="AB128" i="5912"/>
  <c r="AR130" i="5902"/>
  <c r="AR132" i="5902" s="1"/>
  <c r="L130" i="5904"/>
  <c r="L132" i="5904" s="1"/>
  <c r="M118" i="5907"/>
  <c r="M127" i="5907"/>
  <c r="M130" i="5915"/>
  <c r="M132" i="5915" s="1"/>
  <c r="AD118" i="5898"/>
  <c r="AD127" i="5898"/>
  <c r="C85" i="5900"/>
  <c r="C84" i="5900"/>
  <c r="E145" i="5900"/>
  <c r="E120" i="5900"/>
  <c r="E131" i="5900" s="1"/>
  <c r="E128" i="5900"/>
  <c r="E126" i="5900"/>
  <c r="Y118" i="5901"/>
  <c r="Y127" i="5901"/>
  <c r="AQ118" i="5908"/>
  <c r="AQ127" i="5908"/>
  <c r="P145" i="5913"/>
  <c r="P120" i="5913"/>
  <c r="P131" i="5913" s="1"/>
  <c r="P126" i="5913"/>
  <c r="P128" i="5913"/>
  <c r="AK139" i="5916"/>
  <c r="AK140" i="5916" s="1"/>
  <c r="AK143" i="5916" s="1"/>
  <c r="AK142" i="5916"/>
  <c r="AK144" i="5916" s="1"/>
  <c r="AG118" i="5899"/>
  <c r="AG127" i="5899"/>
  <c r="Y118" i="5897"/>
  <c r="Y127" i="5897"/>
  <c r="H118" i="5897"/>
  <c r="H127" i="5897"/>
  <c r="H139" i="5902"/>
  <c r="P128" i="5902"/>
  <c r="P126" i="5902"/>
  <c r="P130" i="5902" s="1"/>
  <c r="P132" i="5902" s="1"/>
  <c r="AE143" i="5905"/>
  <c r="AE139" i="5905"/>
  <c r="AE140" i="5905" s="1"/>
  <c r="AE142" i="5905" s="1"/>
  <c r="AE144" i="5905" s="1"/>
  <c r="F118" i="5907"/>
  <c r="F127" i="5907"/>
  <c r="N145" i="5911"/>
  <c r="N128" i="5911"/>
  <c r="N126" i="5911"/>
  <c r="N130" i="5911" s="1"/>
  <c r="N132" i="5911" s="1"/>
  <c r="N120" i="5911"/>
  <c r="N131" i="5911" s="1"/>
  <c r="I137" i="5915"/>
  <c r="AG128" i="5916"/>
  <c r="AG126" i="5916"/>
  <c r="AI142" i="5909"/>
  <c r="AI144" i="5909" s="1"/>
  <c r="P118" i="5910"/>
  <c r="P127" i="5910"/>
  <c r="AM118" i="5910"/>
  <c r="AM127" i="5910"/>
  <c r="AN126" i="5914"/>
  <c r="AN128" i="5914"/>
  <c r="W128" i="5909"/>
  <c r="W126" i="5909"/>
  <c r="W130" i="5909" s="1"/>
  <c r="W132" i="5909" s="1"/>
  <c r="AJ130" i="5912"/>
  <c r="AJ132" i="5912" s="1"/>
  <c r="AK128" i="5912"/>
  <c r="AK126" i="5912"/>
  <c r="R132" i="5914"/>
  <c r="V143" i="5911"/>
  <c r="V139" i="5911"/>
  <c r="V140" i="5911" s="1"/>
  <c r="V142" i="5911" s="1"/>
  <c r="V144" i="5911" s="1"/>
  <c r="AH143" i="5909"/>
  <c r="E139" i="5916"/>
  <c r="V139" i="5897"/>
  <c r="V140" i="5897" s="1"/>
  <c r="V143" i="5897" s="1"/>
  <c r="V142" i="5897"/>
  <c r="V144" i="5897" s="1"/>
  <c r="S118" i="5898"/>
  <c r="S127" i="5898"/>
  <c r="R139" i="5906"/>
  <c r="AD139" i="5903"/>
  <c r="AD140" i="5903" s="1"/>
  <c r="AD143" i="5903"/>
  <c r="AD142" i="5903"/>
  <c r="AD144" i="5903" s="1"/>
  <c r="AD139" i="5902"/>
  <c r="AD140" i="5902" s="1"/>
  <c r="AD142" i="5902" s="1"/>
  <c r="AD144" i="5902" s="1"/>
  <c r="AF118" i="5907"/>
  <c r="AF127" i="5907"/>
  <c r="M118" i="5910"/>
  <c r="M127" i="5910"/>
  <c r="AD126" i="5917"/>
  <c r="AD130" i="5917" s="1"/>
  <c r="AD132" i="5917" s="1"/>
  <c r="AD128" i="5917"/>
  <c r="AN128" i="5902"/>
  <c r="AN126" i="5902"/>
  <c r="AN130" i="5902" s="1"/>
  <c r="AN132" i="5902" s="1"/>
  <c r="AB118" i="5898"/>
  <c r="AB127" i="5898"/>
  <c r="AC128" i="5909"/>
  <c r="AC126" i="5909"/>
  <c r="AC130" i="5909" s="1"/>
  <c r="AC132" i="5909" s="1"/>
  <c r="U126" i="5909"/>
  <c r="U130" i="5909" s="1"/>
  <c r="U132" i="5909" s="1"/>
  <c r="U128" i="5909"/>
  <c r="U120" i="5909"/>
  <c r="U131" i="5909" s="1"/>
  <c r="R137" i="5902"/>
  <c r="H139" i="5906"/>
  <c r="U139" i="5911"/>
  <c r="U140" i="5911" s="1"/>
  <c r="U142" i="5911" s="1"/>
  <c r="U144" i="5911" s="1"/>
  <c r="P128" i="5904"/>
  <c r="P126" i="5904"/>
  <c r="P130" i="5904" s="1"/>
  <c r="P132" i="5904" s="1"/>
  <c r="X118" i="5897"/>
  <c r="X127" i="5897"/>
  <c r="AR128" i="5917"/>
  <c r="AR126" i="5917"/>
  <c r="AH139" i="5912"/>
  <c r="AH140" i="5912" s="1"/>
  <c r="AH142" i="5912" s="1"/>
  <c r="AH144" i="5912" s="1"/>
  <c r="AH143" i="5912"/>
  <c r="AN143" i="5900"/>
  <c r="AF143" i="5916"/>
  <c r="AF142" i="5916"/>
  <c r="AF144" i="5916" s="1"/>
  <c r="AF139" i="5916"/>
  <c r="AF140" i="5916" s="1"/>
  <c r="AK143" i="5917"/>
  <c r="AK139" i="5917"/>
  <c r="AK140" i="5917" s="1"/>
  <c r="AK142" i="5917" s="1"/>
  <c r="AK144" i="5917" s="1"/>
  <c r="Z126" i="5907"/>
  <c r="Z130" i="5907" s="1"/>
  <c r="Z132" i="5907" s="1"/>
  <c r="Z128" i="5907"/>
  <c r="H137" i="5901"/>
  <c r="Z128" i="5913"/>
  <c r="Z126" i="5913"/>
  <c r="Y127" i="5899"/>
  <c r="Y118" i="5899"/>
  <c r="AB118" i="5899"/>
  <c r="AB127" i="5899"/>
  <c r="N139" i="5904"/>
  <c r="R136" i="5905"/>
  <c r="F136" i="5905"/>
  <c r="J135" i="5905"/>
  <c r="J137" i="5905" s="1"/>
  <c r="L136" i="5905"/>
  <c r="O135" i="5905"/>
  <c r="D143" i="5905"/>
  <c r="K136" i="5905"/>
  <c r="N135" i="5905"/>
  <c r="N137" i="5905" s="1"/>
  <c r="Q136" i="5905"/>
  <c r="G135" i="5905"/>
  <c r="P136" i="5905"/>
  <c r="S135" i="5905"/>
  <c r="F135" i="5905"/>
  <c r="F137" i="5905" s="1"/>
  <c r="O136" i="5905"/>
  <c r="R135" i="5905"/>
  <c r="R137" i="5905" s="1"/>
  <c r="E135" i="5905"/>
  <c r="N136" i="5905"/>
  <c r="Q135" i="5905"/>
  <c r="Q139" i="5905" s="1"/>
  <c r="K135" i="5905"/>
  <c r="K137" i="5905" s="1"/>
  <c r="S136" i="5905"/>
  <c r="I135" i="5905"/>
  <c r="M136" i="5905"/>
  <c r="H135" i="5905"/>
  <c r="H137" i="5905" s="1"/>
  <c r="J136" i="5905"/>
  <c r="I136" i="5905"/>
  <c r="H136" i="5905"/>
  <c r="G136" i="5905"/>
  <c r="E136" i="5905"/>
  <c r="P135" i="5905"/>
  <c r="M135" i="5905"/>
  <c r="M137" i="5905" s="1"/>
  <c r="L135" i="5905"/>
  <c r="K118" i="5907"/>
  <c r="K127" i="5907"/>
  <c r="R128" i="5911"/>
  <c r="R126" i="5911"/>
  <c r="R130" i="5911" s="1"/>
  <c r="R132" i="5911" s="1"/>
  <c r="AR139" i="5914"/>
  <c r="AR140" i="5914" s="1"/>
  <c r="AR142" i="5914" s="1"/>
  <c r="AR144" i="5914" s="1"/>
  <c r="R118" i="5907"/>
  <c r="R127" i="5907"/>
  <c r="P128" i="5901"/>
  <c r="P126" i="5901"/>
  <c r="Y130" i="5904"/>
  <c r="Y132" i="5904" s="1"/>
  <c r="I137" i="5898"/>
  <c r="O118" i="5898"/>
  <c r="O127" i="5898"/>
  <c r="AP118" i="5899"/>
  <c r="AP127" i="5899"/>
  <c r="I118" i="5908"/>
  <c r="I127" i="5908"/>
  <c r="E145" i="5914"/>
  <c r="C151" i="5914" s="1"/>
  <c r="C84" i="5914"/>
  <c r="C85" i="5914"/>
  <c r="E128" i="5914"/>
  <c r="E126" i="5914"/>
  <c r="E130" i="5914" s="1"/>
  <c r="E120" i="5914"/>
  <c r="E131" i="5914" s="1"/>
  <c r="AR118" i="5899"/>
  <c r="AR127" i="5899"/>
  <c r="AP128" i="5905"/>
  <c r="AP126" i="5905"/>
  <c r="AE139" i="5902"/>
  <c r="AE140" i="5902" s="1"/>
  <c r="AE142" i="5902" s="1"/>
  <c r="AE144" i="5902" s="1"/>
  <c r="AD143" i="5904"/>
  <c r="AD139" i="5904"/>
  <c r="AD140" i="5904" s="1"/>
  <c r="AD142" i="5904" s="1"/>
  <c r="AD144" i="5904" s="1"/>
  <c r="G118" i="5903"/>
  <c r="G127" i="5903"/>
  <c r="V130" i="5906"/>
  <c r="V132" i="5906" s="1"/>
  <c r="J137" i="5906"/>
  <c r="N132" i="5909"/>
  <c r="M137" i="5907"/>
  <c r="AK118" i="5907"/>
  <c r="AK127" i="5907"/>
  <c r="L137" i="5910"/>
  <c r="S137" i="5911"/>
  <c r="I137" i="5911"/>
  <c r="R137" i="5911"/>
  <c r="G137" i="5909"/>
  <c r="Q128" i="5915"/>
  <c r="Q126" i="5915"/>
  <c r="R118" i="5898"/>
  <c r="R127" i="5898"/>
  <c r="M145" i="5901"/>
  <c r="M128" i="5901"/>
  <c r="M126" i="5901"/>
  <c r="M130" i="5901" s="1"/>
  <c r="M120" i="5901"/>
  <c r="M131" i="5901" s="1"/>
  <c r="V128" i="5908"/>
  <c r="V126" i="5908"/>
  <c r="F118" i="5898"/>
  <c r="F127" i="5898"/>
  <c r="AR118" i="5907"/>
  <c r="AR127" i="5907"/>
  <c r="AD139" i="5916"/>
  <c r="AD140" i="5916" s="1"/>
  <c r="AD143" i="5916" s="1"/>
  <c r="AL128" i="5916"/>
  <c r="AL126" i="5916"/>
  <c r="AL130" i="5916" s="1"/>
  <c r="AL132" i="5916" s="1"/>
  <c r="R128" i="5902"/>
  <c r="R126" i="5902"/>
  <c r="R130" i="5902" s="1"/>
  <c r="R132" i="5902" s="1"/>
  <c r="W118" i="5898"/>
  <c r="W127" i="5898"/>
  <c r="AP118" i="5901"/>
  <c r="AP127" i="5901"/>
  <c r="AQ143" i="5905"/>
  <c r="AQ139" i="5905"/>
  <c r="AQ140" i="5905" s="1"/>
  <c r="AQ142" i="5905" s="1"/>
  <c r="AQ144" i="5905" s="1"/>
  <c r="AF128" i="5906"/>
  <c r="AF126" i="5906"/>
  <c r="AF130" i="5906" s="1"/>
  <c r="AF132" i="5906" s="1"/>
  <c r="AH118" i="5908"/>
  <c r="AH127" i="5908"/>
  <c r="AL126" i="5914"/>
  <c r="AL130" i="5914" s="1"/>
  <c r="AL132" i="5914" s="1"/>
  <c r="AL128" i="5914"/>
  <c r="N127" i="5897"/>
  <c r="N118" i="5897"/>
  <c r="AR118" i="5897"/>
  <c r="AR127" i="5897"/>
  <c r="N118" i="5908"/>
  <c r="N127" i="5908"/>
  <c r="F137" i="5916"/>
  <c r="L137" i="5916"/>
  <c r="AM139" i="5913"/>
  <c r="AM140" i="5913" s="1"/>
  <c r="AM143" i="5913" s="1"/>
  <c r="P137" i="5915"/>
  <c r="J137" i="5915"/>
  <c r="AF139" i="5914"/>
  <c r="AF140" i="5914" s="1"/>
  <c r="AF142" i="5914" s="1"/>
  <c r="AF144" i="5914" s="1"/>
  <c r="Y118" i="5910"/>
  <c r="Y127" i="5910"/>
  <c r="J130" i="5914"/>
  <c r="J132" i="5914" s="1"/>
  <c r="S145" i="5908"/>
  <c r="S120" i="5908"/>
  <c r="S131" i="5908" s="1"/>
  <c r="S128" i="5908"/>
  <c r="S126" i="5908"/>
  <c r="S130" i="5908" s="1"/>
  <c r="S132" i="5908" s="1"/>
  <c r="P139" i="5915"/>
  <c r="K132" i="5916"/>
  <c r="AC130" i="5912"/>
  <c r="AC132" i="5912" s="1"/>
  <c r="Q145" i="5917"/>
  <c r="Q128" i="5917"/>
  <c r="Q120" i="5917"/>
  <c r="Q131" i="5917" s="1"/>
  <c r="Q126" i="5917"/>
  <c r="Q130" i="5917" s="1"/>
  <c r="Q132" i="5917" s="1"/>
  <c r="Z128" i="5912"/>
  <c r="Z126" i="5912"/>
  <c r="Z130" i="5912" s="1"/>
  <c r="Z132" i="5912" s="1"/>
  <c r="AP139" i="5916"/>
  <c r="AP140" i="5916" s="1"/>
  <c r="AP143" i="5916" s="1"/>
  <c r="N139" i="5917"/>
  <c r="Q145" i="5907"/>
  <c r="Q120" i="5907"/>
  <c r="Q131" i="5907" s="1"/>
  <c r="H130" i="5909"/>
  <c r="H132" i="5909" s="1"/>
  <c r="S126" i="5913"/>
  <c r="S130" i="5913" s="1"/>
  <c r="S145" i="5914"/>
  <c r="S120" i="5914"/>
  <c r="S131" i="5914" s="1"/>
  <c r="S126" i="5914"/>
  <c r="S130" i="5914" s="1"/>
  <c r="S132" i="5914" s="1"/>
  <c r="L130" i="5910"/>
  <c r="L132" i="5910" s="1"/>
  <c r="AC139" i="5915"/>
  <c r="AC140" i="5915" s="1"/>
  <c r="AC142" i="5915" s="1"/>
  <c r="AC144" i="5915" s="1"/>
  <c r="S145" i="5917"/>
  <c r="S120" i="5917"/>
  <c r="S131" i="5917" s="1"/>
  <c r="K137" i="5914"/>
  <c r="P137" i="5914"/>
  <c r="V118" i="5898"/>
  <c r="V127" i="5898"/>
  <c r="AH118" i="5907"/>
  <c r="AH127" i="5907"/>
  <c r="I139" i="5906"/>
  <c r="O118" i="5907"/>
  <c r="O127" i="5907"/>
  <c r="Q128" i="5913"/>
  <c r="Q126" i="5913"/>
  <c r="Q130" i="5913" s="1"/>
  <c r="Q132" i="5913" s="1"/>
  <c r="AB118" i="5907"/>
  <c r="AB127" i="5907"/>
  <c r="AJ139" i="5902"/>
  <c r="AJ140" i="5902" s="1"/>
  <c r="AJ143" i="5902" s="1"/>
  <c r="N118" i="5898"/>
  <c r="N127" i="5898"/>
  <c r="L128" i="5913"/>
  <c r="L126" i="5913"/>
  <c r="L130" i="5913" s="1"/>
  <c r="L132" i="5913" s="1"/>
  <c r="AA139" i="5905"/>
  <c r="AA140" i="5905" s="1"/>
  <c r="AA142" i="5905"/>
  <c r="AA144" i="5905" s="1"/>
  <c r="AA143" i="5905"/>
  <c r="R145" i="5912"/>
  <c r="R120" i="5912"/>
  <c r="R131" i="5912" s="1"/>
  <c r="H145" i="5915"/>
  <c r="H120" i="5915"/>
  <c r="H131" i="5915" s="1"/>
  <c r="H145" i="5914"/>
  <c r="H120" i="5914"/>
  <c r="H131" i="5914" s="1"/>
  <c r="AN128" i="5917"/>
  <c r="AN126" i="5917"/>
  <c r="AO126" i="5912"/>
  <c r="AO130" i="5912" s="1"/>
  <c r="AO132" i="5912" s="1"/>
  <c r="AO128" i="5912"/>
  <c r="AE126" i="5917"/>
  <c r="AE128" i="5917"/>
  <c r="AN118" i="5899"/>
  <c r="AN127" i="5899"/>
  <c r="Q128" i="5902"/>
  <c r="Q126" i="5902"/>
  <c r="Q130" i="5902" s="1"/>
  <c r="Q132" i="5902" s="1"/>
  <c r="V128" i="5903"/>
  <c r="V126" i="5903"/>
  <c r="V130" i="5903" s="1"/>
  <c r="V132" i="5903" s="1"/>
  <c r="Q128" i="5906"/>
  <c r="Q126" i="5906"/>
  <c r="H128" i="5911"/>
  <c r="H126" i="5911"/>
  <c r="R118" i="5899"/>
  <c r="R127" i="5899"/>
  <c r="AK128" i="5915"/>
  <c r="AK126" i="5915"/>
  <c r="AK130" i="5915" s="1"/>
  <c r="AK132" i="5915" s="1"/>
  <c r="C159" i="5897"/>
  <c r="C160" i="5897" s="1"/>
  <c r="E118" i="5897"/>
  <c r="E127" i="5897"/>
  <c r="AE118" i="5910"/>
  <c r="AE127" i="5910"/>
  <c r="AO118" i="5910"/>
  <c r="AO127" i="5910"/>
  <c r="AA128" i="5910"/>
  <c r="AA126" i="5910"/>
  <c r="AA130" i="5910" s="1"/>
  <c r="AA132" i="5910" s="1"/>
  <c r="D144" i="5913"/>
  <c r="AB126" i="5917"/>
  <c r="AB128" i="5917"/>
  <c r="T142" i="5914"/>
  <c r="T144" i="5914" s="1"/>
  <c r="T139" i="5914"/>
  <c r="T140" i="5914" s="1"/>
  <c r="T143" i="5914"/>
  <c r="AM143" i="5906"/>
  <c r="F128" i="5911"/>
  <c r="F126" i="5911"/>
  <c r="F130" i="5911" s="1"/>
  <c r="F132" i="5911" s="1"/>
  <c r="T128" i="5913"/>
  <c r="T126" i="5913"/>
  <c r="T130" i="5913" s="1"/>
  <c r="T132" i="5913" s="1"/>
  <c r="S139" i="5906"/>
  <c r="AQ118" i="5898"/>
  <c r="AQ127" i="5898"/>
  <c r="O130" i="5899"/>
  <c r="O132" i="5899" s="1"/>
  <c r="W118" i="5897"/>
  <c r="W127" i="5897"/>
  <c r="E137" i="5901"/>
  <c r="S130" i="5904"/>
  <c r="S132" i="5904" s="1"/>
  <c r="AO118" i="5907"/>
  <c r="AO127" i="5907"/>
  <c r="AA139" i="5915"/>
  <c r="AA140" i="5915" s="1"/>
  <c r="AA142" i="5915" s="1"/>
  <c r="AA144" i="5915" s="1"/>
  <c r="AA118" i="5899"/>
  <c r="AA127" i="5899"/>
  <c r="R137" i="5904"/>
  <c r="AN118" i="5898"/>
  <c r="AN127" i="5898"/>
  <c r="P118" i="5899"/>
  <c r="P127" i="5899"/>
  <c r="U139" i="5902"/>
  <c r="U140" i="5902" s="1"/>
  <c r="U142" i="5902" s="1"/>
  <c r="U144" i="5902" s="1"/>
  <c r="V128" i="5905"/>
  <c r="V126" i="5905"/>
  <c r="I139" i="5914"/>
  <c r="AP128" i="5917"/>
  <c r="AP126" i="5917"/>
  <c r="Y130" i="5917"/>
  <c r="Y132" i="5917" s="1"/>
  <c r="E145" i="5909"/>
  <c r="C85" i="5909"/>
  <c r="E128" i="5909"/>
  <c r="E120" i="5909"/>
  <c r="E131" i="5909" s="1"/>
  <c r="E126" i="5909"/>
  <c r="AD118" i="5907"/>
  <c r="AD127" i="5907"/>
  <c r="AF130" i="5900"/>
  <c r="AF132" i="5900" s="1"/>
  <c r="P127" i="5901"/>
  <c r="AQ139" i="5906"/>
  <c r="AQ140" i="5906" s="1"/>
  <c r="AQ142" i="5906" s="1"/>
  <c r="AQ144" i="5906" s="1"/>
  <c r="N137" i="5908"/>
  <c r="J137" i="5898"/>
  <c r="P137" i="5898"/>
  <c r="H137" i="5898"/>
  <c r="AD118" i="5899"/>
  <c r="AD127" i="5899"/>
  <c r="AQ130" i="5902"/>
  <c r="AQ132" i="5902" s="1"/>
  <c r="K139" i="5906"/>
  <c r="AN130" i="5909"/>
  <c r="AN132" i="5909" s="1"/>
  <c r="H145" i="5913"/>
  <c r="H120" i="5913"/>
  <c r="H131" i="5913" s="1"/>
  <c r="H128" i="5913"/>
  <c r="H126" i="5913"/>
  <c r="H130" i="5913" s="1"/>
  <c r="W128" i="5913"/>
  <c r="W126" i="5913"/>
  <c r="W130" i="5913" s="1"/>
  <c r="W132" i="5913" s="1"/>
  <c r="F139" i="5904"/>
  <c r="M132" i="5903"/>
  <c r="AC118" i="5908"/>
  <c r="AC127" i="5908"/>
  <c r="AQ126" i="5911"/>
  <c r="AQ128" i="5911"/>
  <c r="L145" i="5915"/>
  <c r="L128" i="5915"/>
  <c r="L120" i="5915"/>
  <c r="L131" i="5915" s="1"/>
  <c r="L126" i="5915"/>
  <c r="L130" i="5915" s="1"/>
  <c r="L132" i="5915" s="1"/>
  <c r="J128" i="5898"/>
  <c r="J126" i="5898"/>
  <c r="Q145" i="5903"/>
  <c r="Q120" i="5903"/>
  <c r="Q131" i="5903" s="1"/>
  <c r="AH126" i="5905"/>
  <c r="AH130" i="5905" s="1"/>
  <c r="AH132" i="5905" s="1"/>
  <c r="AH128" i="5905"/>
  <c r="P137" i="5906"/>
  <c r="H118" i="5907"/>
  <c r="H127" i="5907"/>
  <c r="AI126" i="5911"/>
  <c r="AI130" i="5911" s="1"/>
  <c r="AI132" i="5911" s="1"/>
  <c r="AI128" i="5911"/>
  <c r="H137" i="5909"/>
  <c r="J128" i="5915"/>
  <c r="J126" i="5915"/>
  <c r="L118" i="5898"/>
  <c r="L127" i="5898"/>
  <c r="AG128" i="5900"/>
  <c r="AG126" i="5900"/>
  <c r="AO130" i="5902"/>
  <c r="AO132" i="5902" s="1"/>
  <c r="AO142" i="5904"/>
  <c r="AO144" i="5904" s="1"/>
  <c r="AO139" i="5904"/>
  <c r="AO140" i="5904" s="1"/>
  <c r="AO143" i="5904"/>
  <c r="L128" i="5909"/>
  <c r="L126" i="5909"/>
  <c r="L130" i="5909" s="1"/>
  <c r="L132" i="5909" s="1"/>
  <c r="AI118" i="5898"/>
  <c r="AI127" i="5898"/>
  <c r="S137" i="5902"/>
  <c r="S142" i="5902" s="1"/>
  <c r="S144" i="5902" s="1"/>
  <c r="F127" i="5908"/>
  <c r="AD143" i="5913"/>
  <c r="AD139" i="5913"/>
  <c r="AD140" i="5913" s="1"/>
  <c r="AD142" i="5913"/>
  <c r="AD144" i="5913" s="1"/>
  <c r="AH130" i="5916"/>
  <c r="AH132" i="5916" s="1"/>
  <c r="J118" i="5901"/>
  <c r="J127" i="5901"/>
  <c r="T120" i="5905"/>
  <c r="T131" i="5905" s="1"/>
  <c r="T126" i="5905"/>
  <c r="T130" i="5905" s="1"/>
  <c r="T128" i="5905"/>
  <c r="K118" i="5908"/>
  <c r="K127" i="5908"/>
  <c r="T139" i="5915"/>
  <c r="T140" i="5915" s="1"/>
  <c r="T143" i="5915" s="1"/>
  <c r="M140" i="5916"/>
  <c r="M143" i="5916" s="1"/>
  <c r="AK126" i="5902"/>
  <c r="AK130" i="5902" s="1"/>
  <c r="AK132" i="5902" s="1"/>
  <c r="AK128" i="5902"/>
  <c r="J128" i="5900"/>
  <c r="J126" i="5900"/>
  <c r="P118" i="5897"/>
  <c r="P127" i="5897"/>
  <c r="T127" i="5897"/>
  <c r="T118" i="5897"/>
  <c r="L118" i="5897"/>
  <c r="L127" i="5897"/>
  <c r="AM142" i="5905"/>
  <c r="AM144" i="5905" s="1"/>
  <c r="AM139" i="5905"/>
  <c r="AM140" i="5905" s="1"/>
  <c r="AM143" i="5905"/>
  <c r="AR126" i="5906"/>
  <c r="AR128" i="5906"/>
  <c r="AE118" i="5908"/>
  <c r="AE127" i="5908"/>
  <c r="AF128" i="5912"/>
  <c r="AF126" i="5912"/>
  <c r="P137" i="5916"/>
  <c r="H126" i="5915"/>
  <c r="S137" i="5915"/>
  <c r="AA128" i="5907"/>
  <c r="AA126" i="5907"/>
  <c r="AM142" i="5914"/>
  <c r="AM144" i="5914" s="1"/>
  <c r="AQ118" i="5910"/>
  <c r="AQ127" i="5910"/>
  <c r="AR118" i="5910"/>
  <c r="AR127" i="5910"/>
  <c r="J145" i="5910"/>
  <c r="J120" i="5910"/>
  <c r="J131" i="5910" s="1"/>
  <c r="W126" i="5910"/>
  <c r="W130" i="5910" s="1"/>
  <c r="W132" i="5910" s="1"/>
  <c r="W128" i="5910"/>
  <c r="K130" i="5917"/>
  <c r="K132" i="5917" s="1"/>
  <c r="AN126" i="5916"/>
  <c r="AN130" i="5916" s="1"/>
  <c r="AN132" i="5916" s="1"/>
  <c r="AN128" i="5916"/>
  <c r="AR126" i="5909"/>
  <c r="AR130" i="5909" s="1"/>
  <c r="AR132" i="5909" s="1"/>
  <c r="AJ128" i="5914"/>
  <c r="AJ126" i="5914"/>
  <c r="L132" i="5912"/>
  <c r="O137" i="5914"/>
  <c r="AK127" i="5899"/>
  <c r="AK118" i="5899"/>
  <c r="J118" i="5908"/>
  <c r="J127" i="5908"/>
  <c r="AG139" i="5902"/>
  <c r="AG140" i="5902" s="1"/>
  <c r="AG143" i="5902" s="1"/>
  <c r="X143" i="5906"/>
  <c r="X139" i="5906"/>
  <c r="X140" i="5906" s="1"/>
  <c r="X142" i="5906" s="1"/>
  <c r="X144" i="5906" s="1"/>
  <c r="U143" i="5897"/>
  <c r="U139" i="5897"/>
  <c r="U140" i="5897" s="1"/>
  <c r="U142" i="5897"/>
  <c r="U144" i="5897" s="1"/>
  <c r="G139" i="5900"/>
  <c r="V143" i="5904"/>
  <c r="V139" i="5904"/>
  <c r="V140" i="5904" s="1"/>
  <c r="V142" i="5904" s="1"/>
  <c r="V144" i="5904" s="1"/>
  <c r="AM142" i="5901"/>
  <c r="AM144" i="5901" s="1"/>
  <c r="AM143" i="5901"/>
  <c r="AM139" i="5901"/>
  <c r="AM140" i="5901" s="1"/>
  <c r="Y139" i="5900"/>
  <c r="Y140" i="5900" s="1"/>
  <c r="Y143" i="5900" s="1"/>
  <c r="Y142" i="5900"/>
  <c r="Y144" i="5900" s="1"/>
  <c r="AG118" i="5898"/>
  <c r="AG127" i="5898"/>
  <c r="X130" i="5902"/>
  <c r="X132" i="5902" s="1"/>
  <c r="Z139" i="5902"/>
  <c r="Z140" i="5902" s="1"/>
  <c r="Z143" i="5902" s="1"/>
  <c r="AQ118" i="5907"/>
  <c r="AQ127" i="5907"/>
  <c r="AA139" i="5914"/>
  <c r="AA140" i="5914" s="1"/>
  <c r="AA143" i="5914" s="1"/>
  <c r="P128" i="5909"/>
  <c r="P126" i="5909"/>
  <c r="S118" i="5899"/>
  <c r="S127" i="5899"/>
  <c r="AQ139" i="5904"/>
  <c r="AQ140" i="5904" s="1"/>
  <c r="AQ142" i="5904" s="1"/>
  <c r="AQ144" i="5904" s="1"/>
  <c r="N139" i="5906"/>
  <c r="F139" i="5900"/>
  <c r="F139" i="5909"/>
  <c r="K145" i="5899"/>
  <c r="K120" i="5899"/>
  <c r="K131" i="5899" s="1"/>
  <c r="Y118" i="5908"/>
  <c r="Y127" i="5908"/>
  <c r="AB118" i="5901"/>
  <c r="AB127" i="5901"/>
  <c r="AJ118" i="5907"/>
  <c r="AJ127" i="5907"/>
  <c r="J139" i="5911"/>
  <c r="AF118" i="5897"/>
  <c r="AF127" i="5897"/>
  <c r="AO118" i="5897"/>
  <c r="AO127" i="5897"/>
  <c r="AC118" i="5897"/>
  <c r="AC127" i="5897"/>
  <c r="I145" i="5900"/>
  <c r="I126" i="5900"/>
  <c r="I120" i="5900"/>
  <c r="I131" i="5900" s="1"/>
  <c r="I128" i="5900"/>
  <c r="G118" i="5907"/>
  <c r="G127" i="5907"/>
  <c r="Z139" i="5909"/>
  <c r="Z140" i="5909" s="1"/>
  <c r="Z143" i="5909" s="1"/>
  <c r="AR128" i="5913"/>
  <c r="AR126" i="5913"/>
  <c r="AR130" i="5913" s="1"/>
  <c r="AR132" i="5913" s="1"/>
  <c r="Q137" i="5916"/>
  <c r="H128" i="5915"/>
  <c r="AC143" i="5907"/>
  <c r="AC142" i="5907"/>
  <c r="AC144" i="5907" s="1"/>
  <c r="AC139" i="5907"/>
  <c r="AC140" i="5907" s="1"/>
  <c r="X118" i="5910"/>
  <c r="X127" i="5910"/>
  <c r="C159" i="5910"/>
  <c r="C160" i="5910" s="1"/>
  <c r="E118" i="5910"/>
  <c r="E127" i="5910"/>
  <c r="Z118" i="5910"/>
  <c r="Z127" i="5910"/>
  <c r="AP126" i="5908"/>
  <c r="AP130" i="5908" s="1"/>
  <c r="AP132" i="5908" s="1"/>
  <c r="AP128" i="5908"/>
  <c r="AN128" i="5915"/>
  <c r="AN126" i="5915"/>
  <c r="AN130" i="5915" s="1"/>
  <c r="AN132" i="5915" s="1"/>
  <c r="K136" i="5912"/>
  <c r="O135" i="5912"/>
  <c r="O137" i="5912" s="1"/>
  <c r="H136" i="5912"/>
  <c r="L135" i="5912"/>
  <c r="R136" i="5912"/>
  <c r="F136" i="5912"/>
  <c r="J135" i="5912"/>
  <c r="O136" i="5912"/>
  <c r="S135" i="5912"/>
  <c r="S137" i="5912" s="1"/>
  <c r="G135" i="5912"/>
  <c r="N136" i="5912"/>
  <c r="R135" i="5912"/>
  <c r="R137" i="5912" s="1"/>
  <c r="F135" i="5912"/>
  <c r="F137" i="5912" s="1"/>
  <c r="D143" i="5912"/>
  <c r="M136" i="5912"/>
  <c r="Q135" i="5912"/>
  <c r="Q137" i="5912" s="1"/>
  <c r="E135" i="5912"/>
  <c r="I136" i="5912"/>
  <c r="N135" i="5912"/>
  <c r="Q136" i="5912"/>
  <c r="I135" i="5912"/>
  <c r="I137" i="5912" s="1"/>
  <c r="P136" i="5912"/>
  <c r="H135" i="5912"/>
  <c r="H137" i="5912" s="1"/>
  <c r="L136" i="5912"/>
  <c r="S136" i="5912"/>
  <c r="J136" i="5912"/>
  <c r="G136" i="5912"/>
  <c r="E136" i="5912"/>
  <c r="P135" i="5912"/>
  <c r="M135" i="5912"/>
  <c r="K135" i="5912"/>
  <c r="L145" i="5917"/>
  <c r="L126" i="5917"/>
  <c r="L120" i="5917"/>
  <c r="L131" i="5917" s="1"/>
  <c r="L128" i="5917"/>
  <c r="L145" i="5907"/>
  <c r="L120" i="5907"/>
  <c r="L131" i="5907" s="1"/>
  <c r="L132" i="5907" s="1"/>
  <c r="M139" i="5909"/>
  <c r="AP126" i="5913"/>
  <c r="AP130" i="5913" s="1"/>
  <c r="AP132" i="5913" s="1"/>
  <c r="AP128" i="5913"/>
  <c r="AF143" i="5915"/>
  <c r="AF139" i="5915"/>
  <c r="AF140" i="5915" s="1"/>
  <c r="AF142" i="5915"/>
  <c r="AF144" i="5915" s="1"/>
  <c r="AE126" i="5907"/>
  <c r="AE128" i="5907"/>
  <c r="N128" i="5915"/>
  <c r="N126" i="5915"/>
  <c r="Y118" i="5903"/>
  <c r="Y127" i="5903"/>
  <c r="AD126" i="5905"/>
  <c r="AD130" i="5905" s="1"/>
  <c r="AD132" i="5905" s="1"/>
  <c r="AD128" i="5905"/>
  <c r="AF118" i="5898"/>
  <c r="AF127" i="5898"/>
  <c r="Y118" i="5898"/>
  <c r="Y127" i="5898"/>
  <c r="AE118" i="5897"/>
  <c r="AE127" i="5897"/>
  <c r="O139" i="5916"/>
  <c r="Q132" i="5907"/>
  <c r="M118" i="5899"/>
  <c r="M127" i="5899"/>
  <c r="AD139" i="5912"/>
  <c r="AD140" i="5912" s="1"/>
  <c r="AD143" i="5912" s="1"/>
  <c r="K130" i="5897"/>
  <c r="K132" i="5897" s="1"/>
  <c r="M139" i="5908"/>
  <c r="I137" i="5909"/>
  <c r="N137" i="5898"/>
  <c r="G128" i="5898"/>
  <c r="G126" i="5898"/>
  <c r="G130" i="5898" s="1"/>
  <c r="G132" i="5898" s="1"/>
  <c r="M145" i="5912"/>
  <c r="M128" i="5912"/>
  <c r="M120" i="5912"/>
  <c r="M131" i="5912" s="1"/>
  <c r="M126" i="5912"/>
  <c r="M130" i="5912" s="1"/>
  <c r="AA139" i="5903"/>
  <c r="AA140" i="5903" s="1"/>
  <c r="AA142" i="5903" s="1"/>
  <c r="AA144" i="5903" s="1"/>
  <c r="AA143" i="5903"/>
  <c r="R139" i="5909"/>
  <c r="AP142" i="5902"/>
  <c r="AP144" i="5902" s="1"/>
  <c r="AP143" i="5902"/>
  <c r="AP139" i="5902"/>
  <c r="AP140" i="5902" s="1"/>
  <c r="T128" i="5906"/>
  <c r="T126" i="5906"/>
  <c r="AE126" i="5903"/>
  <c r="AE130" i="5903" s="1"/>
  <c r="AE132" i="5903" s="1"/>
  <c r="AE128" i="5903"/>
  <c r="F128" i="5908"/>
  <c r="F126" i="5908"/>
  <c r="F130" i="5908" s="1"/>
  <c r="F132" i="5908" s="1"/>
  <c r="O145" i="5917"/>
  <c r="O120" i="5917"/>
  <c r="O131" i="5917" s="1"/>
  <c r="O126" i="5917"/>
  <c r="O128" i="5917"/>
  <c r="G137" i="5901"/>
  <c r="T139" i="5904"/>
  <c r="T140" i="5904" s="1"/>
  <c r="T142" i="5904" s="1"/>
  <c r="T144" i="5904" s="1"/>
  <c r="K137" i="5904"/>
  <c r="AK139" i="5908"/>
  <c r="AK140" i="5908" s="1"/>
  <c r="AK142" i="5908" s="1"/>
  <c r="AK144" i="5908" s="1"/>
  <c r="Z118" i="5901"/>
  <c r="Z127" i="5901"/>
  <c r="Z143" i="5906"/>
  <c r="Z139" i="5906"/>
  <c r="Z140" i="5906" s="1"/>
  <c r="Z142" i="5906"/>
  <c r="Z144" i="5906" s="1"/>
  <c r="AP118" i="5909"/>
  <c r="AP127" i="5909"/>
  <c r="AK139" i="5913"/>
  <c r="AK140" i="5913" s="1"/>
  <c r="AK142" i="5913" s="1"/>
  <c r="AK144" i="5913" s="1"/>
  <c r="AB128" i="5915"/>
  <c r="AB126" i="5915"/>
  <c r="AO126" i="5917"/>
  <c r="AO130" i="5917" s="1"/>
  <c r="AO132" i="5917" s="1"/>
  <c r="AO128" i="5917"/>
  <c r="G139" i="5917"/>
  <c r="S118" i="5907"/>
  <c r="S127" i="5907"/>
  <c r="S130" i="5901"/>
  <c r="S132" i="5901" s="1"/>
  <c r="S139" i="5903"/>
  <c r="AG143" i="5904"/>
  <c r="AG139" i="5904"/>
  <c r="AG140" i="5904" s="1"/>
  <c r="AG142" i="5904" s="1"/>
  <c r="AG144" i="5904" s="1"/>
  <c r="D144" i="5905"/>
  <c r="S137" i="5908"/>
  <c r="E137" i="5898"/>
  <c r="C85" i="5902"/>
  <c r="C84" i="5902"/>
  <c r="E145" i="5902"/>
  <c r="C151" i="5902" s="1"/>
  <c r="E128" i="5902"/>
  <c r="E126" i="5902"/>
  <c r="E130" i="5902" s="1"/>
  <c r="E132" i="5902" s="1"/>
  <c r="E120" i="5902"/>
  <c r="E131" i="5902" s="1"/>
  <c r="AM142" i="5904"/>
  <c r="AM144" i="5904" s="1"/>
  <c r="AI126" i="5904"/>
  <c r="AI128" i="5904"/>
  <c r="AN118" i="5908"/>
  <c r="AN127" i="5908"/>
  <c r="AQ139" i="5913"/>
  <c r="AQ140" i="5913" s="1"/>
  <c r="AQ143" i="5913" s="1"/>
  <c r="AQ142" i="5913"/>
  <c r="AQ144" i="5913" s="1"/>
  <c r="AG139" i="5914"/>
  <c r="AG140" i="5914" s="1"/>
  <c r="AG142" i="5914" s="1"/>
  <c r="AG144" i="5914" s="1"/>
  <c r="G127" i="5898"/>
  <c r="W128" i="5903"/>
  <c r="W126" i="5903"/>
  <c r="Q139" i="5904"/>
  <c r="L139" i="5908"/>
  <c r="W128" i="5914"/>
  <c r="W126" i="5914"/>
  <c r="W130" i="5914" s="1"/>
  <c r="W132" i="5914" s="1"/>
  <c r="L137" i="5906"/>
  <c r="N137" i="5907"/>
  <c r="AH139" i="5913"/>
  <c r="AH140" i="5913" s="1"/>
  <c r="AH143" i="5913" s="1"/>
  <c r="H128" i="5914"/>
  <c r="U118" i="5898"/>
  <c r="U127" i="5898"/>
  <c r="E145" i="5908"/>
  <c r="E120" i="5908"/>
  <c r="E131" i="5908" s="1"/>
  <c r="C84" i="5908"/>
  <c r="E128" i="5908"/>
  <c r="E126" i="5908"/>
  <c r="E130" i="5908" s="1"/>
  <c r="E132" i="5908" s="1"/>
  <c r="AE139" i="5900"/>
  <c r="AE140" i="5900" s="1"/>
  <c r="AE142" i="5900" s="1"/>
  <c r="AE144" i="5900" s="1"/>
  <c r="H137" i="5902"/>
  <c r="AK128" i="5905"/>
  <c r="AK126" i="5905"/>
  <c r="AB142" i="5905"/>
  <c r="AB144" i="5905" s="1"/>
  <c r="AB139" i="5905"/>
  <c r="AB140" i="5905" s="1"/>
  <c r="AB143" i="5905"/>
  <c r="U128" i="5907"/>
  <c r="U126" i="5907"/>
  <c r="O128" i="5914"/>
  <c r="O126" i="5914"/>
  <c r="AB128" i="5902"/>
  <c r="AB126" i="5902"/>
  <c r="L118" i="5901"/>
  <c r="L127" i="5901"/>
  <c r="Q127" i="5903"/>
  <c r="AP130" i="5904"/>
  <c r="AP132" i="5904" s="1"/>
  <c r="V142" i="5914"/>
  <c r="V144" i="5914" s="1"/>
  <c r="V139" i="5914"/>
  <c r="V140" i="5914" s="1"/>
  <c r="V143" i="5914" s="1"/>
  <c r="K128" i="5915"/>
  <c r="K126" i="5915"/>
  <c r="K130" i="5915" s="1"/>
  <c r="K132" i="5915" s="1"/>
  <c r="U118" i="5899"/>
  <c r="U127" i="5899"/>
  <c r="Q127" i="5897"/>
  <c r="Q118" i="5897"/>
  <c r="F118" i="5897"/>
  <c r="F127" i="5897"/>
  <c r="M118" i="5897"/>
  <c r="M127" i="5897"/>
  <c r="AE139" i="5901"/>
  <c r="AE140" i="5901" s="1"/>
  <c r="AE143" i="5901"/>
  <c r="AE142" i="5901"/>
  <c r="AE144" i="5901" s="1"/>
  <c r="G130" i="5902"/>
  <c r="G132" i="5902" s="1"/>
  <c r="X128" i="5909"/>
  <c r="X126" i="5909"/>
  <c r="X130" i="5909" s="1"/>
  <c r="X132" i="5909" s="1"/>
  <c r="P145" i="5909"/>
  <c r="P120" i="5909"/>
  <c r="P131" i="5909" s="1"/>
  <c r="AI118" i="5908"/>
  <c r="AI127" i="5908"/>
  <c r="Y139" i="5909"/>
  <c r="Y140" i="5909" s="1"/>
  <c r="Y143" i="5909" s="1"/>
  <c r="Y142" i="5909"/>
  <c r="Y144" i="5909" s="1"/>
  <c r="K137" i="5915"/>
  <c r="AB118" i="5910"/>
  <c r="AB127" i="5910"/>
  <c r="AF118" i="5910"/>
  <c r="AF127" i="5910"/>
  <c r="K118" i="5910"/>
  <c r="K127" i="5910"/>
  <c r="AE130" i="5912"/>
  <c r="AE132" i="5912" s="1"/>
  <c r="Q145" i="5909"/>
  <c r="Q120" i="5909"/>
  <c r="Q131" i="5909" s="1"/>
  <c r="Q128" i="5909"/>
  <c r="Q126" i="5909"/>
  <c r="AH143" i="5915"/>
  <c r="AH139" i="5915"/>
  <c r="AH140" i="5915" s="1"/>
  <c r="AH142" i="5915"/>
  <c r="AH144" i="5915" s="1"/>
  <c r="AH130" i="5911"/>
  <c r="AH132" i="5911" s="1"/>
  <c r="J128" i="5913"/>
  <c r="J126" i="5913"/>
  <c r="AL143" i="5917"/>
  <c r="AL139" i="5917"/>
  <c r="AL140" i="5917" s="1"/>
  <c r="AL142" i="5917" s="1"/>
  <c r="AL144" i="5917" s="1"/>
  <c r="AN126" i="5910"/>
  <c r="AN128" i="5910"/>
  <c r="AI126" i="5912"/>
  <c r="AI128" i="5912"/>
  <c r="M130" i="5911"/>
  <c r="M132" i="5911" s="1"/>
  <c r="Q137" i="5914"/>
  <c r="AB126" i="5916"/>
  <c r="AB128" i="5916"/>
  <c r="Z118" i="5899"/>
  <c r="Z127" i="5899"/>
  <c r="R139" i="5900"/>
  <c r="D144" i="5902"/>
  <c r="T143" i="5917"/>
  <c r="T139" i="5917"/>
  <c r="T140" i="5917" s="1"/>
  <c r="T142" i="5917"/>
  <c r="T144" i="5917" s="1"/>
  <c r="W128" i="5911"/>
  <c r="W126" i="5911"/>
  <c r="W130" i="5911" s="1"/>
  <c r="W132" i="5911" s="1"/>
  <c r="F118" i="5899"/>
  <c r="F127" i="5899"/>
  <c r="Y126" i="5905"/>
  <c r="Y130" i="5905" s="1"/>
  <c r="Y132" i="5905" s="1"/>
  <c r="Y128" i="5905"/>
  <c r="R118" i="5901"/>
  <c r="R127" i="5901"/>
  <c r="AO128" i="5914"/>
  <c r="AO126" i="5914"/>
  <c r="AO130" i="5914" s="1"/>
  <c r="AO132" i="5914" s="1"/>
  <c r="N139" i="5903"/>
  <c r="AC142" i="5904"/>
  <c r="AC144" i="5904" s="1"/>
  <c r="AC143" i="5904"/>
  <c r="AC139" i="5904"/>
  <c r="AC140" i="5904" s="1"/>
  <c r="AO126" i="5909"/>
  <c r="AO130" i="5909" s="1"/>
  <c r="AO132" i="5909" s="1"/>
  <c r="AO128" i="5909"/>
  <c r="AP118" i="5907"/>
  <c r="AP127" i="5907"/>
  <c r="U128" i="5916"/>
  <c r="U126" i="5916"/>
  <c r="U130" i="5916" s="1"/>
  <c r="U132" i="5916" s="1"/>
  <c r="AC118" i="5902"/>
  <c r="AC127" i="5902"/>
  <c r="AL118" i="5907"/>
  <c r="AL127" i="5907"/>
  <c r="G137" i="5908"/>
  <c r="P118" i="5908"/>
  <c r="P127" i="5908"/>
  <c r="V128" i="5912"/>
  <c r="V126" i="5912"/>
  <c r="V130" i="5912" s="1"/>
  <c r="V132" i="5912" s="1"/>
  <c r="AR118" i="5908"/>
  <c r="AR127" i="5908"/>
  <c r="R118" i="5903"/>
  <c r="R127" i="5903"/>
  <c r="AP139" i="5911"/>
  <c r="AP140" i="5911" s="1"/>
  <c r="AP143" i="5911" s="1"/>
  <c r="J126" i="5917"/>
  <c r="J128" i="5917"/>
  <c r="V143" i="5900"/>
  <c r="V139" i="5900"/>
  <c r="V140" i="5900" s="1"/>
  <c r="V142" i="5900"/>
  <c r="V144" i="5900" s="1"/>
  <c r="Z118" i="5903"/>
  <c r="Z127" i="5903"/>
  <c r="AP139" i="5910"/>
  <c r="AP140" i="5910" s="1"/>
  <c r="AP142" i="5910" s="1"/>
  <c r="AP144" i="5910" s="1"/>
  <c r="E145" i="5913"/>
  <c r="C84" i="5913"/>
  <c r="C85" i="5913"/>
  <c r="E120" i="5913"/>
  <c r="E131" i="5913" s="1"/>
  <c r="E128" i="5913"/>
  <c r="E126" i="5913"/>
  <c r="U142" i="5900"/>
  <c r="U144" i="5900" s="1"/>
  <c r="U139" i="5900"/>
  <c r="U140" i="5900" s="1"/>
  <c r="U143" i="5900"/>
  <c r="U128" i="5908"/>
  <c r="U126" i="5908"/>
  <c r="U130" i="5908" s="1"/>
  <c r="U132" i="5908" s="1"/>
  <c r="N139" i="5914"/>
  <c r="AC130" i="5898"/>
  <c r="AC132" i="5898" s="1"/>
  <c r="AM139" i="5902"/>
  <c r="AM140" i="5902" s="1"/>
  <c r="AM142" i="5902"/>
  <c r="AM144" i="5902" s="1"/>
  <c r="AM143" i="5902"/>
  <c r="AL118" i="5899"/>
  <c r="AL127" i="5899"/>
  <c r="O137" i="5901"/>
  <c r="M137" i="5901"/>
  <c r="S137" i="5901"/>
  <c r="T128" i="5907"/>
  <c r="T126" i="5907"/>
  <c r="G118" i="5908"/>
  <c r="G127" i="5908"/>
  <c r="T128" i="5912"/>
  <c r="T126" i="5912"/>
  <c r="T130" i="5912" s="1"/>
  <c r="T132" i="5912" s="1"/>
  <c r="S137" i="5904"/>
  <c r="O139" i="5906"/>
  <c r="V120" i="5909"/>
  <c r="V131" i="5909" s="1"/>
  <c r="V126" i="5909"/>
  <c r="J128" i="5910"/>
  <c r="J126" i="5910"/>
  <c r="AN130" i="5913"/>
  <c r="AN132" i="5913" s="1"/>
  <c r="I145" i="5909"/>
  <c r="I126" i="5909"/>
  <c r="I128" i="5909"/>
  <c r="I120" i="5909"/>
  <c r="I131" i="5909" s="1"/>
  <c r="AM118" i="5907"/>
  <c r="AM127" i="5907"/>
  <c r="AR143" i="5901"/>
  <c r="AR139" i="5901"/>
  <c r="AR140" i="5901" s="1"/>
  <c r="AR142" i="5901" s="1"/>
  <c r="AR144" i="5901" s="1"/>
  <c r="AL139" i="5906"/>
  <c r="AL140" i="5906" s="1"/>
  <c r="AL143" i="5906" s="1"/>
  <c r="I137" i="5908"/>
  <c r="F137" i="5908"/>
  <c r="K137" i="5898"/>
  <c r="Q137" i="5898"/>
  <c r="I128" i="5903"/>
  <c r="I126" i="5903"/>
  <c r="X128" i="5905"/>
  <c r="X126" i="5905"/>
  <c r="Q130" i="5912"/>
  <c r="Q132" i="5912" s="1"/>
  <c r="AQ139" i="5915"/>
  <c r="AQ140" i="5915" s="1"/>
  <c r="AQ142" i="5915" s="1"/>
  <c r="AQ144" i="5915" s="1"/>
  <c r="AQ143" i="5915"/>
  <c r="N139" i="5900"/>
  <c r="AR130" i="5898"/>
  <c r="AR132" i="5898" s="1"/>
  <c r="AN130" i="5904"/>
  <c r="AN132" i="5904" s="1"/>
  <c r="I118" i="5907"/>
  <c r="I127" i="5907"/>
  <c r="T128" i="5916"/>
  <c r="T126" i="5916"/>
  <c r="O130" i="5905"/>
  <c r="O132" i="5905" s="1"/>
  <c r="AL118" i="5903"/>
  <c r="AL127" i="5903"/>
  <c r="O118" i="5903"/>
  <c r="O127" i="5903"/>
  <c r="G128" i="5905"/>
  <c r="G126" i="5905"/>
  <c r="Q137" i="5906"/>
  <c r="O137" i="5907"/>
  <c r="F137" i="5907"/>
  <c r="N137" i="5910"/>
  <c r="P137" i="5910"/>
  <c r="AC126" i="5911"/>
  <c r="AC128" i="5911"/>
  <c r="K137" i="5911"/>
  <c r="J137" i="5911"/>
  <c r="R137" i="5909"/>
  <c r="L137" i="5909"/>
  <c r="E137" i="5909"/>
  <c r="G132" i="5915"/>
  <c r="Q127" i="5899"/>
  <c r="AA126" i="5913"/>
  <c r="AA130" i="5913" s="1"/>
  <c r="AA132" i="5913" s="1"/>
  <c r="AA128" i="5913"/>
  <c r="U127" i="5907"/>
  <c r="AB128" i="5911"/>
  <c r="AB126" i="5911"/>
  <c r="AB130" i="5911" s="1"/>
  <c r="AB132" i="5911" s="1"/>
  <c r="AP143" i="5914"/>
  <c r="AP139" i="5914"/>
  <c r="AP140" i="5914" s="1"/>
  <c r="AP142" i="5914"/>
  <c r="AP144" i="5914" s="1"/>
  <c r="T118" i="5899"/>
  <c r="T127" i="5899"/>
  <c r="X126" i="5900"/>
  <c r="X130" i="5900" s="1"/>
  <c r="X132" i="5900" s="1"/>
  <c r="X128" i="5900"/>
  <c r="AC118" i="5901"/>
  <c r="AC127" i="5901"/>
  <c r="Q128" i="5903"/>
  <c r="Q126" i="5903"/>
  <c r="Q130" i="5903" s="1"/>
  <c r="Q132" i="5903" s="1"/>
  <c r="AK139" i="5909"/>
  <c r="AK140" i="5909" s="1"/>
  <c r="AK142" i="5909" s="1"/>
  <c r="AK144" i="5909" s="1"/>
  <c r="O118" i="5908"/>
  <c r="O127" i="5908"/>
  <c r="I130" i="5916"/>
  <c r="I132" i="5916" s="1"/>
  <c r="Z118" i="5898"/>
  <c r="Z127" i="5898"/>
  <c r="AJ118" i="5897"/>
  <c r="AJ127" i="5897"/>
  <c r="AP127" i="5897"/>
  <c r="AP118" i="5897"/>
  <c r="AD118" i="5897"/>
  <c r="AD127" i="5897"/>
  <c r="AI142" i="5901"/>
  <c r="AI144" i="5901" s="1"/>
  <c r="AI139" i="5901"/>
  <c r="AI140" i="5901" s="1"/>
  <c r="AI143" i="5901"/>
  <c r="J118" i="5903"/>
  <c r="J127" i="5903"/>
  <c r="AB118" i="5909"/>
  <c r="AB127" i="5909"/>
  <c r="X118" i="5907"/>
  <c r="X127" i="5907"/>
  <c r="K139" i="5914"/>
  <c r="AJ128" i="5915"/>
  <c r="AJ126" i="5915"/>
  <c r="H137" i="5915"/>
  <c r="AH118" i="5910"/>
  <c r="AH127" i="5910"/>
  <c r="AK118" i="5910"/>
  <c r="AK127" i="5910"/>
  <c r="G118" i="5910"/>
  <c r="G127" i="5910"/>
  <c r="U130" i="5917"/>
  <c r="U132" i="5917" s="1"/>
  <c r="Z128" i="5911"/>
  <c r="Z126" i="5911"/>
  <c r="AH139" i="5917"/>
  <c r="AH140" i="5917" s="1"/>
  <c r="AH143" i="5917" s="1"/>
  <c r="AH142" i="5917"/>
  <c r="AH144" i="5917" s="1"/>
  <c r="F130" i="5915"/>
  <c r="F132" i="5915" s="1"/>
  <c r="AC126" i="5913"/>
  <c r="AC130" i="5913" s="1"/>
  <c r="AC132" i="5913" s="1"/>
  <c r="AC128" i="5913"/>
  <c r="AA126" i="5917"/>
  <c r="AA128" i="5917"/>
  <c r="D144" i="5912"/>
  <c r="S145" i="5911"/>
  <c r="S128" i="5911"/>
  <c r="S120" i="5911"/>
  <c r="S131" i="5911" s="1"/>
  <c r="S126" i="5911"/>
  <c r="S130" i="5911" s="1"/>
  <c r="W128" i="5917"/>
  <c r="W126" i="5917"/>
  <c r="AI143" i="5900"/>
  <c r="AM128" i="5915"/>
  <c r="AM130" i="5915" s="1"/>
  <c r="AM132" i="5915" s="1"/>
  <c r="V128" i="5913"/>
  <c r="V126" i="5913"/>
  <c r="V130" i="5913" s="1"/>
  <c r="V132" i="5913" s="1"/>
  <c r="L137" i="5917"/>
  <c r="F137" i="5914"/>
  <c r="J139" i="5904"/>
  <c r="AE139" i="5913"/>
  <c r="AE140" i="5913" s="1"/>
  <c r="AE142" i="5913" s="1"/>
  <c r="AE144" i="5913" s="1"/>
  <c r="AE143" i="5913"/>
  <c r="H118" i="5898"/>
  <c r="H127" i="5898"/>
  <c r="AC139" i="5906"/>
  <c r="AC140" i="5906" s="1"/>
  <c r="AC142" i="5906" s="1"/>
  <c r="AC144" i="5906" s="1"/>
  <c r="AI128" i="5917"/>
  <c r="AI126" i="5917"/>
  <c r="AI130" i="5917" s="1"/>
  <c r="AI132" i="5917" s="1"/>
  <c r="AE118" i="5898"/>
  <c r="AE127" i="5898"/>
  <c r="J118" i="5899"/>
  <c r="J127" i="5899"/>
  <c r="AG139" i="5915"/>
  <c r="AG140" i="5915" s="1"/>
  <c r="AG142" i="5915" s="1"/>
  <c r="AG144" i="5915" s="1"/>
  <c r="P145" i="5907"/>
  <c r="P120" i="5907"/>
  <c r="P131" i="5907" s="1"/>
  <c r="AF139" i="5902"/>
  <c r="AF140" i="5902" s="1"/>
  <c r="AF143" i="5902" s="1"/>
  <c r="AF142" i="5902"/>
  <c r="AF144" i="5902" s="1"/>
  <c r="AI118" i="5903"/>
  <c r="AI127" i="5903"/>
  <c r="R137" i="5907"/>
  <c r="R128" i="5912"/>
  <c r="Q128" i="5899"/>
  <c r="Q126" i="5899"/>
  <c r="Q130" i="5899" s="1"/>
  <c r="AG143" i="5905"/>
  <c r="AG142" i="5905"/>
  <c r="AG144" i="5905" s="1"/>
  <c r="AG139" i="5905"/>
  <c r="AG140" i="5905" s="1"/>
  <c r="AK118" i="5903"/>
  <c r="AK127" i="5903"/>
  <c r="C84" i="5906"/>
  <c r="C86" i="5906" s="1"/>
  <c r="C70" i="5906" s="1"/>
  <c r="X128" i="5908"/>
  <c r="X126" i="5908"/>
  <c r="T128" i="5911"/>
  <c r="T126" i="5911"/>
  <c r="K139" i="5902"/>
  <c r="U143" i="5905"/>
  <c r="U139" i="5905"/>
  <c r="U140" i="5905" s="1"/>
  <c r="U142" i="5905"/>
  <c r="U144" i="5905" s="1"/>
  <c r="AB118" i="5908"/>
  <c r="AB127" i="5908"/>
  <c r="AF143" i="5913"/>
  <c r="AF139" i="5913"/>
  <c r="AF140" i="5913" s="1"/>
  <c r="AF142" i="5913" s="1"/>
  <c r="AF144" i="5913" s="1"/>
  <c r="AO139" i="5915"/>
  <c r="AO140" i="5915" s="1"/>
  <c r="AO143" i="5915" s="1"/>
  <c r="C85" i="5917"/>
  <c r="E145" i="5917"/>
  <c r="C151" i="5917" s="1"/>
  <c r="C84" i="5917"/>
  <c r="E126" i="5917"/>
  <c r="E120" i="5917"/>
  <c r="E131" i="5917" s="1"/>
  <c r="E128" i="5917"/>
  <c r="AJ126" i="5916"/>
  <c r="AJ128" i="5916"/>
  <c r="W126" i="5900"/>
  <c r="W128" i="5900"/>
  <c r="W143" i="5902"/>
  <c r="W139" i="5902"/>
  <c r="W140" i="5902" s="1"/>
  <c r="W142" i="5902"/>
  <c r="W144" i="5902" s="1"/>
  <c r="P145" i="5901"/>
  <c r="P120" i="5901"/>
  <c r="P131" i="5901" s="1"/>
  <c r="AL142" i="5905"/>
  <c r="AL144" i="5905" s="1"/>
  <c r="AL139" i="5905"/>
  <c r="AL140" i="5905" s="1"/>
  <c r="AL143" i="5905"/>
  <c r="R128" i="5908"/>
  <c r="R126" i="5908"/>
  <c r="J139" i="5912"/>
  <c r="I118" i="5898"/>
  <c r="I127" i="5898"/>
  <c r="L128" i="5900"/>
  <c r="L126" i="5900"/>
  <c r="R118" i="5897"/>
  <c r="R127" i="5897"/>
  <c r="G118" i="5897"/>
  <c r="G127" i="5897"/>
  <c r="O118" i="5897"/>
  <c r="O127" i="5897"/>
  <c r="O132" i="5902"/>
  <c r="AB118" i="5903"/>
  <c r="AB127" i="5903"/>
  <c r="P128" i="5907"/>
  <c r="P126" i="5907"/>
  <c r="P130" i="5907" s="1"/>
  <c r="P132" i="5907" s="1"/>
  <c r="G118" i="5909"/>
  <c r="G127" i="5909"/>
  <c r="AE128" i="5915"/>
  <c r="AE126" i="5915"/>
  <c r="AE130" i="5915" s="1"/>
  <c r="AE132" i="5915" s="1"/>
  <c r="F139" i="5917"/>
  <c r="AM143" i="5909"/>
  <c r="AM139" i="5909"/>
  <c r="AM140" i="5909" s="1"/>
  <c r="AM142" i="5909" s="1"/>
  <c r="AM144" i="5909" s="1"/>
  <c r="AN128" i="5912"/>
  <c r="AN126" i="5912"/>
  <c r="AN130" i="5912" s="1"/>
  <c r="AN132" i="5912" s="1"/>
  <c r="AD143" i="5914"/>
  <c r="AD139" i="5914"/>
  <c r="AD140" i="5914" s="1"/>
  <c r="AD142" i="5914"/>
  <c r="AD144" i="5914" s="1"/>
  <c r="N118" i="5910"/>
  <c r="N127" i="5910"/>
  <c r="H118" i="5910"/>
  <c r="H127" i="5910"/>
  <c r="AI118" i="5910"/>
  <c r="AI127" i="5910"/>
  <c r="J128" i="5916"/>
  <c r="J126" i="5916"/>
  <c r="J130" i="5916" s="1"/>
  <c r="J132" i="5916" s="1"/>
  <c r="Z139" i="5916"/>
  <c r="Z140" i="5916" s="1"/>
  <c r="Z143" i="5916"/>
  <c r="Z142" i="5916"/>
  <c r="Z144" i="5916" s="1"/>
  <c r="AE130" i="5914"/>
  <c r="AE132" i="5914" s="1"/>
  <c r="AG128" i="5901"/>
  <c r="AG126" i="5901"/>
  <c r="AG130" i="5901" s="1"/>
  <c r="AG132" i="5901" s="1"/>
  <c r="AK130" i="5911"/>
  <c r="AK132" i="5911" s="1"/>
  <c r="AA139" i="5912"/>
  <c r="AA140" i="5912" s="1"/>
  <c r="AA143" i="5912" s="1"/>
  <c r="P145" i="5911"/>
  <c r="P126" i="5911"/>
  <c r="P130" i="5911" s="1"/>
  <c r="P132" i="5911" s="1"/>
  <c r="P128" i="5911"/>
  <c r="P120" i="5911"/>
  <c r="P131" i="5911" s="1"/>
  <c r="S132" i="5917"/>
  <c r="Z143" i="5905"/>
  <c r="N137" i="5917"/>
  <c r="E137" i="5914"/>
  <c r="R137" i="5914"/>
  <c r="L118" i="5899"/>
  <c r="L127" i="5899"/>
  <c r="H139" i="5905"/>
  <c r="AB143" i="5906"/>
  <c r="AB139" i="5906"/>
  <c r="AB140" i="5906" s="1"/>
  <c r="AB142" i="5906"/>
  <c r="AB144" i="5906" s="1"/>
  <c r="AG118" i="5907"/>
  <c r="AG127" i="5907"/>
  <c r="K139" i="5903"/>
  <c r="AO118" i="5903"/>
  <c r="AO127" i="5903"/>
  <c r="AK139" i="5906"/>
  <c r="AK140" i="5906" s="1"/>
  <c r="AK142" i="5906"/>
  <c r="AK144" i="5906" s="1"/>
  <c r="AK143" i="5906"/>
  <c r="N137" i="5901"/>
  <c r="F130" i="5901"/>
  <c r="F132" i="5901" s="1"/>
  <c r="Y126" i="5902"/>
  <c r="Y130" i="5902" s="1"/>
  <c r="Y132" i="5902" s="1"/>
  <c r="Y128" i="5902"/>
  <c r="H130" i="5903"/>
  <c r="H132" i="5903" s="1"/>
  <c r="AI118" i="5907"/>
  <c r="AI127" i="5907"/>
  <c r="W139" i="5915"/>
  <c r="W140" i="5915" s="1"/>
  <c r="W143" i="5915" s="1"/>
  <c r="W142" i="5915"/>
  <c r="W144" i="5915" s="1"/>
  <c r="AQ139" i="5899"/>
  <c r="AQ140" i="5899" s="1"/>
  <c r="AQ143" i="5899"/>
  <c r="AQ142" i="5899"/>
  <c r="AQ144" i="5899" s="1"/>
  <c r="AQ118" i="5901"/>
  <c r="AQ127" i="5901"/>
  <c r="AD118" i="5909"/>
  <c r="AD127" i="5909"/>
  <c r="J132" i="5902"/>
  <c r="F139" i="5903"/>
  <c r="E145" i="5904"/>
  <c r="C151" i="5904" s="1"/>
  <c r="E128" i="5904"/>
  <c r="C85" i="5904"/>
  <c r="C84" i="5904"/>
  <c r="E120" i="5904"/>
  <c r="E131" i="5904" s="1"/>
  <c r="E126" i="5904"/>
  <c r="E130" i="5904" s="1"/>
  <c r="T143" i="5902"/>
  <c r="T139" i="5902"/>
  <c r="T140" i="5902" s="1"/>
  <c r="T142" i="5902"/>
  <c r="T144" i="5902" s="1"/>
  <c r="O139" i="5909"/>
  <c r="AR139" i="5905"/>
  <c r="AR140" i="5905" s="1"/>
  <c r="AR143" i="5905" s="1"/>
  <c r="P139" i="5914"/>
  <c r="M139" i="5902"/>
  <c r="AF142" i="5904"/>
  <c r="AF144" i="5904" s="1"/>
  <c r="AF143" i="5904"/>
  <c r="AF139" i="5904"/>
  <c r="AF140" i="5904" s="1"/>
  <c r="L139" i="5906"/>
  <c r="Q137" i="5907"/>
  <c r="T118" i="5898"/>
  <c r="T127" i="5898"/>
  <c r="Q137" i="5901"/>
  <c r="I137" i="5901"/>
  <c r="AI130" i="5905"/>
  <c r="AI132" i="5905" s="1"/>
  <c r="AE126" i="5909"/>
  <c r="AE130" i="5909" s="1"/>
  <c r="AE132" i="5909" s="1"/>
  <c r="AE128" i="5909"/>
  <c r="J118" i="5907"/>
  <c r="J127" i="5907"/>
  <c r="U143" i="5913"/>
  <c r="U139" i="5913"/>
  <c r="U140" i="5913" s="1"/>
  <c r="U142" i="5913" s="1"/>
  <c r="U144" i="5913" s="1"/>
  <c r="O130" i="5915"/>
  <c r="O132" i="5915" s="1"/>
  <c r="E118" i="5898"/>
  <c r="E127" i="5898"/>
  <c r="C159" i="5898"/>
  <c r="C160" i="5898" s="1"/>
  <c r="N127" i="5901"/>
  <c r="O137" i="5904"/>
  <c r="H137" i="5904"/>
  <c r="L137" i="5904"/>
  <c r="AF118" i="5899"/>
  <c r="AF127" i="5899"/>
  <c r="T118" i="5901"/>
  <c r="T127" i="5901"/>
  <c r="AR118" i="5903"/>
  <c r="AR127" i="5903"/>
  <c r="U128" i="5910"/>
  <c r="U126" i="5910"/>
  <c r="U130" i="5910" s="1"/>
  <c r="U132" i="5910" s="1"/>
  <c r="W128" i="5916"/>
  <c r="W126" i="5916"/>
  <c r="W130" i="5916" s="1"/>
  <c r="W132" i="5916" s="1"/>
  <c r="Y142" i="5906"/>
  <c r="Y144" i="5906" s="1"/>
  <c r="P118" i="5898"/>
  <c r="P127" i="5898"/>
  <c r="AO118" i="5899"/>
  <c r="AO127" i="5899"/>
  <c r="M128" i="5906"/>
  <c r="M126" i="5906"/>
  <c r="M130" i="5906" s="1"/>
  <c r="M132" i="5906" s="1"/>
  <c r="P137" i="5908"/>
  <c r="K128" i="5899"/>
  <c r="K126" i="5899"/>
  <c r="AP118" i="5898"/>
  <c r="AP127" i="5898"/>
  <c r="F128" i="5902"/>
  <c r="F126" i="5902"/>
  <c r="F130" i="5902" s="1"/>
  <c r="F132" i="5902" s="1"/>
  <c r="X118" i="5903"/>
  <c r="X127" i="5903"/>
  <c r="E137" i="5907"/>
  <c r="S137" i="5907"/>
  <c r="F137" i="5910"/>
  <c r="L137" i="5911"/>
  <c r="N137" i="5909"/>
  <c r="AH130" i="5899"/>
  <c r="AH132" i="5899" s="1"/>
  <c r="I118" i="5899"/>
  <c r="I127" i="5899"/>
  <c r="K130" i="5905"/>
  <c r="K132" i="5905" s="1"/>
  <c r="X127" i="5908"/>
  <c r="M118" i="5898"/>
  <c r="M127" i="5898"/>
  <c r="M139" i="5900"/>
  <c r="AD118" i="5908"/>
  <c r="AD127" i="5908"/>
  <c r="F145" i="5908"/>
  <c r="F120" i="5908"/>
  <c r="F131" i="5908" s="1"/>
  <c r="AG139" i="5911"/>
  <c r="AG140" i="5911" s="1"/>
  <c r="AG142" i="5911" s="1"/>
  <c r="AG144" i="5911" s="1"/>
  <c r="AG143" i="5911"/>
  <c r="M130" i="5913"/>
  <c r="M132" i="5913" s="1"/>
  <c r="H118" i="5899"/>
  <c r="H127" i="5899"/>
  <c r="X127" i="5901"/>
  <c r="X118" i="5901"/>
  <c r="AL127" i="5901"/>
  <c r="AL118" i="5901"/>
  <c r="R127" i="5908"/>
  <c r="AK139" i="5914"/>
  <c r="AK140" i="5914" s="1"/>
  <c r="AK143" i="5914"/>
  <c r="AK142" i="5914"/>
  <c r="AK144" i="5914" s="1"/>
  <c r="F130" i="5914"/>
  <c r="F132" i="5914" s="1"/>
  <c r="AK118" i="5898"/>
  <c r="AK127" i="5898"/>
  <c r="J139" i="5905"/>
  <c r="P130" i="5900"/>
  <c r="P132" i="5900" s="1"/>
  <c r="AK118" i="5897"/>
  <c r="AK127" i="5897"/>
  <c r="Z118" i="5897"/>
  <c r="Z127" i="5897"/>
  <c r="AA118" i="5897"/>
  <c r="AA127" i="5897"/>
  <c r="O118" i="5901"/>
  <c r="O127" i="5901"/>
  <c r="P127" i="5907"/>
  <c r="V128" i="5909"/>
  <c r="J128" i="5897"/>
  <c r="J126" i="5897"/>
  <c r="J130" i="5897" s="1"/>
  <c r="J132" i="5897" s="1"/>
  <c r="V120" i="5915"/>
  <c r="V131" i="5915" s="1"/>
  <c r="V128" i="5915"/>
  <c r="V126" i="5915"/>
  <c r="AJ118" i="5910"/>
  <c r="AJ127" i="5910"/>
  <c r="AL118" i="5910"/>
  <c r="AL127" i="5910"/>
  <c r="X130" i="5917"/>
  <c r="X132" i="5917" s="1"/>
  <c r="AJ130" i="5917"/>
  <c r="AJ132" i="5917" s="1"/>
  <c r="AJ126" i="5908"/>
  <c r="AJ130" i="5908" s="1"/>
  <c r="AJ132" i="5908" s="1"/>
  <c r="AJ128" i="5908"/>
  <c r="F145" i="5910"/>
  <c r="F128" i="5910"/>
  <c r="F126" i="5910"/>
  <c r="F130" i="5910" s="1"/>
  <c r="F132" i="5910" s="1"/>
  <c r="F120" i="5910"/>
  <c r="F131" i="5910" s="1"/>
  <c r="AJ130" i="5899"/>
  <c r="AJ132" i="5899" s="1"/>
  <c r="AG139" i="5913"/>
  <c r="AG140" i="5913" s="1"/>
  <c r="AG143" i="5913" s="1"/>
  <c r="AG142" i="5913"/>
  <c r="AG144" i="5913" s="1"/>
  <c r="X126" i="5914"/>
  <c r="X128" i="5914"/>
  <c r="X120" i="5914"/>
  <c r="X131" i="5914" s="1"/>
  <c r="AC128" i="5914"/>
  <c r="AC126" i="5914"/>
  <c r="AC130" i="5914" s="1"/>
  <c r="AC132" i="5914" s="1"/>
  <c r="C84" i="5915"/>
  <c r="E145" i="5915"/>
  <c r="C85" i="5915"/>
  <c r="E126" i="5915"/>
  <c r="E120" i="5915"/>
  <c r="E131" i="5915" s="1"/>
  <c r="E128" i="5915"/>
  <c r="G132" i="5914"/>
  <c r="O137" i="5917"/>
  <c r="AQ139" i="5900"/>
  <c r="AQ140" i="5900" s="1"/>
  <c r="AQ143" i="5900" s="1"/>
  <c r="F139" i="5906"/>
  <c r="AL139" i="5900"/>
  <c r="AL140" i="5900" s="1"/>
  <c r="AL142" i="5900" s="1"/>
  <c r="AL144" i="5900" s="1"/>
  <c r="Q118" i="5898"/>
  <c r="Q127" i="5898"/>
  <c r="AD126" i="5900"/>
  <c r="AD128" i="5900"/>
  <c r="AJ142" i="5906"/>
  <c r="AJ144" i="5906" s="1"/>
  <c r="AJ139" i="5906"/>
  <c r="AJ140" i="5906" s="1"/>
  <c r="AJ143" i="5906" s="1"/>
  <c r="AC128" i="5916"/>
  <c r="AC126" i="5916"/>
  <c r="O128" i="5900"/>
  <c r="O126" i="5900"/>
  <c r="O130" i="5900" s="1"/>
  <c r="O132" i="5900" s="1"/>
  <c r="N128" i="5901"/>
  <c r="N126" i="5901"/>
  <c r="N130" i="5901" s="1"/>
  <c r="N132" i="5901" s="1"/>
  <c r="AN118" i="5907"/>
  <c r="AN127" i="5907"/>
  <c r="AL128" i="5911"/>
  <c r="AL126" i="5911"/>
  <c r="N128" i="5913"/>
  <c r="N126" i="5913"/>
  <c r="X128" i="5915"/>
  <c r="X126" i="5915"/>
  <c r="T128" i="5910"/>
  <c r="T126" i="5910"/>
  <c r="T130" i="5910" s="1"/>
  <c r="T132" i="5910" s="1"/>
  <c r="I130" i="5897"/>
  <c r="I132" i="5897" s="1"/>
  <c r="AC118" i="5899"/>
  <c r="AC127" i="5899"/>
  <c r="AG130" i="5897"/>
  <c r="AG132" i="5897" s="1"/>
  <c r="L137" i="5898"/>
  <c r="F137" i="5898"/>
  <c r="Q128" i="5900"/>
  <c r="Q126" i="5900"/>
  <c r="Q145" i="5901"/>
  <c r="Q126" i="5901"/>
  <c r="Q120" i="5901"/>
  <c r="Q131" i="5901" s="1"/>
  <c r="Q128" i="5901"/>
  <c r="AE128" i="5911"/>
  <c r="AE126" i="5911"/>
  <c r="AE130" i="5911" s="1"/>
  <c r="AE132" i="5911" s="1"/>
  <c r="AH130" i="5897"/>
  <c r="AH132" i="5897" s="1"/>
  <c r="G145" i="5898"/>
  <c r="G120" i="5898"/>
  <c r="G131" i="5898" s="1"/>
  <c r="K139" i="5909"/>
  <c r="R126" i="5912"/>
  <c r="X128" i="5913"/>
  <c r="X126" i="5913"/>
  <c r="X130" i="5913" s="1"/>
  <c r="X132" i="5913" s="1"/>
  <c r="AG126" i="5917"/>
  <c r="AG130" i="5917" s="1"/>
  <c r="AG132" i="5917" s="1"/>
  <c r="AG128" i="5917"/>
  <c r="X118" i="5898"/>
  <c r="X127" i="5898"/>
  <c r="V130" i="5901"/>
  <c r="V132" i="5901" s="1"/>
  <c r="AN118" i="5903"/>
  <c r="AN127" i="5903"/>
  <c r="G137" i="5906"/>
  <c r="M137" i="5906"/>
  <c r="K137" i="5907"/>
  <c r="E137" i="5910"/>
  <c r="Q128" i="5914"/>
  <c r="Q126" i="5914"/>
  <c r="AI130" i="5897"/>
  <c r="AI132" i="5897" s="1"/>
  <c r="AA118" i="5901"/>
  <c r="AA127" i="5901"/>
  <c r="L139" i="5902"/>
  <c r="L139" i="5903"/>
  <c r="AI143" i="5906"/>
  <c r="C151" i="5906"/>
  <c r="Q139" i="5911"/>
  <c r="G118" i="5899"/>
  <c r="G127" i="5899"/>
  <c r="J137" i="5902"/>
  <c r="O137" i="5902"/>
  <c r="AL118" i="5908"/>
  <c r="AL127" i="5908"/>
  <c r="AM139" i="5911"/>
  <c r="AM140" i="5911" s="1"/>
  <c r="AM142" i="5911" s="1"/>
  <c r="AM144" i="5911" s="1"/>
  <c r="AJ130" i="5901"/>
  <c r="AJ132" i="5901" s="1"/>
  <c r="AF118" i="5901"/>
  <c r="AF127" i="5901"/>
  <c r="I139" i="5905"/>
  <c r="V128" i="5916"/>
  <c r="V126" i="5916"/>
  <c r="J145" i="5898"/>
  <c r="J120" i="5898"/>
  <c r="J131" i="5898" s="1"/>
  <c r="AO118" i="5898"/>
  <c r="AO127" i="5898"/>
  <c r="S118" i="5897"/>
  <c r="S127" i="5897"/>
  <c r="AQ118" i="5897"/>
  <c r="AQ127" i="5897"/>
  <c r="AM118" i="5897"/>
  <c r="AM127" i="5897"/>
  <c r="AC118" i="5903"/>
  <c r="AC127" i="5903"/>
  <c r="AJ126" i="5909"/>
  <c r="AJ128" i="5909"/>
  <c r="AM118" i="5908"/>
  <c r="AM127" i="5908"/>
  <c r="G128" i="5912"/>
  <c r="G126" i="5912"/>
  <c r="G130" i="5912" s="1"/>
  <c r="G132" i="5912" s="1"/>
  <c r="M137" i="5916"/>
  <c r="M142" i="5916" s="1"/>
  <c r="M144" i="5916" s="1"/>
  <c r="AR128" i="5915"/>
  <c r="AR126" i="5915"/>
  <c r="S145" i="5913"/>
  <c r="S120" i="5913"/>
  <c r="S131" i="5913" s="1"/>
  <c r="R118" i="5910"/>
  <c r="R127" i="5910"/>
  <c r="S118" i="5910"/>
  <c r="S127" i="5910"/>
  <c r="O118" i="5910"/>
  <c r="O127" i="5910"/>
  <c r="AH142" i="5914"/>
  <c r="AH144" i="5914" s="1"/>
  <c r="AH139" i="5914"/>
  <c r="AH140" i="5914" s="1"/>
  <c r="AH143" i="5914"/>
  <c r="O136" i="5913"/>
  <c r="S135" i="5913"/>
  <c r="S137" i="5913" s="1"/>
  <c r="G135" i="5913"/>
  <c r="G139" i="5913" s="1"/>
  <c r="L136" i="5913"/>
  <c r="P135" i="5913"/>
  <c r="S136" i="5913"/>
  <c r="G136" i="5913"/>
  <c r="K135" i="5913"/>
  <c r="R136" i="5913"/>
  <c r="F136" i="5913"/>
  <c r="J135" i="5913"/>
  <c r="Q136" i="5913"/>
  <c r="E136" i="5913"/>
  <c r="I135" i="5913"/>
  <c r="I137" i="5913" s="1"/>
  <c r="I136" i="5913"/>
  <c r="R135" i="5913"/>
  <c r="O135" i="5913"/>
  <c r="O137" i="5913" s="1"/>
  <c r="N136" i="5913"/>
  <c r="L135" i="5913"/>
  <c r="L137" i="5913" s="1"/>
  <c r="M136" i="5913"/>
  <c r="H135" i="5913"/>
  <c r="H137" i="5913" s="1"/>
  <c r="K136" i="5913"/>
  <c r="F135" i="5913"/>
  <c r="F139" i="5913" s="1"/>
  <c r="P136" i="5913"/>
  <c r="J136" i="5913"/>
  <c r="H136" i="5913"/>
  <c r="Q135" i="5913"/>
  <c r="N135" i="5913"/>
  <c r="M135" i="5913"/>
  <c r="M137" i="5913" s="1"/>
  <c r="E135" i="5913"/>
  <c r="E137" i="5913" s="1"/>
  <c r="D143" i="5913"/>
  <c r="U120" i="5915"/>
  <c r="U131" i="5915" s="1"/>
  <c r="U128" i="5915"/>
  <c r="U126" i="5915"/>
  <c r="U130" i="5915" s="1"/>
  <c r="U132" i="5915" s="1"/>
  <c r="K139" i="5904"/>
  <c r="AL130" i="5912"/>
  <c r="AL132" i="5912" s="1"/>
  <c r="S128" i="5915"/>
  <c r="S126" i="5915"/>
  <c r="S130" i="5915" s="1"/>
  <c r="S132" i="5915" s="1"/>
  <c r="L139" i="5914"/>
  <c r="I145" i="5917"/>
  <c r="I120" i="5917"/>
  <c r="I131" i="5917" s="1"/>
  <c r="I132" i="5917" s="1"/>
  <c r="H126" i="5914"/>
  <c r="H130" i="5914" s="1"/>
  <c r="AD128" i="5911"/>
  <c r="AD126" i="5911"/>
  <c r="AD130" i="5911" s="1"/>
  <c r="AD132" i="5911" s="1"/>
  <c r="AJ126" i="5903"/>
  <c r="AJ128" i="5903"/>
  <c r="I137" i="5914"/>
  <c r="G137" i="5914"/>
  <c r="J139" i="5909"/>
  <c r="M145" i="5917"/>
  <c r="M120" i="5917"/>
  <c r="M131" i="5917" s="1"/>
  <c r="M128" i="5917"/>
  <c r="M126" i="5917"/>
  <c r="AH139" i="5904"/>
  <c r="AH140" i="5904" s="1"/>
  <c r="AH142" i="5904" s="1"/>
  <c r="AH144" i="5904" s="1"/>
  <c r="O139" i="5911"/>
  <c r="AQ142" i="5909"/>
  <c r="AQ144" i="5909" s="1"/>
  <c r="AQ143" i="5909"/>
  <c r="AQ139" i="5909"/>
  <c r="AQ140" i="5909" s="1"/>
  <c r="G139" i="5906"/>
  <c r="J145" i="5906"/>
  <c r="J128" i="5906"/>
  <c r="J120" i="5906"/>
  <c r="J131" i="5906" s="1"/>
  <c r="J126" i="5906"/>
  <c r="AN126" i="5911"/>
  <c r="AN128" i="5911"/>
  <c r="G139" i="5916"/>
  <c r="AK128" i="5901"/>
  <c r="AK126" i="5901"/>
  <c r="AK130" i="5901" s="1"/>
  <c r="AK132" i="5901" s="1"/>
  <c r="I137" i="5904"/>
  <c r="I139" i="5904"/>
  <c r="AI118" i="5899"/>
  <c r="AI127" i="5899"/>
  <c r="N118" i="5899"/>
  <c r="N127" i="5899"/>
  <c r="G139" i="5904"/>
  <c r="M139" i="5904"/>
  <c r="U142" i="5904"/>
  <c r="U144" i="5904" s="1"/>
  <c r="U143" i="5904"/>
  <c r="U139" i="5904"/>
  <c r="U140" i="5904" s="1"/>
  <c r="T127" i="5910"/>
  <c r="Q145" i="5899"/>
  <c r="Q120" i="5899"/>
  <c r="Q131" i="5899" s="1"/>
  <c r="AH139" i="5906"/>
  <c r="AH140" i="5906" s="1"/>
  <c r="AH143" i="5906" s="1"/>
  <c r="AL143" i="5904"/>
  <c r="AL139" i="5904"/>
  <c r="AL140" i="5904" s="1"/>
  <c r="AL142" i="5904"/>
  <c r="AL144" i="5904" s="1"/>
  <c r="R145" i="5908"/>
  <c r="R120" i="5908"/>
  <c r="R131" i="5908" s="1"/>
  <c r="C85" i="5912"/>
  <c r="C84" i="5912"/>
  <c r="E145" i="5912"/>
  <c r="E120" i="5912"/>
  <c r="E131" i="5912" s="1"/>
  <c r="E128" i="5912"/>
  <c r="E126" i="5912"/>
  <c r="AJ118" i="5898"/>
  <c r="AJ127" i="5898"/>
  <c r="W118" i="5899"/>
  <c r="W127" i="5899"/>
  <c r="I139" i="5902"/>
  <c r="E118" i="5903"/>
  <c r="E127" i="5903"/>
  <c r="C159" i="5903"/>
  <c r="C160" i="5903" s="1"/>
  <c r="AJ126" i="5904"/>
  <c r="AJ128" i="5904"/>
  <c r="Q137" i="5911"/>
  <c r="F137" i="5909"/>
  <c r="X118" i="5899"/>
  <c r="X127" i="5899"/>
  <c r="AK130" i="5900"/>
  <c r="AK132" i="5900" s="1"/>
  <c r="Y118" i="5907"/>
  <c r="Y127" i="5907"/>
  <c r="I139" i="5911"/>
  <c r="V118" i="5899"/>
  <c r="V127" i="5899"/>
  <c r="D143" i="5902"/>
  <c r="AQ126" i="5903"/>
  <c r="AQ130" i="5903" s="1"/>
  <c r="AQ132" i="5903" s="1"/>
  <c r="AQ128" i="5903"/>
  <c r="T142" i="5908"/>
  <c r="T144" i="5908" s="1"/>
  <c r="T139" i="5908"/>
  <c r="T140" i="5908" s="1"/>
  <c r="T143" i="5908"/>
  <c r="H118" i="5908"/>
  <c r="H127" i="5908"/>
  <c r="D144" i="5909"/>
  <c r="K130" i="5911"/>
  <c r="K132" i="5911" s="1"/>
  <c r="R145" i="5915"/>
  <c r="R120" i="5915"/>
  <c r="R131" i="5915" s="1"/>
  <c r="R126" i="5915"/>
  <c r="R130" i="5915" s="1"/>
  <c r="R132" i="5915" s="1"/>
  <c r="R128" i="5915"/>
  <c r="F139" i="5916"/>
  <c r="AH118" i="5898"/>
  <c r="AH127" i="5898"/>
  <c r="AO118" i="5901"/>
  <c r="AO127" i="5901"/>
  <c r="W128" i="5907"/>
  <c r="W126" i="5907"/>
  <c r="W130" i="5907" s="1"/>
  <c r="W132" i="5907" s="1"/>
  <c r="G145" i="5911"/>
  <c r="G128" i="5911"/>
  <c r="G126" i="5911"/>
  <c r="G120" i="5911"/>
  <c r="G131" i="5911" s="1"/>
  <c r="Y126" i="5912"/>
  <c r="Y128" i="5912"/>
  <c r="K132" i="5913"/>
  <c r="AL118" i="5898"/>
  <c r="AL127" i="5898"/>
  <c r="K118" i="5898"/>
  <c r="K127" i="5898"/>
  <c r="U130" i="5901"/>
  <c r="U132" i="5901" s="1"/>
  <c r="AL118" i="5897"/>
  <c r="AL127" i="5897"/>
  <c r="AB118" i="5897"/>
  <c r="AB127" i="5897"/>
  <c r="K139" i="5900"/>
  <c r="AM118" i="5903"/>
  <c r="AM127" i="5903"/>
  <c r="C86" i="5916"/>
  <c r="C70" i="5916" s="1"/>
  <c r="I137" i="5916"/>
  <c r="N132" i="5912"/>
  <c r="U120" i="5914"/>
  <c r="U131" i="5914" s="1"/>
  <c r="U126" i="5914"/>
  <c r="U130" i="5914" s="1"/>
  <c r="L137" i="5915"/>
  <c r="M137" i="5915"/>
  <c r="Q130" i="5916"/>
  <c r="Q132" i="5916" s="1"/>
  <c r="AD118" i="5910"/>
  <c r="AD127" i="5910"/>
  <c r="I118" i="5910"/>
  <c r="I127" i="5910"/>
  <c r="Q118" i="5910"/>
  <c r="Q127" i="5910"/>
  <c r="C85" i="5911"/>
  <c r="E145" i="5911"/>
  <c r="C84" i="5911"/>
  <c r="E120" i="5911"/>
  <c r="E131" i="5911" s="1"/>
  <c r="E126" i="5911"/>
  <c r="E128" i="5911"/>
  <c r="Y130" i="5913"/>
  <c r="Y132" i="5913" s="1"/>
  <c r="N128" i="5916"/>
  <c r="N126" i="5916"/>
  <c r="N130" i="5916" s="1"/>
  <c r="N132" i="5916" s="1"/>
  <c r="S128" i="5912"/>
  <c r="S126" i="5912"/>
  <c r="S130" i="5912" s="1"/>
  <c r="S132" i="5912" s="1"/>
  <c r="L139" i="5916"/>
  <c r="L130" i="5911"/>
  <c r="L132" i="5911" s="1"/>
  <c r="O128" i="5913"/>
  <c r="O126" i="5913"/>
  <c r="I137" i="5917"/>
  <c r="P137" i="5917"/>
  <c r="G137" i="5917"/>
  <c r="S137" i="5914"/>
  <c r="V127" i="5909"/>
  <c r="C86" i="5917" l="1"/>
  <c r="C70" i="5917" s="1"/>
  <c r="C86" i="5904"/>
  <c r="C70" i="5904" s="1"/>
  <c r="M142" i="5905"/>
  <c r="M144" i="5905" s="1"/>
  <c r="Q140" i="5905"/>
  <c r="Q143" i="5905" s="1"/>
  <c r="G140" i="5913"/>
  <c r="G143" i="5913" s="1"/>
  <c r="AM139" i="5915"/>
  <c r="AM140" i="5915" s="1"/>
  <c r="AM143" i="5915" s="1"/>
  <c r="F140" i="5913"/>
  <c r="F143" i="5913" s="1"/>
  <c r="L139" i="5907"/>
  <c r="I139" i="5917"/>
  <c r="M140" i="5904"/>
  <c r="AH143" i="5897"/>
  <c r="AH139" i="5897"/>
  <c r="AH140" i="5897" s="1"/>
  <c r="AH142" i="5897"/>
  <c r="AH144" i="5897" s="1"/>
  <c r="C85" i="5898"/>
  <c r="C84" i="5898"/>
  <c r="E145" i="5898"/>
  <c r="E128" i="5898"/>
  <c r="E120" i="5898"/>
  <c r="E131" i="5898" s="1"/>
  <c r="E126" i="5898"/>
  <c r="H139" i="5917"/>
  <c r="AA126" i="5898"/>
  <c r="AA130" i="5898" s="1"/>
  <c r="AA132" i="5898" s="1"/>
  <c r="AA128" i="5898"/>
  <c r="AO128" i="5908"/>
  <c r="AO126" i="5908"/>
  <c r="AO130" i="5908" s="1"/>
  <c r="AO132" i="5908" s="1"/>
  <c r="O139" i="5904"/>
  <c r="Z128" i="5908"/>
  <c r="Z126" i="5908"/>
  <c r="H140" i="5904"/>
  <c r="H143" i="5904" s="1"/>
  <c r="S140" i="5905"/>
  <c r="S143" i="5905" s="1"/>
  <c r="S140" i="5903"/>
  <c r="X139" i="5902"/>
  <c r="X140" i="5902" s="1"/>
  <c r="X143" i="5902" s="1"/>
  <c r="AK139" i="5915"/>
  <c r="AK140" i="5915" s="1"/>
  <c r="AK143" i="5915" s="1"/>
  <c r="AJ126" i="5898"/>
  <c r="AJ128" i="5898"/>
  <c r="AQ142" i="5900"/>
  <c r="AQ144" i="5900" s="1"/>
  <c r="M139" i="5906"/>
  <c r="AK126" i="5903"/>
  <c r="AK128" i="5903"/>
  <c r="U139" i="5917"/>
  <c r="U140" i="5917" s="1"/>
  <c r="U143" i="5917" s="1"/>
  <c r="U142" i="5917"/>
  <c r="U144" i="5917" s="1"/>
  <c r="Q139" i="5903"/>
  <c r="G145" i="5908"/>
  <c r="G120" i="5908"/>
  <c r="G131" i="5908" s="1"/>
  <c r="G128" i="5908"/>
  <c r="G126" i="5908"/>
  <c r="G130" i="5908" s="1"/>
  <c r="AP126" i="5907"/>
  <c r="AP128" i="5907"/>
  <c r="M145" i="5897"/>
  <c r="M120" i="5897"/>
  <c r="M131" i="5897" s="1"/>
  <c r="M128" i="5897"/>
  <c r="M126" i="5897"/>
  <c r="C85" i="5908"/>
  <c r="C86" i="5908" s="1"/>
  <c r="C70" i="5908" s="1"/>
  <c r="AG143" i="5914"/>
  <c r="G140" i="5900"/>
  <c r="J145" i="5908"/>
  <c r="J126" i="5908"/>
  <c r="J128" i="5908"/>
  <c r="J120" i="5908"/>
  <c r="J131" i="5908" s="1"/>
  <c r="AO139" i="5902"/>
  <c r="AO140" i="5902" s="1"/>
  <c r="AO142" i="5902" s="1"/>
  <c r="AO144" i="5902" s="1"/>
  <c r="AQ130" i="5911"/>
  <c r="AQ132" i="5911" s="1"/>
  <c r="AO128" i="5907"/>
  <c r="AO126" i="5907"/>
  <c r="AB126" i="5907"/>
  <c r="AB130" i="5907" s="1"/>
  <c r="AB132" i="5907" s="1"/>
  <c r="AB128" i="5907"/>
  <c r="Z139" i="5912"/>
  <c r="Z140" i="5912" s="1"/>
  <c r="Z143" i="5912" s="1"/>
  <c r="W139" i="5905"/>
  <c r="W140" i="5905" s="1"/>
  <c r="W143" i="5905" s="1"/>
  <c r="AE143" i="5904"/>
  <c r="AG126" i="5908"/>
  <c r="AG128" i="5908"/>
  <c r="AF143" i="5903"/>
  <c r="AJ143" i="5900"/>
  <c r="M140" i="5905"/>
  <c r="M143" i="5905" s="1"/>
  <c r="AH143" i="5902"/>
  <c r="AJ143" i="5911"/>
  <c r="AP143" i="5912"/>
  <c r="U139" i="5915"/>
  <c r="U140" i="5915" s="1"/>
  <c r="U142" i="5915" s="1"/>
  <c r="U144" i="5915" s="1"/>
  <c r="Q140" i="5911"/>
  <c r="AI126" i="5907"/>
  <c r="AI128" i="5907"/>
  <c r="O145" i="5903"/>
  <c r="O126" i="5903"/>
  <c r="O120" i="5903"/>
  <c r="O131" i="5903" s="1"/>
  <c r="O128" i="5903"/>
  <c r="AN139" i="5915"/>
  <c r="AN140" i="5915" s="1"/>
  <c r="AN143" i="5915" s="1"/>
  <c r="H145" i="5907"/>
  <c r="H120" i="5907"/>
  <c r="H131" i="5907" s="1"/>
  <c r="H126" i="5907"/>
  <c r="H130" i="5907" s="1"/>
  <c r="H132" i="5907" s="1"/>
  <c r="H128" i="5907"/>
  <c r="AA142" i="5910"/>
  <c r="AA144" i="5910" s="1"/>
  <c r="AA139" i="5910"/>
  <c r="AA140" i="5910" s="1"/>
  <c r="AA143" i="5910"/>
  <c r="K145" i="5898"/>
  <c r="K120" i="5898"/>
  <c r="K131" i="5898" s="1"/>
  <c r="K126" i="5898"/>
  <c r="K128" i="5898"/>
  <c r="X126" i="5898"/>
  <c r="X130" i="5898" s="1"/>
  <c r="X132" i="5898" s="1"/>
  <c r="X128" i="5898"/>
  <c r="M140" i="5900"/>
  <c r="O139" i="5915"/>
  <c r="AP126" i="5897"/>
  <c r="AP128" i="5897"/>
  <c r="AB143" i="5911"/>
  <c r="AB139" i="5911"/>
  <c r="AB140" i="5911" s="1"/>
  <c r="AB142" i="5911" s="1"/>
  <c r="AB144" i="5911" s="1"/>
  <c r="AN139" i="5913"/>
  <c r="AN140" i="5913" s="1"/>
  <c r="AN143" i="5913" s="1"/>
  <c r="AC143" i="5898"/>
  <c r="AC139" i="5898"/>
  <c r="AC140" i="5898" s="1"/>
  <c r="AC142" i="5898"/>
  <c r="AC144" i="5898" s="1"/>
  <c r="V139" i="5912"/>
  <c r="V140" i="5912" s="1"/>
  <c r="V142" i="5912"/>
  <c r="V144" i="5912" s="1"/>
  <c r="V143" i="5912"/>
  <c r="R120" i="5901"/>
  <c r="R131" i="5901" s="1"/>
  <c r="R145" i="5901"/>
  <c r="R126" i="5901"/>
  <c r="R128" i="5901"/>
  <c r="AN130" i="5910"/>
  <c r="AN132" i="5910" s="1"/>
  <c r="AP143" i="5904"/>
  <c r="AP142" i="5904"/>
  <c r="AP144" i="5904" s="1"/>
  <c r="AP139" i="5904"/>
  <c r="AP140" i="5904" s="1"/>
  <c r="W142" i="5914"/>
  <c r="W144" i="5914" s="1"/>
  <c r="W139" i="5914"/>
  <c r="W140" i="5914" s="1"/>
  <c r="W143" i="5914"/>
  <c r="AK143" i="5908"/>
  <c r="S145" i="5899"/>
  <c r="S120" i="5899"/>
  <c r="S131" i="5899" s="1"/>
  <c r="S126" i="5899"/>
  <c r="S128" i="5899"/>
  <c r="U143" i="5902"/>
  <c r="AN126" i="5899"/>
  <c r="AN128" i="5899"/>
  <c r="AH126" i="5907"/>
  <c r="AH128" i="5907"/>
  <c r="AM142" i="5913"/>
  <c r="AM144" i="5913" s="1"/>
  <c r="R145" i="5907"/>
  <c r="R120" i="5907"/>
  <c r="R131" i="5907" s="1"/>
  <c r="R128" i="5907"/>
  <c r="R126" i="5907"/>
  <c r="H140" i="5906"/>
  <c r="AN139" i="5902"/>
  <c r="AN140" i="5902" s="1"/>
  <c r="AN142" i="5902" s="1"/>
  <c r="AN144" i="5902" s="1"/>
  <c r="AN130" i="5914"/>
  <c r="AN132" i="5914" s="1"/>
  <c r="AD126" i="5898"/>
  <c r="AD130" i="5898" s="1"/>
  <c r="AD132" i="5898" s="1"/>
  <c r="AD128" i="5898"/>
  <c r="V139" i="5910"/>
  <c r="V140" i="5910" s="1"/>
  <c r="V142" i="5910" s="1"/>
  <c r="V144" i="5910" s="1"/>
  <c r="AG130" i="5909"/>
  <c r="AG132" i="5909" s="1"/>
  <c r="AJ130" i="5904"/>
  <c r="AJ132" i="5904" s="1"/>
  <c r="E130" i="5912"/>
  <c r="E132" i="5912" s="1"/>
  <c r="AH142" i="5906"/>
  <c r="AH144" i="5906" s="1"/>
  <c r="H132" i="5914"/>
  <c r="K137" i="5913"/>
  <c r="O145" i="5910"/>
  <c r="O128" i="5910"/>
  <c r="O120" i="5910"/>
  <c r="O131" i="5910" s="1"/>
  <c r="O126" i="5910"/>
  <c r="S145" i="5897"/>
  <c r="S126" i="5897"/>
  <c r="S130" i="5897" s="1"/>
  <c r="S132" i="5897" s="1"/>
  <c r="S128" i="5897"/>
  <c r="S120" i="5897"/>
  <c r="S131" i="5897" s="1"/>
  <c r="AJ143" i="5901"/>
  <c r="AJ142" i="5901"/>
  <c r="AJ144" i="5901" s="1"/>
  <c r="AJ139" i="5901"/>
  <c r="AJ140" i="5901" s="1"/>
  <c r="Q130" i="5914"/>
  <c r="Q132" i="5914" s="1"/>
  <c r="AN126" i="5907"/>
  <c r="AN128" i="5907"/>
  <c r="X130" i="5914"/>
  <c r="X132" i="5914" s="1"/>
  <c r="X142" i="5917"/>
  <c r="X144" i="5917" s="1"/>
  <c r="X139" i="5917"/>
  <c r="X140" i="5917" s="1"/>
  <c r="X143" i="5917"/>
  <c r="H145" i="5899"/>
  <c r="H120" i="5899"/>
  <c r="H131" i="5899" s="1"/>
  <c r="H126" i="5899"/>
  <c r="H130" i="5899" s="1"/>
  <c r="H132" i="5899" s="1"/>
  <c r="H128" i="5899"/>
  <c r="AD128" i="5909"/>
  <c r="AD126" i="5909"/>
  <c r="AD130" i="5909" s="1"/>
  <c r="AD132" i="5909" s="1"/>
  <c r="AO128" i="5903"/>
  <c r="AO126" i="5903"/>
  <c r="AO130" i="5903" s="1"/>
  <c r="AO132" i="5903" s="1"/>
  <c r="H140" i="5905"/>
  <c r="AA142" i="5912"/>
  <c r="AA144" i="5912" s="1"/>
  <c r="I145" i="5898"/>
  <c r="I120" i="5898"/>
  <c r="I131" i="5898" s="1"/>
  <c r="I126" i="5898"/>
  <c r="I128" i="5898"/>
  <c r="AO142" i="5915"/>
  <c r="AO144" i="5915" s="1"/>
  <c r="K140" i="5902"/>
  <c r="AC143" i="5906"/>
  <c r="AC130" i="5911"/>
  <c r="AC132" i="5911" s="1"/>
  <c r="AL128" i="5903"/>
  <c r="AL126" i="5903"/>
  <c r="AL130" i="5903" s="1"/>
  <c r="AL132" i="5903" s="1"/>
  <c r="AL142" i="5906"/>
  <c r="AL144" i="5906" s="1"/>
  <c r="J130" i="5910"/>
  <c r="J132" i="5910" s="1"/>
  <c r="T130" i="5907"/>
  <c r="T132" i="5907" s="1"/>
  <c r="C86" i="5913"/>
  <c r="C70" i="5913" s="1"/>
  <c r="J130" i="5917"/>
  <c r="J132" i="5917" s="1"/>
  <c r="AK143" i="5913"/>
  <c r="M140" i="5908"/>
  <c r="AE126" i="5897"/>
  <c r="AE128" i="5897"/>
  <c r="AE130" i="5907"/>
  <c r="AE132" i="5907" s="1"/>
  <c r="G137" i="5912"/>
  <c r="I130" i="5900"/>
  <c r="I132" i="5900" s="1"/>
  <c r="J140" i="5911"/>
  <c r="F140" i="5909"/>
  <c r="P130" i="5909"/>
  <c r="P132" i="5909" s="1"/>
  <c r="AG126" i="5898"/>
  <c r="AG128" i="5898"/>
  <c r="AK126" i="5899"/>
  <c r="AK128" i="5899"/>
  <c r="H130" i="5915"/>
  <c r="H132" i="5915" s="1"/>
  <c r="L145" i="5897"/>
  <c r="L120" i="5897"/>
  <c r="L131" i="5897" s="1"/>
  <c r="L126" i="5897"/>
  <c r="L128" i="5897"/>
  <c r="T142" i="5915"/>
  <c r="T144" i="5915" s="1"/>
  <c r="AG130" i="5900"/>
  <c r="AG132" i="5900" s="1"/>
  <c r="AN143" i="5909"/>
  <c r="AN139" i="5909"/>
  <c r="AN140" i="5909" s="1"/>
  <c r="AN142" i="5909"/>
  <c r="AN144" i="5909" s="1"/>
  <c r="AQ143" i="5906"/>
  <c r="S139" i="5904"/>
  <c r="F139" i="5911"/>
  <c r="AH128" i="5908"/>
  <c r="AH126" i="5908"/>
  <c r="AH130" i="5908" s="1"/>
  <c r="AH132" i="5908" s="1"/>
  <c r="AL139" i="5916"/>
  <c r="AL140" i="5916" s="1"/>
  <c r="AL143" i="5916"/>
  <c r="AL142" i="5916"/>
  <c r="AL144" i="5916" s="1"/>
  <c r="M132" i="5901"/>
  <c r="AE143" i="5902"/>
  <c r="AR143" i="5914"/>
  <c r="H145" i="5897"/>
  <c r="H120" i="5897"/>
  <c r="H131" i="5897" s="1"/>
  <c r="H126" i="5897"/>
  <c r="H130" i="5897" s="1"/>
  <c r="H132" i="5897" s="1"/>
  <c r="H128" i="5897"/>
  <c r="M139" i="5915"/>
  <c r="W142" i="5901"/>
  <c r="W144" i="5901" s="1"/>
  <c r="W139" i="5901"/>
  <c r="W140" i="5901" s="1"/>
  <c r="W143" i="5901"/>
  <c r="E130" i="5905"/>
  <c r="E132" i="5905" s="1"/>
  <c r="M140" i="5914"/>
  <c r="AA142" i="5900"/>
  <c r="AA144" i="5900" s="1"/>
  <c r="I139" i="5912"/>
  <c r="AA143" i="5902"/>
  <c r="AM143" i="5916"/>
  <c r="AQ142" i="5917"/>
  <c r="AQ144" i="5917" s="1"/>
  <c r="AA143" i="5908"/>
  <c r="AJ143" i="5908"/>
  <c r="AJ139" i="5908"/>
  <c r="AJ140" i="5908" s="1"/>
  <c r="AJ142" i="5908"/>
  <c r="AJ144" i="5908" s="1"/>
  <c r="P139" i="5907"/>
  <c r="E139" i="5902"/>
  <c r="AR126" i="5903"/>
  <c r="AR128" i="5903"/>
  <c r="AM128" i="5903"/>
  <c r="AM126" i="5903"/>
  <c r="AM130" i="5903" s="1"/>
  <c r="AM132" i="5903" s="1"/>
  <c r="I140" i="5911"/>
  <c r="AM128" i="5908"/>
  <c r="AM126" i="5908"/>
  <c r="N139" i="5901"/>
  <c r="Q145" i="5898"/>
  <c r="Q120" i="5898"/>
  <c r="Q131" i="5898" s="1"/>
  <c r="Q128" i="5898"/>
  <c r="Q126" i="5898"/>
  <c r="Q130" i="5898" s="1"/>
  <c r="AK126" i="5898"/>
  <c r="AK128" i="5898"/>
  <c r="M139" i="5913"/>
  <c r="T128" i="5901"/>
  <c r="T126" i="5901"/>
  <c r="T130" i="5901" s="1"/>
  <c r="T132" i="5901" s="1"/>
  <c r="P140" i="5914"/>
  <c r="E132" i="5904"/>
  <c r="Y139" i="5902"/>
  <c r="Y140" i="5902" s="1"/>
  <c r="Y143" i="5902" s="1"/>
  <c r="AI126" i="5910"/>
  <c r="AI128" i="5910"/>
  <c r="AB126" i="5903"/>
  <c r="AB130" i="5903" s="1"/>
  <c r="AB132" i="5903" s="1"/>
  <c r="AB128" i="5903"/>
  <c r="V139" i="5913"/>
  <c r="V140" i="5913" s="1"/>
  <c r="V143" i="5913" s="1"/>
  <c r="G145" i="5910"/>
  <c r="G126" i="5910"/>
  <c r="G130" i="5910" s="1"/>
  <c r="G132" i="5910" s="1"/>
  <c r="G120" i="5910"/>
  <c r="G131" i="5910" s="1"/>
  <c r="G128" i="5910"/>
  <c r="X120" i="5907"/>
  <c r="X131" i="5907" s="1"/>
  <c r="X126" i="5907"/>
  <c r="X128" i="5907"/>
  <c r="O139" i="5905"/>
  <c r="AO142" i="5909"/>
  <c r="AO144" i="5909" s="1"/>
  <c r="AO139" i="5909"/>
  <c r="AO140" i="5909" s="1"/>
  <c r="AO143" i="5909"/>
  <c r="Y142" i="5905"/>
  <c r="Y144" i="5905" s="1"/>
  <c r="Y139" i="5905"/>
  <c r="Y140" i="5905" s="1"/>
  <c r="Y143" i="5905"/>
  <c r="R140" i="5900"/>
  <c r="AE139" i="5912"/>
  <c r="AE140" i="5912" s="1"/>
  <c r="AE142" i="5912" s="1"/>
  <c r="AE144" i="5912" s="1"/>
  <c r="AI126" i="5908"/>
  <c r="AI128" i="5908"/>
  <c r="F145" i="5897"/>
  <c r="F126" i="5897"/>
  <c r="F130" i="5897" s="1"/>
  <c r="F120" i="5897"/>
  <c r="F131" i="5897" s="1"/>
  <c r="F128" i="5897"/>
  <c r="L140" i="5908"/>
  <c r="S139" i="5901"/>
  <c r="AE139" i="5903"/>
  <c r="AE140" i="5903" s="1"/>
  <c r="AE143" i="5903" s="1"/>
  <c r="K139" i="5897"/>
  <c r="L130" i="5917"/>
  <c r="L132" i="5917" s="1"/>
  <c r="AP139" i="5908"/>
  <c r="AP140" i="5908" s="1"/>
  <c r="AP143" i="5908" s="1"/>
  <c r="F140" i="5900"/>
  <c r="W139" i="5910"/>
  <c r="W140" i="5910" s="1"/>
  <c r="W143" i="5910" s="1"/>
  <c r="T126" i="5897"/>
  <c r="T128" i="5897"/>
  <c r="AH139" i="5905"/>
  <c r="AH140" i="5905" s="1"/>
  <c r="AH143" i="5905"/>
  <c r="AH142" i="5905"/>
  <c r="AH144" i="5905" s="1"/>
  <c r="AC126" i="5908"/>
  <c r="AC128" i="5908"/>
  <c r="Y142" i="5917"/>
  <c r="Y144" i="5917" s="1"/>
  <c r="Y139" i="5917"/>
  <c r="Y140" i="5917" s="1"/>
  <c r="Y143" i="5917" s="1"/>
  <c r="P145" i="5899"/>
  <c r="P120" i="5899"/>
  <c r="P131" i="5899" s="1"/>
  <c r="P126" i="5899"/>
  <c r="P128" i="5899"/>
  <c r="R145" i="5899"/>
  <c r="R120" i="5899"/>
  <c r="R131" i="5899" s="1"/>
  <c r="R126" i="5899"/>
  <c r="R128" i="5899"/>
  <c r="AE130" i="5917"/>
  <c r="AE132" i="5917" s="1"/>
  <c r="N139" i="5905"/>
  <c r="V126" i="5898"/>
  <c r="V128" i="5898"/>
  <c r="S132" i="5913"/>
  <c r="Q139" i="5917"/>
  <c r="AF139" i="5906"/>
  <c r="AF140" i="5906" s="1"/>
  <c r="AF142" i="5906" s="1"/>
  <c r="AF144" i="5906" s="1"/>
  <c r="AK128" i="5907"/>
  <c r="AK126" i="5907"/>
  <c r="AK130" i="5907" s="1"/>
  <c r="AK132" i="5907" s="1"/>
  <c r="I145" i="5908"/>
  <c r="I126" i="5908"/>
  <c r="I120" i="5908"/>
  <c r="I131" i="5908" s="1"/>
  <c r="I128" i="5908"/>
  <c r="Z139" i="5907"/>
  <c r="Z140" i="5907" s="1"/>
  <c r="Z142" i="5907" s="1"/>
  <c r="Z144" i="5907" s="1"/>
  <c r="AM126" i="5910"/>
  <c r="AM128" i="5910"/>
  <c r="AQ126" i="5908"/>
  <c r="AQ128" i="5908"/>
  <c r="X130" i="5904"/>
  <c r="X132" i="5904" s="1"/>
  <c r="AC130" i="5905"/>
  <c r="AC132" i="5905" s="1"/>
  <c r="T130" i="5903"/>
  <c r="T132" i="5903" s="1"/>
  <c r="S140" i="5900"/>
  <c r="F139" i="5905"/>
  <c r="N140" i="5902"/>
  <c r="AA126" i="5901"/>
  <c r="AA128" i="5901"/>
  <c r="AN139" i="5912"/>
  <c r="AN140" i="5912" s="1"/>
  <c r="AN142" i="5912" s="1"/>
  <c r="AN144" i="5912" s="1"/>
  <c r="T142" i="5913"/>
  <c r="T144" i="5913" s="1"/>
  <c r="T139" i="5913"/>
  <c r="T140" i="5913" s="1"/>
  <c r="T143" i="5913" s="1"/>
  <c r="S139" i="5908"/>
  <c r="R139" i="5902"/>
  <c r="AA130" i="5917"/>
  <c r="AA132" i="5917" s="1"/>
  <c r="AJ126" i="5897"/>
  <c r="AJ128" i="5897"/>
  <c r="AC126" i="5901"/>
  <c r="AC130" i="5901" s="1"/>
  <c r="AC132" i="5901" s="1"/>
  <c r="AC128" i="5901"/>
  <c r="T130" i="5916"/>
  <c r="T132" i="5916" s="1"/>
  <c r="Q139" i="5912"/>
  <c r="V130" i="5909"/>
  <c r="V132" i="5909" s="1"/>
  <c r="C151" i="5913"/>
  <c r="AP142" i="5911"/>
  <c r="AP144" i="5911" s="1"/>
  <c r="P145" i="5908"/>
  <c r="P120" i="5908"/>
  <c r="P131" i="5908" s="1"/>
  <c r="P126" i="5908"/>
  <c r="P128" i="5908"/>
  <c r="Q145" i="5897"/>
  <c r="Q126" i="5897"/>
  <c r="Q120" i="5897"/>
  <c r="Q131" i="5897" s="1"/>
  <c r="Q128" i="5897"/>
  <c r="L145" i="5901"/>
  <c r="L120" i="5901"/>
  <c r="L131" i="5901" s="1"/>
  <c r="L128" i="5901"/>
  <c r="L126" i="5901"/>
  <c r="L130" i="5901" s="1"/>
  <c r="AK130" i="5905"/>
  <c r="AK132" i="5905" s="1"/>
  <c r="C86" i="5902"/>
  <c r="C70" i="5902" s="1"/>
  <c r="T143" i="5904"/>
  <c r="T130" i="5906"/>
  <c r="T132" i="5906" s="1"/>
  <c r="M132" i="5912"/>
  <c r="AD142" i="5912"/>
  <c r="AD144" i="5912" s="1"/>
  <c r="Y126" i="5898"/>
  <c r="Y130" i="5898" s="1"/>
  <c r="Y132" i="5898" s="1"/>
  <c r="Y128" i="5898"/>
  <c r="AA142" i="5914"/>
  <c r="AA144" i="5914" s="1"/>
  <c r="AF130" i="5912"/>
  <c r="AF132" i="5912" s="1"/>
  <c r="M139" i="5903"/>
  <c r="K140" i="5906"/>
  <c r="AP130" i="5917"/>
  <c r="AP132" i="5917" s="1"/>
  <c r="O139" i="5912"/>
  <c r="H130" i="5911"/>
  <c r="H132" i="5911" s="1"/>
  <c r="H139" i="5909"/>
  <c r="J139" i="5914"/>
  <c r="AD142" i="5916"/>
  <c r="AD144" i="5916" s="1"/>
  <c r="AP130" i="5905"/>
  <c r="AP132" i="5905" s="1"/>
  <c r="S137" i="5905"/>
  <c r="S142" i="5905" s="1"/>
  <c r="S144" i="5905" s="1"/>
  <c r="AR130" i="5917"/>
  <c r="AR132" i="5917" s="1"/>
  <c r="AD139" i="5917"/>
  <c r="AD140" i="5917" s="1"/>
  <c r="AD143" i="5917" s="1"/>
  <c r="AD142" i="5917"/>
  <c r="AD144" i="5917" s="1"/>
  <c r="F145" i="5907"/>
  <c r="F126" i="5907"/>
  <c r="F130" i="5907" s="1"/>
  <c r="F132" i="5907" s="1"/>
  <c r="F120" i="5907"/>
  <c r="F131" i="5907" s="1"/>
  <c r="F128" i="5907"/>
  <c r="Y126" i="5897"/>
  <c r="Y130" i="5897" s="1"/>
  <c r="Y132" i="5897" s="1"/>
  <c r="Y128" i="5897"/>
  <c r="M145" i="5907"/>
  <c r="M120" i="5907"/>
  <c r="M131" i="5907" s="1"/>
  <c r="M128" i="5907"/>
  <c r="M126" i="5907"/>
  <c r="P140" i="5906"/>
  <c r="P143" i="5906" s="1"/>
  <c r="P140" i="5916"/>
  <c r="P143" i="5916" s="1"/>
  <c r="AG143" i="5917"/>
  <c r="AG139" i="5917"/>
  <c r="AG140" i="5917" s="1"/>
  <c r="AG142" i="5917"/>
  <c r="AG144" i="5917" s="1"/>
  <c r="AC128" i="5899"/>
  <c r="AC126" i="5899"/>
  <c r="AC130" i="5899" s="1"/>
  <c r="AC132" i="5899" s="1"/>
  <c r="G139" i="5914"/>
  <c r="O145" i="5901"/>
  <c r="O120" i="5901"/>
  <c r="O131" i="5901" s="1"/>
  <c r="O128" i="5901"/>
  <c r="O126" i="5901"/>
  <c r="O130" i="5901" s="1"/>
  <c r="O132" i="5901" s="1"/>
  <c r="M145" i="5898"/>
  <c r="M120" i="5898"/>
  <c r="M131" i="5898" s="1"/>
  <c r="M128" i="5898"/>
  <c r="M126" i="5898"/>
  <c r="AO128" i="5898"/>
  <c r="AO126" i="5898"/>
  <c r="AO130" i="5898" s="1"/>
  <c r="AO132" i="5898" s="1"/>
  <c r="O139" i="5902"/>
  <c r="O139" i="5900"/>
  <c r="AF128" i="5899"/>
  <c r="AF126" i="5899"/>
  <c r="L140" i="5906"/>
  <c r="L143" i="5906" s="1"/>
  <c r="AR142" i="5905"/>
  <c r="AR144" i="5905" s="1"/>
  <c r="K140" i="5903"/>
  <c r="AK139" i="5911"/>
  <c r="AK140" i="5911" s="1"/>
  <c r="AK143" i="5911" s="1"/>
  <c r="H145" i="5910"/>
  <c r="H126" i="5910"/>
  <c r="H130" i="5910" s="1"/>
  <c r="H132" i="5910" s="1"/>
  <c r="H120" i="5910"/>
  <c r="H131" i="5910" s="1"/>
  <c r="H128" i="5910"/>
  <c r="F140" i="5917"/>
  <c r="J140" i="5912"/>
  <c r="J143" i="5912" s="1"/>
  <c r="W130" i="5900"/>
  <c r="W132" i="5900" s="1"/>
  <c r="AG143" i="5915"/>
  <c r="AK128" i="5910"/>
  <c r="AK126" i="5910"/>
  <c r="AK130" i="5910" s="1"/>
  <c r="AK132" i="5910" s="1"/>
  <c r="AB128" i="5909"/>
  <c r="AB126" i="5909"/>
  <c r="AB130" i="5909" s="1"/>
  <c r="AB132" i="5909" s="1"/>
  <c r="AA143" i="5913"/>
  <c r="AA139" i="5913"/>
  <c r="AA140" i="5913" s="1"/>
  <c r="AA142" i="5913" s="1"/>
  <c r="AA144" i="5913" s="1"/>
  <c r="X130" i="5905"/>
  <c r="X132" i="5905" s="1"/>
  <c r="N140" i="5914"/>
  <c r="AP143" i="5910"/>
  <c r="F145" i="5899"/>
  <c r="F120" i="5899"/>
  <c r="F131" i="5899" s="1"/>
  <c r="F126" i="5899"/>
  <c r="F130" i="5899" s="1"/>
  <c r="F132" i="5899" s="1"/>
  <c r="F128" i="5899"/>
  <c r="Z128" i="5899"/>
  <c r="Z126" i="5899"/>
  <c r="J130" i="5913"/>
  <c r="J132" i="5913" s="1"/>
  <c r="K145" i="5910"/>
  <c r="K120" i="5910"/>
  <c r="K131" i="5910" s="1"/>
  <c r="K126" i="5910"/>
  <c r="K128" i="5910"/>
  <c r="AB130" i="5902"/>
  <c r="AB132" i="5902" s="1"/>
  <c r="U128" i="5898"/>
  <c r="U126" i="5898"/>
  <c r="U130" i="5898" s="1"/>
  <c r="U132" i="5898" s="1"/>
  <c r="S145" i="5907"/>
  <c r="S126" i="5907"/>
  <c r="S120" i="5907"/>
  <c r="S131" i="5907" s="1"/>
  <c r="S128" i="5907"/>
  <c r="AP128" i="5909"/>
  <c r="AP126" i="5909"/>
  <c r="AP130" i="5909" s="1"/>
  <c r="AP132" i="5909" s="1"/>
  <c r="K137" i="5912"/>
  <c r="K139" i="5912"/>
  <c r="N137" i="5912"/>
  <c r="J137" i="5912"/>
  <c r="J142" i="5912" s="1"/>
  <c r="J144" i="5912" s="1"/>
  <c r="Z128" i="5910"/>
  <c r="Z126" i="5910"/>
  <c r="Z130" i="5910" s="1"/>
  <c r="Z132" i="5910" s="1"/>
  <c r="AR139" i="5913"/>
  <c r="AR140" i="5913" s="1"/>
  <c r="AR142" i="5913" s="1"/>
  <c r="AR144" i="5913" s="1"/>
  <c r="AC126" i="5897"/>
  <c r="AC130" i="5897" s="1"/>
  <c r="AC132" i="5897" s="1"/>
  <c r="AC128" i="5897"/>
  <c r="AJ126" i="5907"/>
  <c r="AJ130" i="5907" s="1"/>
  <c r="AJ132" i="5907" s="1"/>
  <c r="AJ128" i="5907"/>
  <c r="L139" i="5912"/>
  <c r="K145" i="5908"/>
  <c r="K120" i="5908"/>
  <c r="K131" i="5908" s="1"/>
  <c r="K128" i="5908"/>
  <c r="K126" i="5908"/>
  <c r="L145" i="5898"/>
  <c r="L120" i="5898"/>
  <c r="L131" i="5898" s="1"/>
  <c r="L126" i="5898"/>
  <c r="L128" i="5898"/>
  <c r="F140" i="5904"/>
  <c r="AN126" i="5898"/>
  <c r="AN128" i="5898"/>
  <c r="W128" i="5897"/>
  <c r="W126" i="5897"/>
  <c r="W130" i="5897" s="1"/>
  <c r="W132" i="5897" s="1"/>
  <c r="AO143" i="5912"/>
  <c r="AO139" i="5912"/>
  <c r="AO140" i="5912" s="1"/>
  <c r="AO142" i="5912"/>
  <c r="AO144" i="5912" s="1"/>
  <c r="L139" i="5913"/>
  <c r="Q139" i="5913"/>
  <c r="N139" i="5909"/>
  <c r="AP126" i="5899"/>
  <c r="AP130" i="5899" s="1"/>
  <c r="AP132" i="5899" s="1"/>
  <c r="AP128" i="5899"/>
  <c r="R139" i="5911"/>
  <c r="R140" i="5906"/>
  <c r="P145" i="5910"/>
  <c r="P120" i="5910"/>
  <c r="P131" i="5910" s="1"/>
  <c r="P128" i="5910"/>
  <c r="P126" i="5910"/>
  <c r="Y128" i="5901"/>
  <c r="Y126" i="5901"/>
  <c r="Y130" i="5901" s="1"/>
  <c r="Y132" i="5901" s="1"/>
  <c r="L139" i="5904"/>
  <c r="AM126" i="5898"/>
  <c r="AM128" i="5898"/>
  <c r="P140" i="5917"/>
  <c r="P143" i="5917" s="1"/>
  <c r="Q145" i="5910"/>
  <c r="Q128" i="5910"/>
  <c r="Q120" i="5910"/>
  <c r="Q131" i="5910" s="1"/>
  <c r="Q126" i="5910"/>
  <c r="AJ139" i="5917"/>
  <c r="AJ140" i="5917" s="1"/>
  <c r="AJ142" i="5917" s="1"/>
  <c r="AJ144" i="5917" s="1"/>
  <c r="G140" i="5916"/>
  <c r="S145" i="5910"/>
  <c r="S126" i="5910"/>
  <c r="S120" i="5910"/>
  <c r="S131" i="5910" s="1"/>
  <c r="S128" i="5910"/>
  <c r="AM143" i="5911"/>
  <c r="AL128" i="5910"/>
  <c r="AL126" i="5910"/>
  <c r="AL130" i="5910" s="1"/>
  <c r="AL132" i="5910" s="1"/>
  <c r="F139" i="5914"/>
  <c r="AO128" i="5899"/>
  <c r="AO126" i="5899"/>
  <c r="K139" i="5913"/>
  <c r="C85" i="5903"/>
  <c r="E145" i="5903"/>
  <c r="C84" i="5903"/>
  <c r="E128" i="5903"/>
  <c r="E120" i="5903"/>
  <c r="E131" i="5903" s="1"/>
  <c r="E126" i="5903"/>
  <c r="E130" i="5903" s="1"/>
  <c r="C151" i="5912"/>
  <c r="P137" i="5913"/>
  <c r="AJ130" i="5909"/>
  <c r="AJ132" i="5909" s="1"/>
  <c r="Q130" i="5901"/>
  <c r="Q132" i="5901" s="1"/>
  <c r="T139" i="5910"/>
  <c r="T140" i="5910" s="1"/>
  <c r="T143" i="5910" s="1"/>
  <c r="T142" i="5910"/>
  <c r="T144" i="5910" s="1"/>
  <c r="AA128" i="5897"/>
  <c r="AA126" i="5897"/>
  <c r="F139" i="5902"/>
  <c r="Q139" i="5916"/>
  <c r="L140" i="5903"/>
  <c r="R130" i="5912"/>
  <c r="R132" i="5912" s="1"/>
  <c r="AL143" i="5900"/>
  <c r="E130" i="5915"/>
  <c r="E132" i="5915" s="1"/>
  <c r="AJ139" i="5899"/>
  <c r="AJ140" i="5899" s="1"/>
  <c r="AJ142" i="5899"/>
  <c r="AJ144" i="5899" s="1"/>
  <c r="AJ143" i="5899"/>
  <c r="AJ126" i="5910"/>
  <c r="AJ128" i="5910"/>
  <c r="P145" i="5898"/>
  <c r="P120" i="5898"/>
  <c r="P131" i="5898" s="1"/>
  <c r="P126" i="5898"/>
  <c r="P130" i="5898" s="1"/>
  <c r="P132" i="5898" s="1"/>
  <c r="P128" i="5898"/>
  <c r="J145" i="5907"/>
  <c r="J126" i="5907"/>
  <c r="J128" i="5907"/>
  <c r="J120" i="5907"/>
  <c r="J131" i="5907" s="1"/>
  <c r="AG139" i="5901"/>
  <c r="AG140" i="5901" s="1"/>
  <c r="AG143" i="5901" s="1"/>
  <c r="O145" i="5897"/>
  <c r="O120" i="5897"/>
  <c r="O131" i="5897" s="1"/>
  <c r="O126" i="5897"/>
  <c r="O128" i="5897"/>
  <c r="R130" i="5908"/>
  <c r="R132" i="5908" s="1"/>
  <c r="Q132" i="5899"/>
  <c r="H145" i="5898"/>
  <c r="H120" i="5898"/>
  <c r="H131" i="5898" s="1"/>
  <c r="H128" i="5898"/>
  <c r="H126" i="5898"/>
  <c r="H130" i="5898" s="1"/>
  <c r="AC139" i="5913"/>
  <c r="AC140" i="5913" s="1"/>
  <c r="AC142" i="5913" s="1"/>
  <c r="AC144" i="5913" s="1"/>
  <c r="AC143" i="5913"/>
  <c r="Z128" i="5898"/>
  <c r="Z126" i="5898"/>
  <c r="X143" i="5900"/>
  <c r="X139" i="5900"/>
  <c r="X140" i="5900" s="1"/>
  <c r="X142" i="5900" s="1"/>
  <c r="X144" i="5900" s="1"/>
  <c r="U143" i="5908"/>
  <c r="U139" i="5908"/>
  <c r="U140" i="5908" s="1"/>
  <c r="U142" i="5908" s="1"/>
  <c r="U144" i="5908" s="1"/>
  <c r="W139" i="5911"/>
  <c r="W140" i="5911" s="1"/>
  <c r="W142" i="5911" s="1"/>
  <c r="W144" i="5911" s="1"/>
  <c r="X143" i="5909"/>
  <c r="X142" i="5909"/>
  <c r="X144" i="5909" s="1"/>
  <c r="X139" i="5909"/>
  <c r="X140" i="5909" s="1"/>
  <c r="Q140" i="5904"/>
  <c r="AF126" i="5898"/>
  <c r="AF128" i="5898"/>
  <c r="M137" i="5912"/>
  <c r="N140" i="5906"/>
  <c r="AJ130" i="5914"/>
  <c r="AJ132" i="5914" s="1"/>
  <c r="P145" i="5897"/>
  <c r="P126" i="5897"/>
  <c r="P130" i="5897" s="1"/>
  <c r="P132" i="5897" s="1"/>
  <c r="P120" i="5897"/>
  <c r="P131" i="5897" s="1"/>
  <c r="P128" i="5897"/>
  <c r="J130" i="5915"/>
  <c r="J132" i="5915" s="1"/>
  <c r="J130" i="5898"/>
  <c r="J132" i="5898" s="1"/>
  <c r="AQ143" i="5902"/>
  <c r="AQ139" i="5902"/>
  <c r="AQ140" i="5902" s="1"/>
  <c r="AQ142" i="5902" s="1"/>
  <c r="AQ144" i="5902" s="1"/>
  <c r="AF139" i="5900"/>
  <c r="AF140" i="5900" s="1"/>
  <c r="AF143" i="5900"/>
  <c r="AF142" i="5900"/>
  <c r="AF144" i="5900" s="1"/>
  <c r="O139" i="5899"/>
  <c r="AO126" i="5910"/>
  <c r="AO128" i="5910"/>
  <c r="Q130" i="5906"/>
  <c r="Q132" i="5906" s="1"/>
  <c r="AN130" i="5917"/>
  <c r="AN132" i="5917" s="1"/>
  <c r="Y126" i="5910"/>
  <c r="Y130" i="5910" s="1"/>
  <c r="Y132" i="5910" s="1"/>
  <c r="Y128" i="5910"/>
  <c r="N145" i="5908"/>
  <c r="N120" i="5908"/>
  <c r="N131" i="5908" s="1"/>
  <c r="N126" i="5908"/>
  <c r="N130" i="5908" s="1"/>
  <c r="N132" i="5908" s="1"/>
  <c r="N128" i="5908"/>
  <c r="R145" i="5898"/>
  <c r="R120" i="5898"/>
  <c r="R131" i="5898" s="1"/>
  <c r="R128" i="5898"/>
  <c r="R126" i="5898"/>
  <c r="R130" i="5898" s="1"/>
  <c r="G137" i="5905"/>
  <c r="N140" i="5904"/>
  <c r="M145" i="5910"/>
  <c r="M126" i="5910"/>
  <c r="M120" i="5910"/>
  <c r="M131" i="5910" s="1"/>
  <c r="M128" i="5910"/>
  <c r="R139" i="5914"/>
  <c r="AG128" i="5899"/>
  <c r="AG126" i="5899"/>
  <c r="AG130" i="5899" s="1"/>
  <c r="AG132" i="5899" s="1"/>
  <c r="E130" i="5900"/>
  <c r="E132" i="5900" s="1"/>
  <c r="AR139" i="5902"/>
  <c r="AR140" i="5902" s="1"/>
  <c r="AR143" i="5902" s="1"/>
  <c r="H139" i="5901"/>
  <c r="I145" i="5901"/>
  <c r="I120" i="5901"/>
  <c r="I131" i="5901" s="1"/>
  <c r="I128" i="5901"/>
  <c r="I126" i="5901"/>
  <c r="Z142" i="5915"/>
  <c r="Z144" i="5915" s="1"/>
  <c r="AN143" i="5901"/>
  <c r="AR143" i="5900"/>
  <c r="F139" i="5912"/>
  <c r="AF143" i="5909"/>
  <c r="H140" i="5900"/>
  <c r="W142" i="5912"/>
  <c r="W144" i="5912" s="1"/>
  <c r="AK143" i="5904"/>
  <c r="S139" i="5912"/>
  <c r="T126" i="5898"/>
  <c r="T130" i="5898" s="1"/>
  <c r="T132" i="5898" s="1"/>
  <c r="T128" i="5898"/>
  <c r="J140" i="5909"/>
  <c r="AL128" i="5898"/>
  <c r="AL126" i="5898"/>
  <c r="AL130" i="5898" s="1"/>
  <c r="AL132" i="5898" s="1"/>
  <c r="X139" i="5913"/>
  <c r="X140" i="5913" s="1"/>
  <c r="X143" i="5913" s="1"/>
  <c r="I139" i="5897"/>
  <c r="X126" i="5903"/>
  <c r="X120" i="5903"/>
  <c r="X131" i="5903" s="1"/>
  <c r="X128" i="5903"/>
  <c r="AQ128" i="5901"/>
  <c r="AQ126" i="5901"/>
  <c r="F139" i="5901"/>
  <c r="L145" i="5899"/>
  <c r="L120" i="5899"/>
  <c r="L131" i="5899" s="1"/>
  <c r="L128" i="5899"/>
  <c r="L126" i="5899"/>
  <c r="L130" i="5899" s="1"/>
  <c r="Y139" i="5913"/>
  <c r="Y140" i="5913" s="1"/>
  <c r="Y142" i="5913" s="1"/>
  <c r="Y144" i="5913" s="1"/>
  <c r="Y143" i="5913"/>
  <c r="AD128" i="5910"/>
  <c r="AD126" i="5910"/>
  <c r="K140" i="5900"/>
  <c r="AH128" i="5898"/>
  <c r="AH126" i="5898"/>
  <c r="AH130" i="5898" s="1"/>
  <c r="AH132" i="5898" s="1"/>
  <c r="H145" i="5908"/>
  <c r="C151" i="5908" s="1"/>
  <c r="H128" i="5908"/>
  <c r="H120" i="5908"/>
  <c r="H131" i="5908" s="1"/>
  <c r="H126" i="5908"/>
  <c r="H130" i="5908" s="1"/>
  <c r="N145" i="5899"/>
  <c r="N120" i="5899"/>
  <c r="N131" i="5899" s="1"/>
  <c r="N126" i="5899"/>
  <c r="N130" i="5899" s="1"/>
  <c r="N128" i="5899"/>
  <c r="K139" i="5905"/>
  <c r="F140" i="5916"/>
  <c r="Y126" i="5907"/>
  <c r="Y128" i="5907"/>
  <c r="AN130" i="5911"/>
  <c r="AN132" i="5911" s="1"/>
  <c r="L140" i="5914"/>
  <c r="N137" i="5913"/>
  <c r="R137" i="5913"/>
  <c r="R145" i="5910"/>
  <c r="R126" i="5910"/>
  <c r="R120" i="5910"/>
  <c r="R131" i="5910" s="1"/>
  <c r="R128" i="5910"/>
  <c r="O130" i="5913"/>
  <c r="O132" i="5913" s="1"/>
  <c r="E130" i="5911"/>
  <c r="E132" i="5911" s="1"/>
  <c r="Y130" i="5912"/>
  <c r="Y132" i="5912" s="1"/>
  <c r="AK139" i="5900"/>
  <c r="AK140" i="5900" s="1"/>
  <c r="AK142" i="5900"/>
  <c r="AK144" i="5900" s="1"/>
  <c r="AK143" i="5900"/>
  <c r="I140" i="5902"/>
  <c r="C86" i="5912"/>
  <c r="C70" i="5912" s="1"/>
  <c r="AI128" i="5899"/>
  <c r="AI126" i="5899"/>
  <c r="J130" i="5906"/>
  <c r="J132" i="5906" s="1"/>
  <c r="O140" i="5911"/>
  <c r="Q137" i="5913"/>
  <c r="G137" i="5913"/>
  <c r="G142" i="5913" s="1"/>
  <c r="G144" i="5913" s="1"/>
  <c r="V130" i="5916"/>
  <c r="V132" i="5916" s="1"/>
  <c r="AL128" i="5908"/>
  <c r="AL126" i="5908"/>
  <c r="Q130" i="5900"/>
  <c r="Q132" i="5900" s="1"/>
  <c r="X130" i="5915"/>
  <c r="X132" i="5915" s="1"/>
  <c r="AC130" i="5916"/>
  <c r="AC132" i="5916" s="1"/>
  <c r="C86" i="5915"/>
  <c r="C70" i="5915" s="1"/>
  <c r="V130" i="5915"/>
  <c r="V132" i="5915" s="1"/>
  <c r="Z126" i="5897"/>
  <c r="Z130" i="5897" s="1"/>
  <c r="Z132" i="5897" s="1"/>
  <c r="Z128" i="5897"/>
  <c r="I145" i="5899"/>
  <c r="I120" i="5899"/>
  <c r="I131" i="5899" s="1"/>
  <c r="I128" i="5899"/>
  <c r="I126" i="5899"/>
  <c r="I130" i="5899" s="1"/>
  <c r="I132" i="5899" s="1"/>
  <c r="AG126" i="5907"/>
  <c r="AG130" i="5907" s="1"/>
  <c r="AG132" i="5907" s="1"/>
  <c r="AG128" i="5907"/>
  <c r="N145" i="5910"/>
  <c r="N126" i="5910"/>
  <c r="N120" i="5910"/>
  <c r="N131" i="5910" s="1"/>
  <c r="N128" i="5910"/>
  <c r="AJ130" i="5916"/>
  <c r="AJ132" i="5916" s="1"/>
  <c r="T130" i="5911"/>
  <c r="T132" i="5911" s="1"/>
  <c r="W130" i="5917"/>
  <c r="W132" i="5917" s="1"/>
  <c r="F139" i="5915"/>
  <c r="AH128" i="5910"/>
  <c r="AH126" i="5910"/>
  <c r="J145" i="5903"/>
  <c r="J120" i="5903"/>
  <c r="J131" i="5903" s="1"/>
  <c r="J128" i="5903"/>
  <c r="J126" i="5903"/>
  <c r="J130" i="5903" s="1"/>
  <c r="J132" i="5903" s="1"/>
  <c r="I139" i="5916"/>
  <c r="G139" i="5915"/>
  <c r="I145" i="5907"/>
  <c r="I120" i="5907"/>
  <c r="I131" i="5907" s="1"/>
  <c r="I128" i="5907"/>
  <c r="I126" i="5907"/>
  <c r="I130" i="5907" s="1"/>
  <c r="I132" i="5907" s="1"/>
  <c r="I130" i="5903"/>
  <c r="I132" i="5903" s="1"/>
  <c r="O140" i="5906"/>
  <c r="R145" i="5903"/>
  <c r="R120" i="5903"/>
  <c r="R131" i="5903" s="1"/>
  <c r="R126" i="5903"/>
  <c r="R128" i="5903"/>
  <c r="AL126" i="5907"/>
  <c r="AL130" i="5907" s="1"/>
  <c r="AL132" i="5907" s="1"/>
  <c r="AL128" i="5907"/>
  <c r="AB130" i="5916"/>
  <c r="AB132" i="5916" s="1"/>
  <c r="AH139" i="5911"/>
  <c r="AH140" i="5911" s="1"/>
  <c r="AH142" i="5911"/>
  <c r="AH144" i="5911" s="1"/>
  <c r="AH143" i="5911"/>
  <c r="AF126" i="5910"/>
  <c r="AF128" i="5910"/>
  <c r="U128" i="5899"/>
  <c r="U126" i="5899"/>
  <c r="U130" i="5899" s="1"/>
  <c r="U132" i="5899" s="1"/>
  <c r="O130" i="5914"/>
  <c r="O132" i="5914" s="1"/>
  <c r="AE143" i="5900"/>
  <c r="AH142" i="5913"/>
  <c r="AH144" i="5913" s="1"/>
  <c r="AN126" i="5908"/>
  <c r="AN130" i="5908" s="1"/>
  <c r="AN132" i="5908" s="1"/>
  <c r="AN128" i="5908"/>
  <c r="AP142" i="5913"/>
  <c r="AP144" i="5913" s="1"/>
  <c r="AP139" i="5913"/>
  <c r="AP140" i="5913" s="1"/>
  <c r="AP143" i="5913" s="1"/>
  <c r="P137" i="5912"/>
  <c r="E137" i="5912"/>
  <c r="E145" i="5910"/>
  <c r="C84" i="5910"/>
  <c r="C85" i="5910"/>
  <c r="E126" i="5910"/>
  <c r="E120" i="5910"/>
  <c r="E131" i="5910" s="1"/>
  <c r="E128" i="5910"/>
  <c r="Z142" i="5909"/>
  <c r="Z144" i="5909" s="1"/>
  <c r="AO126" i="5897"/>
  <c r="AO128" i="5897"/>
  <c r="AB126" i="5901"/>
  <c r="AB128" i="5901"/>
  <c r="AR126" i="5910"/>
  <c r="AR130" i="5910" s="1"/>
  <c r="AR132" i="5910" s="1"/>
  <c r="AR128" i="5910"/>
  <c r="AE128" i="5908"/>
  <c r="AE126" i="5908"/>
  <c r="J130" i="5900"/>
  <c r="J132" i="5900" s="1"/>
  <c r="T132" i="5905"/>
  <c r="AI126" i="5898"/>
  <c r="AI130" i="5898" s="1"/>
  <c r="AI132" i="5898" s="1"/>
  <c r="AI128" i="5898"/>
  <c r="N140" i="5917"/>
  <c r="N143" i="5917" s="1"/>
  <c r="AC139" i="5912"/>
  <c r="AC140" i="5912" s="1"/>
  <c r="AC143" i="5912" s="1"/>
  <c r="AF143" i="5914"/>
  <c r="Q130" i="5915"/>
  <c r="Q132" i="5915" s="1"/>
  <c r="V139" i="5906"/>
  <c r="V140" i="5906" s="1"/>
  <c r="V143" i="5906" s="1"/>
  <c r="AR128" i="5899"/>
  <c r="AR126" i="5899"/>
  <c r="O145" i="5898"/>
  <c r="O128" i="5898"/>
  <c r="O126" i="5898"/>
  <c r="O120" i="5898"/>
  <c r="O131" i="5898" s="1"/>
  <c r="I137" i="5905"/>
  <c r="X128" i="5897"/>
  <c r="X126" i="5897"/>
  <c r="X130" i="5897" s="1"/>
  <c r="X132" i="5897" s="1"/>
  <c r="S145" i="5898"/>
  <c r="S120" i="5898"/>
  <c r="S131" i="5898" s="1"/>
  <c r="S128" i="5898"/>
  <c r="S126" i="5898"/>
  <c r="S130" i="5898" s="1"/>
  <c r="S132" i="5898" s="1"/>
  <c r="AK130" i="5912"/>
  <c r="AK132" i="5912" s="1"/>
  <c r="AG130" i="5916"/>
  <c r="AG132" i="5916" s="1"/>
  <c r="AF128" i="5908"/>
  <c r="AF126" i="5908"/>
  <c r="Z130" i="5914"/>
  <c r="Z132" i="5914" s="1"/>
  <c r="E145" i="5901"/>
  <c r="C84" i="5901"/>
  <c r="C85" i="5901"/>
  <c r="E126" i="5901"/>
  <c r="E120" i="5901"/>
  <c r="E131" i="5901" s="1"/>
  <c r="E128" i="5901"/>
  <c r="Q145" i="5908"/>
  <c r="Q120" i="5908"/>
  <c r="Q131" i="5908" s="1"/>
  <c r="Q126" i="5908"/>
  <c r="Q128" i="5908"/>
  <c r="E145" i="5899"/>
  <c r="C84" i="5899"/>
  <c r="C85" i="5899"/>
  <c r="E120" i="5899"/>
  <c r="E131" i="5899" s="1"/>
  <c r="E128" i="5899"/>
  <c r="E126" i="5899"/>
  <c r="S140" i="5916"/>
  <c r="G140" i="5906"/>
  <c r="S139" i="5914"/>
  <c r="E137" i="5905"/>
  <c r="N139" i="5911"/>
  <c r="K139" i="5911"/>
  <c r="H139" i="5903"/>
  <c r="N139" i="5916"/>
  <c r="AB126" i="5897"/>
  <c r="AB130" i="5897" s="1"/>
  <c r="AB132" i="5897" s="1"/>
  <c r="AB128" i="5897"/>
  <c r="S139" i="5915"/>
  <c r="W143" i="5916"/>
  <c r="W142" i="5916"/>
  <c r="W144" i="5916" s="1"/>
  <c r="W139" i="5916"/>
  <c r="W140" i="5916" s="1"/>
  <c r="AN139" i="5904"/>
  <c r="AN140" i="5904" s="1"/>
  <c r="AN142" i="5904" s="1"/>
  <c r="AN144" i="5904" s="1"/>
  <c r="N140" i="5903"/>
  <c r="G140" i="5917"/>
  <c r="G143" i="5917" s="1"/>
  <c r="L137" i="5912"/>
  <c r="AQ126" i="5907"/>
  <c r="AQ128" i="5907"/>
  <c r="AR142" i="5909"/>
  <c r="AR144" i="5909" s="1"/>
  <c r="AR139" i="5909"/>
  <c r="AR140" i="5909" s="1"/>
  <c r="AR143" i="5909" s="1"/>
  <c r="L139" i="5909"/>
  <c r="L139" i="5915"/>
  <c r="W139" i="5913"/>
  <c r="W140" i="5913" s="1"/>
  <c r="W142" i="5913" s="1"/>
  <c r="W144" i="5913" s="1"/>
  <c r="W143" i="5913"/>
  <c r="AD126" i="5899"/>
  <c r="AD130" i="5899" s="1"/>
  <c r="AD132" i="5899" s="1"/>
  <c r="AD128" i="5899"/>
  <c r="AD128" i="5907"/>
  <c r="AD126" i="5907"/>
  <c r="AD130" i="5907" s="1"/>
  <c r="AD132" i="5907" s="1"/>
  <c r="I140" i="5914"/>
  <c r="I143" i="5914" s="1"/>
  <c r="AA128" i="5899"/>
  <c r="AA126" i="5899"/>
  <c r="AQ128" i="5898"/>
  <c r="AQ126" i="5898"/>
  <c r="AE126" i="5910"/>
  <c r="AE128" i="5910"/>
  <c r="V142" i="5903"/>
  <c r="V144" i="5903" s="1"/>
  <c r="V139" i="5903"/>
  <c r="V140" i="5903" s="1"/>
  <c r="V143" i="5903"/>
  <c r="N145" i="5898"/>
  <c r="N126" i="5898"/>
  <c r="N128" i="5898"/>
  <c r="N120" i="5898"/>
  <c r="N131" i="5898" s="1"/>
  <c r="O145" i="5907"/>
  <c r="O126" i="5907"/>
  <c r="O130" i="5907" s="1"/>
  <c r="O132" i="5907" s="1"/>
  <c r="O120" i="5907"/>
  <c r="O131" i="5907" s="1"/>
  <c r="O128" i="5907"/>
  <c r="K139" i="5916"/>
  <c r="AR126" i="5897"/>
  <c r="AR128" i="5897"/>
  <c r="AR126" i="5907"/>
  <c r="AR128" i="5907"/>
  <c r="K145" i="5907"/>
  <c r="K128" i="5907"/>
  <c r="K120" i="5907"/>
  <c r="K131" i="5907" s="1"/>
  <c r="K126" i="5907"/>
  <c r="K130" i="5907" s="1"/>
  <c r="AB126" i="5899"/>
  <c r="AB128" i="5899"/>
  <c r="P139" i="5904"/>
  <c r="U139" i="5909"/>
  <c r="U140" i="5909" s="1"/>
  <c r="U142" i="5909" s="1"/>
  <c r="U144" i="5909" s="1"/>
  <c r="AF126" i="5907"/>
  <c r="AF130" i="5907" s="1"/>
  <c r="AF132" i="5907" s="1"/>
  <c r="AF128" i="5907"/>
  <c r="P139" i="5902"/>
  <c r="AB142" i="5912"/>
  <c r="AB144" i="5912" s="1"/>
  <c r="AB143" i="5912"/>
  <c r="AB139" i="5912"/>
  <c r="AB140" i="5912" s="1"/>
  <c r="N145" i="5907"/>
  <c r="N120" i="5907"/>
  <c r="N131" i="5907" s="1"/>
  <c r="N128" i="5907"/>
  <c r="N126" i="5907"/>
  <c r="N130" i="5907" s="1"/>
  <c r="N132" i="5907" s="1"/>
  <c r="E145" i="5907"/>
  <c r="C151" i="5907" s="1"/>
  <c r="C84" i="5907"/>
  <c r="C85" i="5907"/>
  <c r="C86" i="5907" s="1"/>
  <c r="C70" i="5907" s="1"/>
  <c r="E120" i="5907"/>
  <c r="E131" i="5907" s="1"/>
  <c r="E128" i="5907"/>
  <c r="E126" i="5907"/>
  <c r="E130" i="5907" s="1"/>
  <c r="E132" i="5907" s="1"/>
  <c r="X143" i="5916"/>
  <c r="X142" i="5916"/>
  <c r="X144" i="5916" s="1"/>
  <c r="X139" i="5916"/>
  <c r="X140" i="5916" s="1"/>
  <c r="AE139" i="5906"/>
  <c r="AE140" i="5906" s="1"/>
  <c r="AE142" i="5906" s="1"/>
  <c r="AE144" i="5906" s="1"/>
  <c r="AC128" i="5910"/>
  <c r="AC126" i="5910"/>
  <c r="P139" i="5912"/>
  <c r="AD143" i="5911"/>
  <c r="AD139" i="5911"/>
  <c r="AD140" i="5911" s="1"/>
  <c r="AD142" i="5911"/>
  <c r="AD144" i="5911" s="1"/>
  <c r="G139" i="5912"/>
  <c r="AQ126" i="5897"/>
  <c r="AQ130" i="5897" s="1"/>
  <c r="AQ132" i="5897" s="1"/>
  <c r="AQ128" i="5897"/>
  <c r="AG139" i="5897"/>
  <c r="AG140" i="5897" s="1"/>
  <c r="AG142" i="5897" s="1"/>
  <c r="AG144" i="5897" s="1"/>
  <c r="P139" i="5911"/>
  <c r="F139" i="5908"/>
  <c r="G140" i="5904"/>
  <c r="AI139" i="5897"/>
  <c r="AI140" i="5897" s="1"/>
  <c r="AI142" i="5897" s="1"/>
  <c r="AI144" i="5897" s="1"/>
  <c r="AD130" i="5900"/>
  <c r="AD132" i="5900" s="1"/>
  <c r="AC128" i="5903"/>
  <c r="AC126" i="5903"/>
  <c r="AP126" i="5898"/>
  <c r="AP130" i="5898" s="1"/>
  <c r="AP132" i="5898" s="1"/>
  <c r="AP128" i="5898"/>
  <c r="AE143" i="5914"/>
  <c r="AE139" i="5914"/>
  <c r="AE140" i="5914" s="1"/>
  <c r="AE142" i="5914"/>
  <c r="AE144" i="5914" s="1"/>
  <c r="T126" i="5899"/>
  <c r="T128" i="5899"/>
  <c r="AM128" i="5907"/>
  <c r="AM126" i="5907"/>
  <c r="AL128" i="5899"/>
  <c r="AL126" i="5899"/>
  <c r="G139" i="5902"/>
  <c r="K139" i="5915"/>
  <c r="G139" i="5898"/>
  <c r="M145" i="5899"/>
  <c r="M120" i="5899"/>
  <c r="M131" i="5899" s="1"/>
  <c r="M128" i="5899"/>
  <c r="M126" i="5899"/>
  <c r="M130" i="5899" s="1"/>
  <c r="M132" i="5899" s="1"/>
  <c r="AD142" i="5905"/>
  <c r="AD144" i="5905" s="1"/>
  <c r="AD139" i="5905"/>
  <c r="AD140" i="5905" s="1"/>
  <c r="AD143" i="5905" s="1"/>
  <c r="L139" i="5911"/>
  <c r="U132" i="5914"/>
  <c r="G130" i="5911"/>
  <c r="G132" i="5911" s="1"/>
  <c r="X126" i="5899"/>
  <c r="X130" i="5899" s="1"/>
  <c r="X132" i="5899" s="1"/>
  <c r="X128" i="5899"/>
  <c r="I140" i="5904"/>
  <c r="AH143" i="5904"/>
  <c r="AR130" i="5915"/>
  <c r="AR132" i="5915" s="1"/>
  <c r="I140" i="5905"/>
  <c r="I143" i="5905" s="1"/>
  <c r="L140" i="5902"/>
  <c r="K140" i="5909"/>
  <c r="N130" i="5913"/>
  <c r="N132" i="5913" s="1"/>
  <c r="F140" i="5906"/>
  <c r="AK126" i="5897"/>
  <c r="AK130" i="5897" s="1"/>
  <c r="AK132" i="5897" s="1"/>
  <c r="AK128" i="5897"/>
  <c r="AL126" i="5901"/>
  <c r="AL130" i="5901" s="1"/>
  <c r="AL132" i="5901" s="1"/>
  <c r="AL128" i="5901"/>
  <c r="K130" i="5899"/>
  <c r="K132" i="5899" s="1"/>
  <c r="AI139" i="5905"/>
  <c r="AI140" i="5905" s="1"/>
  <c r="AI143" i="5905"/>
  <c r="AI142" i="5905"/>
  <c r="AI144" i="5905" s="1"/>
  <c r="S139" i="5917"/>
  <c r="AB126" i="5908"/>
  <c r="AB128" i="5908"/>
  <c r="X130" i="5908"/>
  <c r="X132" i="5908" s="1"/>
  <c r="J145" i="5899"/>
  <c r="J120" i="5899"/>
  <c r="J131" i="5899" s="1"/>
  <c r="J126" i="5899"/>
  <c r="J130" i="5899" s="1"/>
  <c r="J132" i="5899" s="1"/>
  <c r="J128" i="5899"/>
  <c r="S132" i="5911"/>
  <c r="AJ130" i="5915"/>
  <c r="AJ132" i="5915" s="1"/>
  <c r="O145" i="5908"/>
  <c r="O128" i="5908"/>
  <c r="O126" i="5908"/>
  <c r="O120" i="5908"/>
  <c r="O131" i="5908" s="1"/>
  <c r="G130" i="5905"/>
  <c r="G132" i="5905" s="1"/>
  <c r="AR139" i="5898"/>
  <c r="AR140" i="5898" s="1"/>
  <c r="AR142" i="5898"/>
  <c r="AR144" i="5898" s="1"/>
  <c r="AR143" i="5898"/>
  <c r="Z128" i="5903"/>
  <c r="Z126" i="5903"/>
  <c r="AR128" i="5908"/>
  <c r="AR126" i="5908"/>
  <c r="AR130" i="5908" s="1"/>
  <c r="AR132" i="5908" s="1"/>
  <c r="AC128" i="5902"/>
  <c r="AC126" i="5902"/>
  <c r="AC130" i="5902" s="1"/>
  <c r="AC132" i="5902" s="1"/>
  <c r="M139" i="5911"/>
  <c r="AB126" i="5910"/>
  <c r="AB128" i="5910"/>
  <c r="W130" i="5903"/>
  <c r="W132" i="5903" s="1"/>
  <c r="AI130" i="5904"/>
  <c r="AI132" i="5904" s="1"/>
  <c r="O130" i="5917"/>
  <c r="O132" i="5917" s="1"/>
  <c r="R140" i="5909"/>
  <c r="R143" i="5909" s="1"/>
  <c r="Q139" i="5907"/>
  <c r="AF126" i="5897"/>
  <c r="AF128" i="5897"/>
  <c r="Y126" i="5908"/>
  <c r="Y128" i="5908"/>
  <c r="AQ143" i="5904"/>
  <c r="Z142" i="5902"/>
  <c r="Z144" i="5902" s="1"/>
  <c r="AG142" i="5902"/>
  <c r="AG144" i="5902" s="1"/>
  <c r="AQ126" i="5910"/>
  <c r="AQ128" i="5910"/>
  <c r="AR130" i="5906"/>
  <c r="AR132" i="5906" s="1"/>
  <c r="E130" i="5909"/>
  <c r="E132" i="5909" s="1"/>
  <c r="V130" i="5905"/>
  <c r="V132" i="5905" s="1"/>
  <c r="AA143" i="5915"/>
  <c r="AB130" i="5917"/>
  <c r="AB132" i="5917" s="1"/>
  <c r="AJ142" i="5902"/>
  <c r="AJ144" i="5902" s="1"/>
  <c r="I140" i="5906"/>
  <c r="AC143" i="5915"/>
  <c r="P140" i="5915"/>
  <c r="N145" i="5897"/>
  <c r="N120" i="5897"/>
  <c r="N131" i="5897" s="1"/>
  <c r="N126" i="5897"/>
  <c r="N130" i="5897" s="1"/>
  <c r="N132" i="5897" s="1"/>
  <c r="N128" i="5897"/>
  <c r="AP126" i="5901"/>
  <c r="AP128" i="5901"/>
  <c r="G145" i="5903"/>
  <c r="G120" i="5903"/>
  <c r="G131" i="5903" s="1"/>
  <c r="G126" i="5903"/>
  <c r="G128" i="5903"/>
  <c r="E132" i="5914"/>
  <c r="Y139" i="5904"/>
  <c r="Y140" i="5904" s="1"/>
  <c r="Y143" i="5904" s="1"/>
  <c r="Y142" i="5904"/>
  <c r="Y144" i="5904" s="1"/>
  <c r="L137" i="5905"/>
  <c r="Y128" i="5899"/>
  <c r="Y126" i="5899"/>
  <c r="AC142" i="5909"/>
  <c r="AC144" i="5909" s="1"/>
  <c r="AC139" i="5909"/>
  <c r="AC140" i="5909" s="1"/>
  <c r="AC143" i="5909"/>
  <c r="AJ139" i="5912"/>
  <c r="AJ140" i="5912" s="1"/>
  <c r="AJ143" i="5912"/>
  <c r="AJ142" i="5912"/>
  <c r="AJ144" i="5912" s="1"/>
  <c r="C151" i="5900"/>
  <c r="AD139" i="5906"/>
  <c r="AD140" i="5906" s="1"/>
  <c r="AD143" i="5906" s="1"/>
  <c r="AE126" i="5899"/>
  <c r="AE130" i="5899" s="1"/>
  <c r="AE132" i="5899" s="1"/>
  <c r="AE128" i="5899"/>
  <c r="I140" i="5915"/>
  <c r="I143" i="5915" s="1"/>
  <c r="V139" i="5907"/>
  <c r="V140" i="5907" s="1"/>
  <c r="V142" i="5907" s="1"/>
  <c r="V144" i="5907" s="1"/>
  <c r="AN128" i="5897"/>
  <c r="AN126" i="5897"/>
  <c r="AN130" i="5897" s="1"/>
  <c r="AN132" i="5897" s="1"/>
  <c r="R130" i="5917"/>
  <c r="R132" i="5917" s="1"/>
  <c r="K140" i="5901"/>
  <c r="L139" i="5905"/>
  <c r="H139" i="5912"/>
  <c r="AF142" i="5911"/>
  <c r="AF144" i="5911" s="1"/>
  <c r="AF128" i="5901"/>
  <c r="AF126" i="5901"/>
  <c r="AF130" i="5901" s="1"/>
  <c r="AF132" i="5901" s="1"/>
  <c r="AE139" i="5911"/>
  <c r="AE140" i="5911" s="1"/>
  <c r="AE143" i="5911"/>
  <c r="AE142" i="5911"/>
  <c r="AE144" i="5911" s="1"/>
  <c r="AH139" i="5899"/>
  <c r="AH140" i="5899" s="1"/>
  <c r="AH143" i="5899" s="1"/>
  <c r="O140" i="5909"/>
  <c r="G120" i="5897"/>
  <c r="G131" i="5897" s="1"/>
  <c r="G145" i="5897"/>
  <c r="G128" i="5897"/>
  <c r="G126" i="5897"/>
  <c r="G130" i="5897" s="1"/>
  <c r="G132" i="5897" s="1"/>
  <c r="AL126" i="5897"/>
  <c r="AL128" i="5897"/>
  <c r="AQ139" i="5903"/>
  <c r="AQ140" i="5903" s="1"/>
  <c r="AQ142" i="5903" s="1"/>
  <c r="AQ144" i="5903" s="1"/>
  <c r="AL142" i="5912"/>
  <c r="AL144" i="5912" s="1"/>
  <c r="AL139" i="5912"/>
  <c r="AL140" i="5912" s="1"/>
  <c r="AL143" i="5912" s="1"/>
  <c r="AM128" i="5897"/>
  <c r="AM126" i="5897"/>
  <c r="AM130" i="5897" s="1"/>
  <c r="AM132" i="5897" s="1"/>
  <c r="AN126" i="5903"/>
  <c r="AN128" i="5903"/>
  <c r="AC142" i="5914"/>
  <c r="AC144" i="5914" s="1"/>
  <c r="AC139" i="5914"/>
  <c r="AC140" i="5914" s="1"/>
  <c r="AC143" i="5914" s="1"/>
  <c r="J139" i="5897"/>
  <c r="P139" i="5900"/>
  <c r="AD126" i="5908"/>
  <c r="AD130" i="5908" s="1"/>
  <c r="AD132" i="5908" s="1"/>
  <c r="AD128" i="5908"/>
  <c r="T139" i="5912"/>
  <c r="T140" i="5912" s="1"/>
  <c r="T142" i="5912" s="1"/>
  <c r="T144" i="5912" s="1"/>
  <c r="U139" i="5916"/>
  <c r="U140" i="5916" s="1"/>
  <c r="U143" i="5916"/>
  <c r="U142" i="5916"/>
  <c r="U144" i="5916" s="1"/>
  <c r="AO139" i="5914"/>
  <c r="AO140" i="5914" s="1"/>
  <c r="AO143" i="5914" s="1"/>
  <c r="E139" i="5908"/>
  <c r="AO139" i="5917"/>
  <c r="AO140" i="5917" s="1"/>
  <c r="AO142" i="5917" s="1"/>
  <c r="AO144" i="5917" s="1"/>
  <c r="Z126" i="5901"/>
  <c r="Z128" i="5901"/>
  <c r="O140" i="5916"/>
  <c r="Y128" i="5903"/>
  <c r="Y126" i="5903"/>
  <c r="M140" i="5909"/>
  <c r="X120" i="5910"/>
  <c r="X131" i="5910" s="1"/>
  <c r="X126" i="5910"/>
  <c r="X128" i="5910"/>
  <c r="AN139" i="5916"/>
  <c r="AN140" i="5916" s="1"/>
  <c r="AN143" i="5916" s="1"/>
  <c r="AN142" i="5916"/>
  <c r="AN144" i="5916" s="1"/>
  <c r="AK139" i="5902"/>
  <c r="AK140" i="5902" s="1"/>
  <c r="AK143" i="5902" s="1"/>
  <c r="J145" i="5901"/>
  <c r="J120" i="5901"/>
  <c r="J131" i="5901" s="1"/>
  <c r="J126" i="5901"/>
  <c r="J128" i="5901"/>
  <c r="AI143" i="5911"/>
  <c r="AI139" i="5911"/>
  <c r="AI140" i="5911" s="1"/>
  <c r="AI142" i="5911" s="1"/>
  <c r="AI144" i="5911" s="1"/>
  <c r="H132" i="5913"/>
  <c r="S140" i="5906"/>
  <c r="E145" i="5897"/>
  <c r="C84" i="5897"/>
  <c r="E126" i="5897"/>
  <c r="C85" i="5897"/>
  <c r="C86" i="5897" s="1"/>
  <c r="C70" i="5897" s="1"/>
  <c r="E120" i="5897"/>
  <c r="E131" i="5897" s="1"/>
  <c r="E128" i="5897"/>
  <c r="Q139" i="5902"/>
  <c r="AP142" i="5916"/>
  <c r="AP144" i="5916" s="1"/>
  <c r="F145" i="5898"/>
  <c r="F120" i="5898"/>
  <c r="F131" i="5898" s="1"/>
  <c r="F128" i="5898"/>
  <c r="F126" i="5898"/>
  <c r="P130" i="5901"/>
  <c r="P132" i="5901" s="1"/>
  <c r="Q137" i="5905"/>
  <c r="Q142" i="5905" s="1"/>
  <c r="Q144" i="5905" s="1"/>
  <c r="U143" i="5911"/>
  <c r="AD143" i="5902"/>
  <c r="W139" i="5909"/>
  <c r="W140" i="5909" s="1"/>
  <c r="W143" i="5909" s="1"/>
  <c r="P145" i="5903"/>
  <c r="P126" i="5903"/>
  <c r="P128" i="5903"/>
  <c r="P120" i="5903"/>
  <c r="P131" i="5903" s="1"/>
  <c r="AC130" i="5917"/>
  <c r="AC132" i="5917" s="1"/>
  <c r="G139" i="5901"/>
  <c r="AI142" i="5916"/>
  <c r="AI144" i="5916" s="1"/>
  <c r="H140" i="5916"/>
  <c r="E140" i="5906"/>
  <c r="W139" i="5907"/>
  <c r="W140" i="5907" s="1"/>
  <c r="W143" i="5907" s="1"/>
  <c r="AK139" i="5901"/>
  <c r="AK140" i="5901" s="1"/>
  <c r="AK142" i="5901" s="1"/>
  <c r="AK144" i="5901" s="1"/>
  <c r="J139" i="5902"/>
  <c r="J139" i="5916"/>
  <c r="AI139" i="5917"/>
  <c r="AI140" i="5917" s="1"/>
  <c r="AI142" i="5917" s="1"/>
  <c r="AI144" i="5917" s="1"/>
  <c r="AD128" i="5897"/>
  <c r="AD126" i="5897"/>
  <c r="AD130" i="5897" s="1"/>
  <c r="AD132" i="5897" s="1"/>
  <c r="AL142" i="5914"/>
  <c r="AL144" i="5914" s="1"/>
  <c r="AL139" i="5914"/>
  <c r="AL140" i="5914" s="1"/>
  <c r="AL143" i="5914" s="1"/>
  <c r="AB128" i="5898"/>
  <c r="AB126" i="5898"/>
  <c r="V126" i="5899"/>
  <c r="V128" i="5899"/>
  <c r="J140" i="5905"/>
  <c r="J143" i="5905" s="1"/>
  <c r="I145" i="5910"/>
  <c r="I120" i="5910"/>
  <c r="I131" i="5910" s="1"/>
  <c r="I128" i="5910"/>
  <c r="I126" i="5910"/>
  <c r="AO126" i="5901"/>
  <c r="AO130" i="5901" s="1"/>
  <c r="AO132" i="5901" s="1"/>
  <c r="AO128" i="5901"/>
  <c r="C151" i="5915"/>
  <c r="F139" i="5910"/>
  <c r="AE139" i="5909"/>
  <c r="AE140" i="5909" s="1"/>
  <c r="AE142" i="5909" s="1"/>
  <c r="AE144" i="5909" s="1"/>
  <c r="AE139" i="5915"/>
  <c r="AE140" i="5915" s="1"/>
  <c r="AE142" i="5915" s="1"/>
  <c r="AE144" i="5915" s="1"/>
  <c r="C151" i="5911"/>
  <c r="R139" i="5915"/>
  <c r="U139" i="5910"/>
  <c r="U140" i="5910" s="1"/>
  <c r="U142" i="5910" s="1"/>
  <c r="U144" i="5910" s="1"/>
  <c r="R145" i="5897"/>
  <c r="R128" i="5897"/>
  <c r="R120" i="5897"/>
  <c r="R131" i="5897" s="1"/>
  <c r="R126" i="5897"/>
  <c r="R130" i="5897" s="1"/>
  <c r="R132" i="5897" s="1"/>
  <c r="E130" i="5917"/>
  <c r="E132" i="5917" s="1"/>
  <c r="AK143" i="5909"/>
  <c r="L140" i="5916"/>
  <c r="C86" i="5911"/>
  <c r="C70" i="5911" s="1"/>
  <c r="N139" i="5912"/>
  <c r="U143" i="5901"/>
  <c r="U139" i="5901"/>
  <c r="U140" i="5901" s="1"/>
  <c r="U142" i="5901" s="1"/>
  <c r="U144" i="5901" s="1"/>
  <c r="W128" i="5899"/>
  <c r="W126" i="5899"/>
  <c r="W130" i="5899" s="1"/>
  <c r="W132" i="5899" s="1"/>
  <c r="M130" i="5917"/>
  <c r="M132" i="5917" s="1"/>
  <c r="AJ130" i="5903"/>
  <c r="AJ132" i="5903" s="1"/>
  <c r="K140" i="5904"/>
  <c r="K143" i="5904" s="1"/>
  <c r="F137" i="5913"/>
  <c r="F142" i="5913" s="1"/>
  <c r="F144" i="5913" s="1"/>
  <c r="J137" i="5913"/>
  <c r="G145" i="5899"/>
  <c r="G120" i="5899"/>
  <c r="G131" i="5899" s="1"/>
  <c r="G126" i="5899"/>
  <c r="G128" i="5899"/>
  <c r="V139" i="5901"/>
  <c r="V140" i="5901" s="1"/>
  <c r="V143" i="5901" s="1"/>
  <c r="AL130" i="5911"/>
  <c r="AL132" i="5911" s="1"/>
  <c r="X126" i="5901"/>
  <c r="X128" i="5901"/>
  <c r="M140" i="5902"/>
  <c r="F140" i="5903"/>
  <c r="G145" i="5909"/>
  <c r="C151" i="5909" s="1"/>
  <c r="G126" i="5909"/>
  <c r="G130" i="5909" s="1"/>
  <c r="G128" i="5909"/>
  <c r="G120" i="5909"/>
  <c r="G131" i="5909" s="1"/>
  <c r="L130" i="5900"/>
  <c r="L132" i="5900" s="1"/>
  <c r="AI126" i="5903"/>
  <c r="AI130" i="5903" s="1"/>
  <c r="AI132" i="5903" s="1"/>
  <c r="AI128" i="5903"/>
  <c r="AE128" i="5898"/>
  <c r="AE126" i="5898"/>
  <c r="AE130" i="5898" s="1"/>
  <c r="AE132" i="5898" s="1"/>
  <c r="J140" i="5904"/>
  <c r="Z130" i="5911"/>
  <c r="Z132" i="5911" s="1"/>
  <c r="K140" i="5914"/>
  <c r="N140" i="5900"/>
  <c r="I130" i="5909"/>
  <c r="I132" i="5909" s="1"/>
  <c r="E130" i="5913"/>
  <c r="E132" i="5913" s="1"/>
  <c r="R139" i="5913"/>
  <c r="AI130" i="5912"/>
  <c r="AI132" i="5912" s="1"/>
  <c r="Q130" i="5909"/>
  <c r="Q132" i="5909" s="1"/>
  <c r="U130" i="5907"/>
  <c r="U132" i="5907" s="1"/>
  <c r="AB130" i="5915"/>
  <c r="AB132" i="5915" s="1"/>
  <c r="N130" i="5915"/>
  <c r="N132" i="5915" s="1"/>
  <c r="G145" i="5907"/>
  <c r="G126" i="5907"/>
  <c r="G128" i="5907"/>
  <c r="G120" i="5907"/>
  <c r="G131" i="5907" s="1"/>
  <c r="I139" i="5913"/>
  <c r="K139" i="5917"/>
  <c r="AA130" i="5907"/>
  <c r="AA132" i="5907" s="1"/>
  <c r="AH139" i="5916"/>
  <c r="AH140" i="5916" s="1"/>
  <c r="AH142" i="5916"/>
  <c r="AH144" i="5916" s="1"/>
  <c r="AH143" i="5916"/>
  <c r="C84" i="5909"/>
  <c r="C86" i="5909" s="1"/>
  <c r="C70" i="5909" s="1"/>
  <c r="L139" i="5910"/>
  <c r="W126" i="5898"/>
  <c r="W130" i="5898" s="1"/>
  <c r="W132" i="5898" s="1"/>
  <c r="W128" i="5898"/>
  <c r="V130" i="5908"/>
  <c r="V132" i="5908" s="1"/>
  <c r="C86" i="5914"/>
  <c r="C70" i="5914" s="1"/>
  <c r="P137" i="5905"/>
  <c r="O137" i="5905"/>
  <c r="Z130" i="5913"/>
  <c r="Z132" i="5913" s="1"/>
  <c r="E140" i="5916"/>
  <c r="H140" i="5902"/>
  <c r="H143" i="5902" s="1"/>
  <c r="P130" i="5913"/>
  <c r="P132" i="5913" s="1"/>
  <c r="C86" i="5900"/>
  <c r="C70" i="5900" s="1"/>
  <c r="U130" i="5906"/>
  <c r="U132" i="5906" s="1"/>
  <c r="R140" i="5916"/>
  <c r="S140" i="5909"/>
  <c r="R140" i="5904"/>
  <c r="R139" i="5905"/>
  <c r="P139" i="5905"/>
  <c r="C86" i="5901" l="1"/>
  <c r="C70" i="5901" s="1"/>
  <c r="C86" i="5903"/>
  <c r="C70" i="5903" s="1"/>
  <c r="C86" i="5899"/>
  <c r="C70" i="5899" s="1"/>
  <c r="C151" i="5901"/>
  <c r="I142" i="5905"/>
  <c r="I144" i="5905" s="1"/>
  <c r="AC142" i="5912"/>
  <c r="AC144" i="5912" s="1"/>
  <c r="AR143" i="5910"/>
  <c r="AR142" i="5910"/>
  <c r="AR144" i="5910" s="1"/>
  <c r="AR139" i="5910"/>
  <c r="AR140" i="5910" s="1"/>
  <c r="AJ139" i="5916"/>
  <c r="AJ140" i="5916" s="1"/>
  <c r="AJ143" i="5916" s="1"/>
  <c r="AJ142" i="5916"/>
  <c r="AJ144" i="5916" s="1"/>
  <c r="Z142" i="5897"/>
  <c r="Z144" i="5897" s="1"/>
  <c r="Z139" i="5897"/>
  <c r="Z140" i="5897" s="1"/>
  <c r="Z143" i="5897" s="1"/>
  <c r="O143" i="5911"/>
  <c r="O142" i="5911"/>
  <c r="O144" i="5911" s="1"/>
  <c r="O139" i="5913"/>
  <c r="S140" i="5912"/>
  <c r="Q140" i="5916"/>
  <c r="G143" i="5916"/>
  <c r="G142" i="5916"/>
  <c r="G144" i="5916" s="1"/>
  <c r="R140" i="5911"/>
  <c r="AC139" i="5897"/>
  <c r="AC140" i="5897" s="1"/>
  <c r="AC142" i="5897" s="1"/>
  <c r="AC144" i="5897" s="1"/>
  <c r="AC143" i="5897"/>
  <c r="Z130" i="5899"/>
  <c r="Z132" i="5899" s="1"/>
  <c r="AF142" i="5912"/>
  <c r="AF144" i="5912" s="1"/>
  <c r="AF139" i="5912"/>
  <c r="AF140" i="5912" s="1"/>
  <c r="AF143" i="5912"/>
  <c r="V139" i="5909"/>
  <c r="V140" i="5909" s="1"/>
  <c r="V142" i="5909"/>
  <c r="V144" i="5909" s="1"/>
  <c r="V143" i="5909"/>
  <c r="N143" i="5902"/>
  <c r="N142" i="5902"/>
  <c r="N144" i="5902" s="1"/>
  <c r="K140" i="5897"/>
  <c r="G139" i="5910"/>
  <c r="E139" i="5904"/>
  <c r="AH142" i="5908"/>
  <c r="AH144" i="5908" s="1"/>
  <c r="AH139" i="5908"/>
  <c r="AH140" i="5908" s="1"/>
  <c r="AH143" i="5908"/>
  <c r="P139" i="5909"/>
  <c r="K142" i="5904"/>
  <c r="K144" i="5904" s="1"/>
  <c r="AD139" i="5909"/>
  <c r="AD140" i="5909" s="1"/>
  <c r="AD142" i="5909" s="1"/>
  <c r="AD144" i="5909" s="1"/>
  <c r="AD143" i="5909"/>
  <c r="Q139" i="5914"/>
  <c r="M143" i="5900"/>
  <c r="M142" i="5900"/>
  <c r="M144" i="5900" s="1"/>
  <c r="H139" i="5907"/>
  <c r="Q140" i="5903"/>
  <c r="H140" i="5917"/>
  <c r="P142" i="5916"/>
  <c r="P144" i="5916" s="1"/>
  <c r="Z143" i="5907"/>
  <c r="Q140" i="5917"/>
  <c r="P130" i="5899"/>
  <c r="P132" i="5899" s="1"/>
  <c r="T130" i="5897"/>
  <c r="T132" i="5897" s="1"/>
  <c r="F132" i="5897"/>
  <c r="AR130" i="5903"/>
  <c r="AR132" i="5903" s="1"/>
  <c r="AG143" i="5900"/>
  <c r="AG139" i="5900"/>
  <c r="AG140" i="5900" s="1"/>
  <c r="AG142" i="5900" s="1"/>
  <c r="AG144" i="5900" s="1"/>
  <c r="F143" i="5909"/>
  <c r="F142" i="5909"/>
  <c r="F144" i="5909" s="1"/>
  <c r="K143" i="5902"/>
  <c r="K142" i="5902"/>
  <c r="K144" i="5902" s="1"/>
  <c r="H139" i="5914"/>
  <c r="AN143" i="5902"/>
  <c r="AN130" i="5899"/>
  <c r="AN132" i="5899" s="1"/>
  <c r="AN142" i="5913"/>
  <c r="AN144" i="5913" s="1"/>
  <c r="Q142" i="5911"/>
  <c r="Q144" i="5911" s="1"/>
  <c r="Q143" i="5911"/>
  <c r="AG130" i="5908"/>
  <c r="AG132" i="5908" s="1"/>
  <c r="AJ130" i="5898"/>
  <c r="AJ132" i="5898" s="1"/>
  <c r="AM142" i="5915"/>
  <c r="AM144" i="5915" s="1"/>
  <c r="AJ143" i="5915"/>
  <c r="AJ139" i="5915"/>
  <c r="AJ140" i="5915" s="1"/>
  <c r="AJ142" i="5915"/>
  <c r="AJ144" i="5915" s="1"/>
  <c r="U139" i="5914"/>
  <c r="U140" i="5914" s="1"/>
  <c r="U143" i="5914" s="1"/>
  <c r="AF142" i="5907"/>
  <c r="AF144" i="5907" s="1"/>
  <c r="AF139" i="5907"/>
  <c r="AF140" i="5907" s="1"/>
  <c r="AF143" i="5907" s="1"/>
  <c r="AB139" i="5897"/>
  <c r="AB140" i="5897" s="1"/>
  <c r="AB143" i="5897" s="1"/>
  <c r="V143" i="5908"/>
  <c r="V139" i="5908"/>
  <c r="V140" i="5908" s="1"/>
  <c r="V142" i="5908" s="1"/>
  <c r="V144" i="5908" s="1"/>
  <c r="F140" i="5910"/>
  <c r="AG143" i="5897"/>
  <c r="N140" i="5916"/>
  <c r="AH142" i="5898"/>
  <c r="AH144" i="5898" s="1"/>
  <c r="AH143" i="5898"/>
  <c r="AH139" i="5898"/>
  <c r="AH140" i="5898" s="1"/>
  <c r="AB143" i="5909"/>
  <c r="AB139" i="5909"/>
  <c r="AB140" i="5909" s="1"/>
  <c r="AB142" i="5909"/>
  <c r="AB144" i="5909" s="1"/>
  <c r="H139" i="5910"/>
  <c r="O139" i="5901"/>
  <c r="F139" i="5907"/>
  <c r="H140" i="5909"/>
  <c r="U139" i="5906"/>
  <c r="U140" i="5906" s="1"/>
  <c r="U142" i="5906" s="1"/>
  <c r="U144" i="5906" s="1"/>
  <c r="K140" i="5917"/>
  <c r="R140" i="5913"/>
  <c r="R143" i="5913" s="1"/>
  <c r="X130" i="5901"/>
  <c r="X132" i="5901" s="1"/>
  <c r="R140" i="5915"/>
  <c r="AB130" i="5898"/>
  <c r="AB132" i="5898" s="1"/>
  <c r="W142" i="5909"/>
  <c r="W144" i="5909" s="1"/>
  <c r="Q140" i="5902"/>
  <c r="Z130" i="5901"/>
  <c r="Z132" i="5901" s="1"/>
  <c r="AQ143" i="5903"/>
  <c r="E139" i="5914"/>
  <c r="P142" i="5915"/>
  <c r="P144" i="5915" s="1"/>
  <c r="P143" i="5915"/>
  <c r="O139" i="5917"/>
  <c r="Z130" i="5903"/>
  <c r="Z132" i="5903" s="1"/>
  <c r="T130" i="5899"/>
  <c r="T132" i="5899" s="1"/>
  <c r="AE143" i="5906"/>
  <c r="U143" i="5909"/>
  <c r="AR130" i="5907"/>
  <c r="AR132" i="5907" s="1"/>
  <c r="N130" i="5898"/>
  <c r="N132" i="5898" s="1"/>
  <c r="AN143" i="5904"/>
  <c r="C151" i="5899"/>
  <c r="AF130" i="5908"/>
  <c r="AF132" i="5908" s="1"/>
  <c r="O130" i="5898"/>
  <c r="O132" i="5898" s="1"/>
  <c r="AB130" i="5901"/>
  <c r="AB132" i="5901" s="1"/>
  <c r="I139" i="5903"/>
  <c r="AI130" i="5899"/>
  <c r="AI132" i="5899" s="1"/>
  <c r="K140" i="5905"/>
  <c r="X142" i="5913"/>
  <c r="X144" i="5913" s="1"/>
  <c r="O140" i="5899"/>
  <c r="W143" i="5911"/>
  <c r="AG142" i="5901"/>
  <c r="AG144" i="5901" s="1"/>
  <c r="AJ130" i="5910"/>
  <c r="AJ132" i="5910" s="1"/>
  <c r="F140" i="5902"/>
  <c r="E132" i="5903"/>
  <c r="F140" i="5914"/>
  <c r="AJ143" i="5917"/>
  <c r="L140" i="5904"/>
  <c r="K130" i="5908"/>
  <c r="K132" i="5908" s="1"/>
  <c r="AR143" i="5913"/>
  <c r="S130" i="5907"/>
  <c r="S132" i="5907" s="1"/>
  <c r="Q140" i="5912"/>
  <c r="S140" i="5908"/>
  <c r="F140" i="5905"/>
  <c r="W142" i="5910"/>
  <c r="W144" i="5910" s="1"/>
  <c r="AE142" i="5903"/>
  <c r="AE144" i="5903" s="1"/>
  <c r="V142" i="5913"/>
  <c r="V144" i="5913" s="1"/>
  <c r="P143" i="5914"/>
  <c r="P142" i="5914"/>
  <c r="P144" i="5914" s="1"/>
  <c r="N140" i="5901"/>
  <c r="E140" i="5902"/>
  <c r="J139" i="5917"/>
  <c r="AN142" i="5910"/>
  <c r="AN144" i="5910" s="1"/>
  <c r="AN139" i="5910"/>
  <c r="AN140" i="5910" s="1"/>
  <c r="AN143" i="5910"/>
  <c r="U143" i="5915"/>
  <c r="AQ139" i="5911"/>
  <c r="AQ140" i="5911" s="1"/>
  <c r="AQ143" i="5911" s="1"/>
  <c r="M130" i="5897"/>
  <c r="M132" i="5897" s="1"/>
  <c r="AK142" i="5915"/>
  <c r="AK144" i="5915" s="1"/>
  <c r="Z130" i="5908"/>
  <c r="Z132" i="5908" s="1"/>
  <c r="E130" i="5898"/>
  <c r="E132" i="5898" s="1"/>
  <c r="N142" i="5917"/>
  <c r="N144" i="5917" s="1"/>
  <c r="J142" i="5905"/>
  <c r="J144" i="5905" s="1"/>
  <c r="Q139" i="5909"/>
  <c r="AI139" i="5903"/>
  <c r="AI140" i="5903" s="1"/>
  <c r="AI143" i="5903" s="1"/>
  <c r="H142" i="5916"/>
  <c r="H144" i="5916" s="1"/>
  <c r="H143" i="5916"/>
  <c r="AD139" i="5907"/>
  <c r="AD140" i="5907" s="1"/>
  <c r="AD142" i="5907" s="1"/>
  <c r="AD144" i="5907" s="1"/>
  <c r="N130" i="5910"/>
  <c r="N132" i="5910" s="1"/>
  <c r="AC139" i="5916"/>
  <c r="AC140" i="5916" s="1"/>
  <c r="AC143" i="5916" s="1"/>
  <c r="AC142" i="5916"/>
  <c r="AC144" i="5916" s="1"/>
  <c r="R130" i="5910"/>
  <c r="R132" i="5910" s="1"/>
  <c r="F140" i="5901"/>
  <c r="N139" i="5908"/>
  <c r="AJ142" i="5914"/>
  <c r="AJ144" i="5914" s="1"/>
  <c r="AJ139" i="5914"/>
  <c r="AJ140" i="5914" s="1"/>
  <c r="AJ143" i="5914"/>
  <c r="Y139" i="5901"/>
  <c r="Y140" i="5901" s="1"/>
  <c r="Y142" i="5901" s="1"/>
  <c r="Y144" i="5901" s="1"/>
  <c r="AP143" i="5899"/>
  <c r="AP139" i="5899"/>
  <c r="AP140" i="5899" s="1"/>
  <c r="AP142" i="5899" s="1"/>
  <c r="AP144" i="5899" s="1"/>
  <c r="F139" i="5899"/>
  <c r="AK139" i="5910"/>
  <c r="AK140" i="5910" s="1"/>
  <c r="AK143" i="5910" s="1"/>
  <c r="O140" i="5900"/>
  <c r="Y139" i="5898"/>
  <c r="Y140" i="5898" s="1"/>
  <c r="Y143" i="5898" s="1"/>
  <c r="Y142" i="5898"/>
  <c r="Y144" i="5898" s="1"/>
  <c r="S142" i="5900"/>
  <c r="S144" i="5900" s="1"/>
  <c r="S143" i="5900"/>
  <c r="S139" i="5913"/>
  <c r="T142" i="5901"/>
  <c r="T144" i="5901" s="1"/>
  <c r="T139" i="5901"/>
  <c r="T140" i="5901" s="1"/>
  <c r="T143" i="5901" s="1"/>
  <c r="I140" i="5912"/>
  <c r="H139" i="5897"/>
  <c r="F140" i="5911"/>
  <c r="J142" i="5911"/>
  <c r="J144" i="5911" s="1"/>
  <c r="J143" i="5911"/>
  <c r="H139" i="5899"/>
  <c r="E139" i="5912"/>
  <c r="H142" i="5906"/>
  <c r="H144" i="5906" s="1"/>
  <c r="H143" i="5906"/>
  <c r="X139" i="5898"/>
  <c r="X140" i="5898" s="1"/>
  <c r="X142" i="5898" s="1"/>
  <c r="X144" i="5898" s="1"/>
  <c r="I140" i="5917"/>
  <c r="P142" i="5906"/>
  <c r="P144" i="5906" s="1"/>
  <c r="F143" i="5916"/>
  <c r="F142" i="5916"/>
  <c r="F144" i="5916" s="1"/>
  <c r="W142" i="5898"/>
  <c r="W144" i="5898" s="1"/>
  <c r="W143" i="5898"/>
  <c r="W139" i="5898"/>
  <c r="W140" i="5898" s="1"/>
  <c r="AJ142" i="5903"/>
  <c r="AJ144" i="5903" s="1"/>
  <c r="AJ139" i="5903"/>
  <c r="AJ140" i="5903" s="1"/>
  <c r="AJ143" i="5903"/>
  <c r="K139" i="5899"/>
  <c r="P139" i="5913"/>
  <c r="I140" i="5913"/>
  <c r="I139" i="5909"/>
  <c r="L139" i="5900"/>
  <c r="V142" i="5901"/>
  <c r="V144" i="5901" s="1"/>
  <c r="M139" i="5917"/>
  <c r="J140" i="5902"/>
  <c r="X130" i="5910"/>
  <c r="X132" i="5910" s="1"/>
  <c r="AO143" i="5917"/>
  <c r="T143" i="5912"/>
  <c r="AL130" i="5897"/>
  <c r="AL132" i="5897" s="1"/>
  <c r="V143" i="5907"/>
  <c r="G130" i="5903"/>
  <c r="G132" i="5903" s="1"/>
  <c r="W142" i="5903"/>
  <c r="W144" i="5903" s="1"/>
  <c r="W139" i="5903"/>
  <c r="W140" i="5903" s="1"/>
  <c r="W143" i="5903" s="1"/>
  <c r="F140" i="5908"/>
  <c r="P140" i="5904"/>
  <c r="AR130" i="5897"/>
  <c r="AR132" i="5897" s="1"/>
  <c r="Q130" i="5908"/>
  <c r="Q132" i="5908" s="1"/>
  <c r="AG139" i="5916"/>
  <c r="AG140" i="5916" s="1"/>
  <c r="AG143" i="5916" s="1"/>
  <c r="AG142" i="5916"/>
  <c r="AG144" i="5916" s="1"/>
  <c r="AO130" i="5897"/>
  <c r="AO132" i="5897" s="1"/>
  <c r="X143" i="5915"/>
  <c r="X139" i="5915"/>
  <c r="X140" i="5915" s="1"/>
  <c r="X142" i="5915" s="1"/>
  <c r="X144" i="5915" s="1"/>
  <c r="K143" i="5900"/>
  <c r="K142" i="5900"/>
  <c r="K144" i="5900" s="1"/>
  <c r="AL139" i="5898"/>
  <c r="AL140" i="5898" s="1"/>
  <c r="AL143" i="5898" s="1"/>
  <c r="H143" i="5900"/>
  <c r="H142" i="5900"/>
  <c r="H144" i="5900" s="1"/>
  <c r="H140" i="5901"/>
  <c r="N143" i="5906"/>
  <c r="N142" i="5906"/>
  <c r="N144" i="5906" s="1"/>
  <c r="H132" i="5898"/>
  <c r="AL142" i="5910"/>
  <c r="AL144" i="5910" s="1"/>
  <c r="AL143" i="5910"/>
  <c r="AL139" i="5910"/>
  <c r="AL140" i="5910" s="1"/>
  <c r="Q130" i="5910"/>
  <c r="Q132" i="5910" s="1"/>
  <c r="N140" i="5909"/>
  <c r="W143" i="5897"/>
  <c r="W139" i="5897"/>
  <c r="W140" i="5897" s="1"/>
  <c r="W142" i="5897" s="1"/>
  <c r="W144" i="5897" s="1"/>
  <c r="Z142" i="5910"/>
  <c r="Z144" i="5910" s="1"/>
  <c r="Z139" i="5910"/>
  <c r="Z140" i="5910" s="1"/>
  <c r="Z143" i="5910" s="1"/>
  <c r="U139" i="5898"/>
  <c r="U140" i="5898" s="1"/>
  <c r="U143" i="5898" s="1"/>
  <c r="AK142" i="5911"/>
  <c r="AK144" i="5911" s="1"/>
  <c r="H139" i="5911"/>
  <c r="Q130" i="5897"/>
  <c r="Q132" i="5897" s="1"/>
  <c r="T139" i="5916"/>
  <c r="T140" i="5916" s="1"/>
  <c r="T143" i="5916"/>
  <c r="T142" i="5916"/>
  <c r="T144" i="5916" s="1"/>
  <c r="AI130" i="5908"/>
  <c r="AI132" i="5908" s="1"/>
  <c r="O140" i="5905"/>
  <c r="O143" i="5905" s="1"/>
  <c r="L130" i="5897"/>
  <c r="L132" i="5897" s="1"/>
  <c r="T143" i="5907"/>
  <c r="T139" i="5907"/>
  <c r="T140" i="5907" s="1"/>
  <c r="T142" i="5907" s="1"/>
  <c r="T144" i="5907" s="1"/>
  <c r="I130" i="5898"/>
  <c r="I132" i="5898" s="1"/>
  <c r="AJ139" i="5904"/>
  <c r="AJ140" i="5904" s="1"/>
  <c r="AJ142" i="5904" s="1"/>
  <c r="AJ144" i="5904" s="1"/>
  <c r="S130" i="5899"/>
  <c r="S132" i="5899" s="1"/>
  <c r="R130" i="5901"/>
  <c r="R132" i="5901" s="1"/>
  <c r="AN142" i="5915"/>
  <c r="AN144" i="5915" s="1"/>
  <c r="W142" i="5905"/>
  <c r="W144" i="5905" s="1"/>
  <c r="AO143" i="5902"/>
  <c r="O140" i="5904"/>
  <c r="H142" i="5902"/>
  <c r="H144" i="5902" s="1"/>
  <c r="R142" i="5909"/>
  <c r="R144" i="5909" s="1"/>
  <c r="P139" i="5897"/>
  <c r="E139" i="5913"/>
  <c r="L143" i="5916"/>
  <c r="L142" i="5916"/>
  <c r="L144" i="5916" s="1"/>
  <c r="S140" i="5914"/>
  <c r="AL139" i="5901"/>
  <c r="AL140" i="5901" s="1"/>
  <c r="AL142" i="5901" s="1"/>
  <c r="AL144" i="5901" s="1"/>
  <c r="AR143" i="5915"/>
  <c r="AR139" i="5915"/>
  <c r="AR140" i="5915" s="1"/>
  <c r="AR142" i="5915" s="1"/>
  <c r="AR144" i="5915" s="1"/>
  <c r="K140" i="5915"/>
  <c r="G140" i="5912"/>
  <c r="K140" i="5916"/>
  <c r="H140" i="5903"/>
  <c r="G143" i="5906"/>
  <c r="G142" i="5906"/>
  <c r="G144" i="5906" s="1"/>
  <c r="AK139" i="5912"/>
  <c r="AK140" i="5912" s="1"/>
  <c r="AK142" i="5912" s="1"/>
  <c r="AK144" i="5912" s="1"/>
  <c r="AR130" i="5899"/>
  <c r="AR132" i="5899" s="1"/>
  <c r="AB142" i="5916"/>
  <c r="AB144" i="5916" s="1"/>
  <c r="AB139" i="5916"/>
  <c r="AB140" i="5916" s="1"/>
  <c r="AB143" i="5916" s="1"/>
  <c r="AH130" i="5910"/>
  <c r="AH132" i="5910" s="1"/>
  <c r="Q139" i="5900"/>
  <c r="AD130" i="5910"/>
  <c r="AD132" i="5910" s="1"/>
  <c r="AQ130" i="5901"/>
  <c r="AQ132" i="5901" s="1"/>
  <c r="M130" i="5910"/>
  <c r="M132" i="5910" s="1"/>
  <c r="AA130" i="5897"/>
  <c r="AA132" i="5897" s="1"/>
  <c r="P130" i="5910"/>
  <c r="P132" i="5910" s="1"/>
  <c r="M130" i="5907"/>
  <c r="M132" i="5907" s="1"/>
  <c r="O140" i="5912"/>
  <c r="M139" i="5912"/>
  <c r="T139" i="5903"/>
  <c r="T140" i="5903" s="1"/>
  <c r="T143" i="5903" s="1"/>
  <c r="I130" i="5908"/>
  <c r="I132" i="5908" s="1"/>
  <c r="V130" i="5898"/>
  <c r="V132" i="5898" s="1"/>
  <c r="AE143" i="5912"/>
  <c r="AM130" i="5908"/>
  <c r="AM132" i="5908" s="1"/>
  <c r="M142" i="5914"/>
  <c r="M144" i="5914" s="1"/>
  <c r="M143" i="5914"/>
  <c r="S140" i="5904"/>
  <c r="I139" i="5900"/>
  <c r="J139" i="5910"/>
  <c r="AG142" i="5909"/>
  <c r="AG144" i="5909" s="1"/>
  <c r="AG139" i="5909"/>
  <c r="AG140" i="5909" s="1"/>
  <c r="AG143" i="5909"/>
  <c r="R130" i="5907"/>
  <c r="R132" i="5907" s="1"/>
  <c r="K130" i="5898"/>
  <c r="K132" i="5898" s="1"/>
  <c r="X142" i="5902"/>
  <c r="X144" i="5902" s="1"/>
  <c r="C151" i="5898"/>
  <c r="P142" i="5917"/>
  <c r="P144" i="5917" s="1"/>
  <c r="H142" i="5904"/>
  <c r="H144" i="5904" s="1"/>
  <c r="AR139" i="5908"/>
  <c r="AR140" i="5908" s="1"/>
  <c r="AR142" i="5908" s="1"/>
  <c r="AR144" i="5908" s="1"/>
  <c r="AR143" i="5908"/>
  <c r="V130" i="5899"/>
  <c r="V132" i="5899" s="1"/>
  <c r="G139" i="5897"/>
  <c r="E139" i="5917"/>
  <c r="AE143" i="5915"/>
  <c r="I130" i="5910"/>
  <c r="I132" i="5910" s="1"/>
  <c r="AK143" i="5901"/>
  <c r="J130" i="5901"/>
  <c r="J132" i="5901" s="1"/>
  <c r="AN130" i="5903"/>
  <c r="AN132" i="5903" s="1"/>
  <c r="Y130" i="5908"/>
  <c r="Y132" i="5908" s="1"/>
  <c r="AB130" i="5910"/>
  <c r="AB132" i="5910" s="1"/>
  <c r="X143" i="5908"/>
  <c r="X139" i="5908"/>
  <c r="X140" i="5908" s="1"/>
  <c r="X142" i="5908" s="1"/>
  <c r="X144" i="5908" s="1"/>
  <c r="G140" i="5902"/>
  <c r="AD142" i="5899"/>
  <c r="AD144" i="5899" s="1"/>
  <c r="AD139" i="5899"/>
  <c r="AD140" i="5899" s="1"/>
  <c r="AD143" i="5899" s="1"/>
  <c r="S139" i="5898"/>
  <c r="AI142" i="5898"/>
  <c r="AI144" i="5898" s="1"/>
  <c r="AI143" i="5898"/>
  <c r="AI139" i="5898"/>
  <c r="AI140" i="5898" s="1"/>
  <c r="AN139" i="5908"/>
  <c r="AN140" i="5908" s="1"/>
  <c r="AN143" i="5908" s="1"/>
  <c r="AG139" i="5907"/>
  <c r="AG140" i="5907" s="1"/>
  <c r="AG142" i="5907"/>
  <c r="AG144" i="5907" s="1"/>
  <c r="AG143" i="5907"/>
  <c r="AL130" i="5908"/>
  <c r="AL132" i="5908" s="1"/>
  <c r="I143" i="5902"/>
  <c r="I142" i="5902"/>
  <c r="I144" i="5902" s="1"/>
  <c r="N132" i="5899"/>
  <c r="AR142" i="5902"/>
  <c r="AR144" i="5902" s="1"/>
  <c r="E139" i="5915"/>
  <c r="C151" i="5903"/>
  <c r="AB139" i="5902"/>
  <c r="AB140" i="5902" s="1"/>
  <c r="AB142" i="5902" s="1"/>
  <c r="AB144" i="5902" s="1"/>
  <c r="W139" i="5900"/>
  <c r="W140" i="5900" s="1"/>
  <c r="W142" i="5900" s="1"/>
  <c r="W144" i="5900" s="1"/>
  <c r="O140" i="5902"/>
  <c r="G140" i="5914"/>
  <c r="AR139" i="5917"/>
  <c r="AR140" i="5917" s="1"/>
  <c r="AR143" i="5917" s="1"/>
  <c r="AP143" i="5917"/>
  <c r="AP142" i="5917"/>
  <c r="AP144" i="5917" s="1"/>
  <c r="AP139" i="5917"/>
  <c r="AP140" i="5917" s="1"/>
  <c r="T139" i="5906"/>
  <c r="T140" i="5906" s="1"/>
  <c r="T143" i="5906" s="1"/>
  <c r="AC139" i="5901"/>
  <c r="AC140" i="5901" s="1"/>
  <c r="AC142" i="5901" s="1"/>
  <c r="AC144" i="5901" s="1"/>
  <c r="AC143" i="5901"/>
  <c r="AC139" i="5905"/>
  <c r="AC140" i="5905" s="1"/>
  <c r="AC142" i="5905" s="1"/>
  <c r="AC144" i="5905" s="1"/>
  <c r="N140" i="5905"/>
  <c r="F142" i="5900"/>
  <c r="F144" i="5900" s="1"/>
  <c r="F143" i="5900"/>
  <c r="AB142" i="5903"/>
  <c r="AB144" i="5903" s="1"/>
  <c r="AB139" i="5903"/>
  <c r="AB140" i="5903" s="1"/>
  <c r="AB143" i="5903"/>
  <c r="M140" i="5913"/>
  <c r="S139" i="5897"/>
  <c r="G142" i="5917"/>
  <c r="G144" i="5917" s="1"/>
  <c r="G140" i="5898"/>
  <c r="AF130" i="5910"/>
  <c r="AF132" i="5910" s="1"/>
  <c r="J139" i="5906"/>
  <c r="AL139" i="5911"/>
  <c r="AL140" i="5911" s="1"/>
  <c r="AL142" i="5911" s="1"/>
  <c r="AL144" i="5911" s="1"/>
  <c r="J139" i="5899"/>
  <c r="N142" i="5900"/>
  <c r="N144" i="5900" s="1"/>
  <c r="N143" i="5900"/>
  <c r="W139" i="5899"/>
  <c r="W140" i="5899" s="1"/>
  <c r="W143" i="5899" s="1"/>
  <c r="I142" i="5906"/>
  <c r="I144" i="5906" s="1"/>
  <c r="I143" i="5906"/>
  <c r="P140" i="5905"/>
  <c r="P143" i="5905" s="1"/>
  <c r="R140" i="5905"/>
  <c r="E142" i="5916"/>
  <c r="E143" i="5916"/>
  <c r="G130" i="5907"/>
  <c r="G132" i="5907" s="1"/>
  <c r="G132" i="5909"/>
  <c r="R139" i="5897"/>
  <c r="AD139" i="5908"/>
  <c r="AD140" i="5908" s="1"/>
  <c r="AD143" i="5908" s="1"/>
  <c r="AM139" i="5897"/>
  <c r="AM140" i="5897" s="1"/>
  <c r="AM143" i="5897" s="1"/>
  <c r="AB139" i="5917"/>
  <c r="AB140" i="5917" s="1"/>
  <c r="AB142" i="5917" s="1"/>
  <c r="AB144" i="5917" s="1"/>
  <c r="G139" i="5905"/>
  <c r="AK139" i="5897"/>
  <c r="AK140" i="5897" s="1"/>
  <c r="AK142" i="5897" s="1"/>
  <c r="AK144" i="5897" s="1"/>
  <c r="M139" i="5899"/>
  <c r="AP143" i="5898"/>
  <c r="AP139" i="5898"/>
  <c r="AP140" i="5898" s="1"/>
  <c r="AP142" i="5898" s="1"/>
  <c r="AP144" i="5898" s="1"/>
  <c r="E139" i="5907"/>
  <c r="K140" i="5911"/>
  <c r="T139" i="5905"/>
  <c r="T140" i="5905" s="1"/>
  <c r="T142" i="5905" s="1"/>
  <c r="T144" i="5905" s="1"/>
  <c r="AL139" i="5907"/>
  <c r="AL140" i="5907" s="1"/>
  <c r="AL143" i="5907" s="1"/>
  <c r="I139" i="5899"/>
  <c r="J142" i="5909"/>
  <c r="J144" i="5909" s="1"/>
  <c r="J143" i="5909"/>
  <c r="F140" i="5912"/>
  <c r="N142" i="5904"/>
  <c r="N144" i="5904" s="1"/>
  <c r="N143" i="5904"/>
  <c r="Y139" i="5910"/>
  <c r="Y140" i="5910" s="1"/>
  <c r="Y143" i="5910" s="1"/>
  <c r="J130" i="5907"/>
  <c r="J132" i="5907" s="1"/>
  <c r="AN130" i="5898"/>
  <c r="AN132" i="5898" s="1"/>
  <c r="K143" i="5903"/>
  <c r="K142" i="5903"/>
  <c r="K144" i="5903" s="1"/>
  <c r="AO143" i="5898"/>
  <c r="AO139" i="5898"/>
  <c r="AO140" i="5898" s="1"/>
  <c r="AO142" i="5898"/>
  <c r="AO144" i="5898" s="1"/>
  <c r="P130" i="5908"/>
  <c r="P132" i="5908" s="1"/>
  <c r="X139" i="5904"/>
  <c r="X140" i="5904" s="1"/>
  <c r="X143" i="5904" s="1"/>
  <c r="X142" i="5904"/>
  <c r="X144" i="5904" s="1"/>
  <c r="AK142" i="5907"/>
  <c r="AK144" i="5907" s="1"/>
  <c r="AK139" i="5907"/>
  <c r="AK140" i="5907" s="1"/>
  <c r="AK143" i="5907"/>
  <c r="AE139" i="5917"/>
  <c r="AE140" i="5917" s="1"/>
  <c r="AE143" i="5917"/>
  <c r="AE142" i="5917"/>
  <c r="AE144" i="5917" s="1"/>
  <c r="S140" i="5901"/>
  <c r="P140" i="5907"/>
  <c r="E139" i="5905"/>
  <c r="H139" i="5915"/>
  <c r="AE142" i="5907"/>
  <c r="AE144" i="5907" s="1"/>
  <c r="AE143" i="5907"/>
  <c r="AE139" i="5907"/>
  <c r="AE140" i="5907" s="1"/>
  <c r="AL142" i="5903"/>
  <c r="AL144" i="5903" s="1"/>
  <c r="AL143" i="5903"/>
  <c r="AL139" i="5903"/>
  <c r="AL140" i="5903" s="1"/>
  <c r="V143" i="5910"/>
  <c r="Z142" i="5912"/>
  <c r="Z144" i="5912" s="1"/>
  <c r="AP130" i="5907"/>
  <c r="AP132" i="5907" s="1"/>
  <c r="AK130" i="5903"/>
  <c r="AK132" i="5903" s="1"/>
  <c r="AO139" i="5908"/>
  <c r="AO140" i="5908" s="1"/>
  <c r="AO143" i="5908" s="1"/>
  <c r="C86" i="5898"/>
  <c r="C70" i="5898" s="1"/>
  <c r="AA139" i="5907"/>
  <c r="AA140" i="5907" s="1"/>
  <c r="AA143" i="5907" s="1"/>
  <c r="O143" i="5916"/>
  <c r="O142" i="5916"/>
  <c r="O144" i="5916" s="1"/>
  <c r="L140" i="5915"/>
  <c r="AI142" i="5912"/>
  <c r="AI144" i="5912" s="1"/>
  <c r="AI139" i="5912"/>
  <c r="AI140" i="5912" s="1"/>
  <c r="AI143" i="5912" s="1"/>
  <c r="AH142" i="5899"/>
  <c r="AH144" i="5899" s="1"/>
  <c r="AQ130" i="5910"/>
  <c r="AQ132" i="5910" s="1"/>
  <c r="S139" i="5911"/>
  <c r="L143" i="5902"/>
  <c r="L142" i="5902"/>
  <c r="L144" i="5902" s="1"/>
  <c r="L140" i="5909"/>
  <c r="O143" i="5906"/>
  <c r="O142" i="5906"/>
  <c r="O144" i="5906" s="1"/>
  <c r="V139" i="5915"/>
  <c r="V140" i="5915" s="1"/>
  <c r="V143" i="5915" s="1"/>
  <c r="V142" i="5915"/>
  <c r="V144" i="5915" s="1"/>
  <c r="R140" i="5914"/>
  <c r="L140" i="5911"/>
  <c r="G130" i="5899"/>
  <c r="G132" i="5899" s="1"/>
  <c r="AC139" i="5917"/>
  <c r="AC140" i="5917" s="1"/>
  <c r="AC143" i="5917" s="1"/>
  <c r="P139" i="5901"/>
  <c r="E130" i="5897"/>
  <c r="E132" i="5897" s="1"/>
  <c r="M143" i="5909"/>
  <c r="M142" i="5909"/>
  <c r="M144" i="5909" s="1"/>
  <c r="E140" i="5908"/>
  <c r="H140" i="5912"/>
  <c r="Y130" i="5899"/>
  <c r="Y132" i="5899" s="1"/>
  <c r="AP130" i="5901"/>
  <c r="AP132" i="5901" s="1"/>
  <c r="AF130" i="5897"/>
  <c r="AF132" i="5897" s="1"/>
  <c r="M140" i="5911"/>
  <c r="AB130" i="5908"/>
  <c r="AB132" i="5908" s="1"/>
  <c r="F143" i="5906"/>
  <c r="F142" i="5906"/>
  <c r="F144" i="5906" s="1"/>
  <c r="I143" i="5904"/>
  <c r="I142" i="5904"/>
  <c r="I144" i="5904" s="1"/>
  <c r="AC130" i="5903"/>
  <c r="AC132" i="5903" s="1"/>
  <c r="P140" i="5911"/>
  <c r="P140" i="5902"/>
  <c r="AB130" i="5899"/>
  <c r="AB132" i="5899" s="1"/>
  <c r="AE130" i="5910"/>
  <c r="AE132" i="5910" s="1"/>
  <c r="AQ130" i="5907"/>
  <c r="AQ132" i="5907" s="1"/>
  <c r="S142" i="5916"/>
  <c r="S144" i="5916" s="1"/>
  <c r="S143" i="5916"/>
  <c r="V142" i="5906"/>
  <c r="V144" i="5906" s="1"/>
  <c r="J139" i="5900"/>
  <c r="E130" i="5910"/>
  <c r="E132" i="5910" s="1"/>
  <c r="G140" i="5915"/>
  <c r="F140" i="5915"/>
  <c r="V143" i="5916"/>
  <c r="V139" i="5916"/>
  <c r="V140" i="5916" s="1"/>
  <c r="V142" i="5916"/>
  <c r="V144" i="5916" s="1"/>
  <c r="L142" i="5914"/>
  <c r="L144" i="5914" s="1"/>
  <c r="L143" i="5914"/>
  <c r="AN139" i="5917"/>
  <c r="AN140" i="5917" s="1"/>
  <c r="AN142" i="5917" s="1"/>
  <c r="AN144" i="5917" s="1"/>
  <c r="AF130" i="5898"/>
  <c r="AF132" i="5898" s="1"/>
  <c r="Q139" i="5899"/>
  <c r="R139" i="5912"/>
  <c r="Q140" i="5913"/>
  <c r="Q143" i="5913" s="1"/>
  <c r="L140" i="5912"/>
  <c r="K140" i="5912"/>
  <c r="K143" i="5912" s="1"/>
  <c r="K130" i="5910"/>
  <c r="K132" i="5910" s="1"/>
  <c r="N143" i="5914"/>
  <c r="N142" i="5914"/>
  <c r="N144" i="5914" s="1"/>
  <c r="AC139" i="5899"/>
  <c r="AC140" i="5899" s="1"/>
  <c r="AC143" i="5899" s="1"/>
  <c r="AC142" i="5899"/>
  <c r="AC144" i="5899" s="1"/>
  <c r="AP139" i="5905"/>
  <c r="AP140" i="5905" s="1"/>
  <c r="AP142" i="5905" s="1"/>
  <c r="AP144" i="5905" s="1"/>
  <c r="K142" i="5906"/>
  <c r="K144" i="5906" s="1"/>
  <c r="K143" i="5906"/>
  <c r="AJ130" i="5897"/>
  <c r="AJ132" i="5897" s="1"/>
  <c r="AN143" i="5912"/>
  <c r="AC130" i="5908"/>
  <c r="AC132" i="5908" s="1"/>
  <c r="AP142" i="5908"/>
  <c r="AP144" i="5908" s="1"/>
  <c r="L142" i="5908"/>
  <c r="L144" i="5908" s="1"/>
  <c r="L143" i="5908"/>
  <c r="R142" i="5900"/>
  <c r="R144" i="5900" s="1"/>
  <c r="R143" i="5900"/>
  <c r="X130" i="5907"/>
  <c r="X132" i="5907" s="1"/>
  <c r="AI130" i="5910"/>
  <c r="AI132" i="5910" s="1"/>
  <c r="I143" i="5911"/>
  <c r="I142" i="5911"/>
  <c r="I144" i="5911" s="1"/>
  <c r="M139" i="5901"/>
  <c r="O130" i="5910"/>
  <c r="O132" i="5910" s="1"/>
  <c r="AP130" i="5897"/>
  <c r="AP132" i="5897" s="1"/>
  <c r="O130" i="5903"/>
  <c r="O132" i="5903" s="1"/>
  <c r="J130" i="5908"/>
  <c r="J132" i="5908" s="1"/>
  <c r="G132" i="5908"/>
  <c r="S143" i="5903"/>
  <c r="S142" i="5903"/>
  <c r="S144" i="5903" s="1"/>
  <c r="I142" i="5914"/>
  <c r="I144" i="5914" s="1"/>
  <c r="R143" i="5916"/>
  <c r="R142" i="5916"/>
  <c r="R144" i="5916" s="1"/>
  <c r="E142" i="5906"/>
  <c r="E143" i="5906"/>
  <c r="J140" i="5897"/>
  <c r="U143" i="5910"/>
  <c r="H139" i="5913"/>
  <c r="AN139" i="5897"/>
  <c r="AN140" i="5897" s="1"/>
  <c r="AN142" i="5897" s="1"/>
  <c r="AN144" i="5897" s="1"/>
  <c r="AI143" i="5897"/>
  <c r="N139" i="5907"/>
  <c r="N142" i="5903"/>
  <c r="N144" i="5903" s="1"/>
  <c r="N143" i="5903"/>
  <c r="R143" i="5904"/>
  <c r="R142" i="5904"/>
  <c r="R144" i="5904" s="1"/>
  <c r="Z139" i="5913"/>
  <c r="Z140" i="5913" s="1"/>
  <c r="Z142" i="5913" s="1"/>
  <c r="Z144" i="5913" s="1"/>
  <c r="Z143" i="5913"/>
  <c r="N139" i="5915"/>
  <c r="Z139" i="5911"/>
  <c r="Z140" i="5911" s="1"/>
  <c r="Z142" i="5911" s="1"/>
  <c r="Z144" i="5911" s="1"/>
  <c r="AE143" i="5909"/>
  <c r="AI143" i="5917"/>
  <c r="W142" i="5907"/>
  <c r="W144" i="5907" s="1"/>
  <c r="F130" i="5898"/>
  <c r="F132" i="5898" s="1"/>
  <c r="AK142" i="5902"/>
  <c r="AK144" i="5902" s="1"/>
  <c r="Y130" i="5903"/>
  <c r="Y132" i="5903" s="1"/>
  <c r="AO142" i="5914"/>
  <c r="AO144" i="5914" s="1"/>
  <c r="P140" i="5900"/>
  <c r="O143" i="5909"/>
  <c r="O142" i="5909"/>
  <c r="O144" i="5909" s="1"/>
  <c r="L140" i="5905"/>
  <c r="L143" i="5905" s="1"/>
  <c r="AE143" i="5899"/>
  <c r="AE142" i="5899"/>
  <c r="AE144" i="5899" s="1"/>
  <c r="AE139" i="5899"/>
  <c r="AE140" i="5899" s="1"/>
  <c r="V139" i="5905"/>
  <c r="V140" i="5905" s="1"/>
  <c r="V142" i="5905" s="1"/>
  <c r="V144" i="5905" s="1"/>
  <c r="V143" i="5905"/>
  <c r="Q140" i="5907"/>
  <c r="O130" i="5908"/>
  <c r="O132" i="5908" s="1"/>
  <c r="AL130" i="5899"/>
  <c r="AL132" i="5899" s="1"/>
  <c r="K132" i="5907"/>
  <c r="AQ130" i="5898"/>
  <c r="AQ132" i="5898" s="1"/>
  <c r="S140" i="5915"/>
  <c r="E130" i="5899"/>
  <c r="E132" i="5899" s="1"/>
  <c r="E130" i="5901"/>
  <c r="E132" i="5901" s="1"/>
  <c r="AE130" i="5908"/>
  <c r="AE132" i="5908" s="1"/>
  <c r="C86" i="5910"/>
  <c r="C70" i="5910" s="1"/>
  <c r="O139" i="5914"/>
  <c r="R130" i="5903"/>
  <c r="R132" i="5903" s="1"/>
  <c r="AN143" i="5911"/>
  <c r="AN139" i="5911"/>
  <c r="AN140" i="5911" s="1"/>
  <c r="AN142" i="5911"/>
  <c r="AN144" i="5911" s="1"/>
  <c r="H132" i="5908"/>
  <c r="X130" i="5903"/>
  <c r="X132" i="5903" s="1"/>
  <c r="E139" i="5900"/>
  <c r="Q139" i="5906"/>
  <c r="J139" i="5898"/>
  <c r="R139" i="5908"/>
  <c r="L142" i="5903"/>
  <c r="L144" i="5903" s="1"/>
  <c r="L143" i="5903"/>
  <c r="K140" i="5913"/>
  <c r="K143" i="5913" s="1"/>
  <c r="S130" i="5910"/>
  <c r="S132" i="5910" s="1"/>
  <c r="R143" i="5906"/>
  <c r="R142" i="5906"/>
  <c r="R144" i="5906" s="1"/>
  <c r="F143" i="5904"/>
  <c r="F142" i="5904"/>
  <c r="F144" i="5904" s="1"/>
  <c r="K142" i="5912"/>
  <c r="K144" i="5912" s="1"/>
  <c r="X139" i="5905"/>
  <c r="X140" i="5905" s="1"/>
  <c r="X143" i="5905" s="1"/>
  <c r="M130" i="5898"/>
  <c r="M132" i="5898" s="1"/>
  <c r="AK139" i="5905"/>
  <c r="AK140" i="5905" s="1"/>
  <c r="AK143" i="5905" s="1"/>
  <c r="AA139" i="5917"/>
  <c r="AA140" i="5917" s="1"/>
  <c r="AA142" i="5917"/>
  <c r="AA144" i="5917" s="1"/>
  <c r="AA143" i="5917"/>
  <c r="AQ130" i="5908"/>
  <c r="AQ132" i="5908" s="1"/>
  <c r="AF143" i="5906"/>
  <c r="R130" i="5899"/>
  <c r="R132" i="5899" s="1"/>
  <c r="Y142" i="5902"/>
  <c r="Y144" i="5902" s="1"/>
  <c r="AK130" i="5898"/>
  <c r="AK132" i="5898" s="1"/>
  <c r="AK130" i="5899"/>
  <c r="AK132" i="5899" s="1"/>
  <c r="AE130" i="5897"/>
  <c r="AE132" i="5897" s="1"/>
  <c r="AC143" i="5911"/>
  <c r="AC139" i="5911"/>
  <c r="AC140" i="5911" s="1"/>
  <c r="AC142" i="5911" s="1"/>
  <c r="AC144" i="5911" s="1"/>
  <c r="H143" i="5905"/>
  <c r="H142" i="5905"/>
  <c r="H144" i="5905" s="1"/>
  <c r="X139" i="5914"/>
  <c r="X140" i="5914" s="1"/>
  <c r="X142" i="5914" s="1"/>
  <c r="X144" i="5914" s="1"/>
  <c r="L142" i="5906"/>
  <c r="L144" i="5906" s="1"/>
  <c r="Z142" i="5914"/>
  <c r="Z144" i="5914" s="1"/>
  <c r="Z143" i="5914"/>
  <c r="Z139" i="5914"/>
  <c r="Z140" i="5914" s="1"/>
  <c r="J139" i="5903"/>
  <c r="AQ143" i="5897"/>
  <c r="AQ142" i="5897"/>
  <c r="AQ144" i="5897" s="1"/>
  <c r="AQ139" i="5897"/>
  <c r="AQ140" i="5897" s="1"/>
  <c r="I139" i="5907"/>
  <c r="AB139" i="5915"/>
  <c r="AB140" i="5915" s="1"/>
  <c r="AB142" i="5915" s="1"/>
  <c r="AB144" i="5915" s="1"/>
  <c r="AB143" i="5915"/>
  <c r="F142" i="5903"/>
  <c r="F144" i="5903" s="1"/>
  <c r="F143" i="5903"/>
  <c r="E139" i="5909"/>
  <c r="AC139" i="5902"/>
  <c r="AC140" i="5902" s="1"/>
  <c r="AC142" i="5902" s="1"/>
  <c r="AC144" i="5902" s="1"/>
  <c r="N139" i="5913"/>
  <c r="X142" i="5899"/>
  <c r="X144" i="5899" s="1"/>
  <c r="X139" i="5899"/>
  <c r="X140" i="5899" s="1"/>
  <c r="X143" i="5899"/>
  <c r="AD139" i="5900"/>
  <c r="AD140" i="5900" s="1"/>
  <c r="AD143" i="5900" s="1"/>
  <c r="P140" i="5912"/>
  <c r="P143" i="5912" s="1"/>
  <c r="X139" i="5897"/>
  <c r="X140" i="5897" s="1"/>
  <c r="X142" i="5897" s="1"/>
  <c r="X144" i="5897" s="1"/>
  <c r="X143" i="5897"/>
  <c r="W142" i="5917"/>
  <c r="W144" i="5917" s="1"/>
  <c r="W139" i="5917"/>
  <c r="W140" i="5917" s="1"/>
  <c r="W143" i="5917" s="1"/>
  <c r="Y139" i="5912"/>
  <c r="Y140" i="5912" s="1"/>
  <c r="Y142" i="5912" s="1"/>
  <c r="Y144" i="5912" s="1"/>
  <c r="L132" i="5899"/>
  <c r="T139" i="5898"/>
  <c r="T140" i="5898" s="1"/>
  <c r="T142" i="5898"/>
  <c r="T144" i="5898" s="1"/>
  <c r="T143" i="5898"/>
  <c r="R132" i="5898"/>
  <c r="J139" i="5915"/>
  <c r="Q142" i="5904"/>
  <c r="Q144" i="5904" s="1"/>
  <c r="Q143" i="5904"/>
  <c r="P139" i="5898"/>
  <c r="Q139" i="5901"/>
  <c r="L140" i="5913"/>
  <c r="AJ143" i="5907"/>
  <c r="AJ139" i="5907"/>
  <c r="AJ140" i="5907" s="1"/>
  <c r="AJ142" i="5907" s="1"/>
  <c r="AJ144" i="5907" s="1"/>
  <c r="AP139" i="5909"/>
  <c r="AP140" i="5909" s="1"/>
  <c r="AP142" i="5909" s="1"/>
  <c r="AP144" i="5909" s="1"/>
  <c r="AP143" i="5909"/>
  <c r="F143" i="5917"/>
  <c r="F142" i="5917"/>
  <c r="F144" i="5917" s="1"/>
  <c r="Y142" i="5897"/>
  <c r="Y144" i="5897" s="1"/>
  <c r="Y143" i="5897"/>
  <c r="Y139" i="5897"/>
  <c r="Y140" i="5897" s="1"/>
  <c r="J140" i="5914"/>
  <c r="M140" i="5903"/>
  <c r="L132" i="5901"/>
  <c r="R140" i="5902"/>
  <c r="L139" i="5917"/>
  <c r="Q132" i="5898"/>
  <c r="AM139" i="5903"/>
  <c r="AM140" i="5903" s="1"/>
  <c r="AM143" i="5903" s="1"/>
  <c r="AO139" i="5903"/>
  <c r="AO140" i="5903" s="1"/>
  <c r="AO143" i="5903" s="1"/>
  <c r="AD139" i="5898"/>
  <c r="AD140" i="5898" s="1"/>
  <c r="AD143" i="5898" s="1"/>
  <c r="AD142" i="5898"/>
  <c r="AD144" i="5898" s="1"/>
  <c r="O140" i="5915"/>
  <c r="AB139" i="5907"/>
  <c r="AB140" i="5907" s="1"/>
  <c r="AB142" i="5907" s="1"/>
  <c r="AB144" i="5907" s="1"/>
  <c r="AB143" i="5907"/>
  <c r="G143" i="5900"/>
  <c r="G142" i="5900"/>
  <c r="G144" i="5900" s="1"/>
  <c r="M140" i="5906"/>
  <c r="AA139" i="5898"/>
  <c r="AA140" i="5898" s="1"/>
  <c r="AA143" i="5898" s="1"/>
  <c r="AA142" i="5898"/>
  <c r="AA144" i="5898" s="1"/>
  <c r="L140" i="5907"/>
  <c r="I142" i="5915"/>
  <c r="I144" i="5915" s="1"/>
  <c r="AE139" i="5898"/>
  <c r="AE140" i="5898" s="1"/>
  <c r="AE143" i="5898" s="1"/>
  <c r="AE142" i="5898"/>
  <c r="AE144" i="5898" s="1"/>
  <c r="J140" i="5916"/>
  <c r="R139" i="5917"/>
  <c r="K143" i="5909"/>
  <c r="K142" i="5909"/>
  <c r="K144" i="5909" s="1"/>
  <c r="AI142" i="5904"/>
  <c r="AI144" i="5904" s="1"/>
  <c r="AI143" i="5904"/>
  <c r="AI139" i="5904"/>
  <c r="AI140" i="5904" s="1"/>
  <c r="G142" i="5904"/>
  <c r="G144" i="5904" s="1"/>
  <c r="G143" i="5904"/>
  <c r="AO139" i="5901"/>
  <c r="AO140" i="5901" s="1"/>
  <c r="AO142" i="5901" s="1"/>
  <c r="AO144" i="5901" s="1"/>
  <c r="AF139" i="5901"/>
  <c r="AF140" i="5901" s="1"/>
  <c r="AF143" i="5901" s="1"/>
  <c r="L140" i="5910"/>
  <c r="K142" i="5914"/>
  <c r="K144" i="5914" s="1"/>
  <c r="K143" i="5914"/>
  <c r="AD139" i="5897"/>
  <c r="AD140" i="5897" s="1"/>
  <c r="AD143" i="5897" s="1"/>
  <c r="AD142" i="5897"/>
  <c r="AD144" i="5897" s="1"/>
  <c r="G140" i="5901"/>
  <c r="S142" i="5909"/>
  <c r="S144" i="5909" s="1"/>
  <c r="S143" i="5909"/>
  <c r="C151" i="5897"/>
  <c r="K142" i="5901"/>
  <c r="K144" i="5901" s="1"/>
  <c r="K143" i="5901"/>
  <c r="AD142" i="5906"/>
  <c r="AD144" i="5906" s="1"/>
  <c r="L142" i="5905"/>
  <c r="L144" i="5905" s="1"/>
  <c r="N139" i="5897"/>
  <c r="O139" i="5907"/>
  <c r="N140" i="5911"/>
  <c r="Q139" i="5915"/>
  <c r="U139" i="5899"/>
  <c r="U140" i="5899" s="1"/>
  <c r="U142" i="5899" s="1"/>
  <c r="U144" i="5899" s="1"/>
  <c r="U143" i="5899"/>
  <c r="AG139" i="5899"/>
  <c r="AG140" i="5899" s="1"/>
  <c r="AG143" i="5899" s="1"/>
  <c r="U139" i="5907"/>
  <c r="U140" i="5907" s="1"/>
  <c r="U143" i="5907" s="1"/>
  <c r="U142" i="5907"/>
  <c r="U144" i="5907" s="1"/>
  <c r="J142" i="5904"/>
  <c r="J144" i="5904" s="1"/>
  <c r="J143" i="5904"/>
  <c r="M142" i="5902"/>
  <c r="M144" i="5902" s="1"/>
  <c r="M143" i="5902"/>
  <c r="N140" i="5912"/>
  <c r="P130" i="5903"/>
  <c r="P132" i="5903" s="1"/>
  <c r="S142" i="5906"/>
  <c r="S144" i="5906" s="1"/>
  <c r="S143" i="5906"/>
  <c r="AR142" i="5906"/>
  <c r="AR144" i="5906" s="1"/>
  <c r="AR143" i="5906"/>
  <c r="AR139" i="5906"/>
  <c r="AR140" i="5906" s="1"/>
  <c r="S140" i="5917"/>
  <c r="G139" i="5911"/>
  <c r="AM130" i="5907"/>
  <c r="AM132" i="5907" s="1"/>
  <c r="AC130" i="5910"/>
  <c r="AC132" i="5910" s="1"/>
  <c r="AA130" i="5899"/>
  <c r="AA132" i="5899" s="1"/>
  <c r="C151" i="5910"/>
  <c r="I140" i="5916"/>
  <c r="T139" i="5911"/>
  <c r="T140" i="5911" s="1"/>
  <c r="T142" i="5911" s="1"/>
  <c r="T144" i="5911" s="1"/>
  <c r="T143" i="5911"/>
  <c r="E139" i="5911"/>
  <c r="Y130" i="5907"/>
  <c r="Y132" i="5907" s="1"/>
  <c r="I140" i="5897"/>
  <c r="I130" i="5901"/>
  <c r="I132" i="5901" s="1"/>
  <c r="AO130" i="5910"/>
  <c r="AO132" i="5910" s="1"/>
  <c r="Z130" i="5898"/>
  <c r="Z132" i="5898" s="1"/>
  <c r="O130" i="5897"/>
  <c r="O132" i="5897" s="1"/>
  <c r="AJ139" i="5909"/>
  <c r="AJ140" i="5909" s="1"/>
  <c r="AJ143" i="5909" s="1"/>
  <c r="AO130" i="5899"/>
  <c r="AO132" i="5899" s="1"/>
  <c r="AM130" i="5898"/>
  <c r="AM132" i="5898" s="1"/>
  <c r="L130" i="5898"/>
  <c r="L132" i="5898" s="1"/>
  <c r="J139" i="5913"/>
  <c r="AF130" i="5899"/>
  <c r="AF132" i="5899" s="1"/>
  <c r="AA130" i="5901"/>
  <c r="AA132" i="5901" s="1"/>
  <c r="AM130" i="5910"/>
  <c r="AM132" i="5910" s="1"/>
  <c r="M140" i="5915"/>
  <c r="AG130" i="5898"/>
  <c r="AG132" i="5898" s="1"/>
  <c r="M143" i="5908"/>
  <c r="M142" i="5908"/>
  <c r="M144" i="5908" s="1"/>
  <c r="AN130" i="5907"/>
  <c r="AN132" i="5907" s="1"/>
  <c r="AN139" i="5914"/>
  <c r="AN140" i="5914" s="1"/>
  <c r="AN142" i="5914"/>
  <c r="AN144" i="5914" s="1"/>
  <c r="AN143" i="5914"/>
  <c r="AH130" i="5907"/>
  <c r="AH132" i="5907" s="1"/>
  <c r="AI130" i="5907"/>
  <c r="AI132" i="5907" s="1"/>
  <c r="AO130" i="5907"/>
  <c r="AO132" i="5907" s="1"/>
  <c r="M142" i="5904"/>
  <c r="M144" i="5904" s="1"/>
  <c r="M143" i="5904"/>
  <c r="AO139" i="5899" l="1"/>
  <c r="AO140" i="5899" s="1"/>
  <c r="AO142" i="5899" s="1"/>
  <c r="AO144" i="5899" s="1"/>
  <c r="AA139" i="5899"/>
  <c r="AA140" i="5899" s="1"/>
  <c r="AA142" i="5899" s="1"/>
  <c r="AA144" i="5899" s="1"/>
  <c r="Q140" i="5906"/>
  <c r="P143" i="5900"/>
  <c r="P142" i="5900"/>
  <c r="P144" i="5900" s="1"/>
  <c r="E144" i="5906"/>
  <c r="M140" i="5901"/>
  <c r="K139" i="5910"/>
  <c r="AF139" i="5897"/>
  <c r="AF140" i="5897" s="1"/>
  <c r="AF143" i="5897"/>
  <c r="AF142" i="5897"/>
  <c r="AF144" i="5897" s="1"/>
  <c r="H140" i="5915"/>
  <c r="V143" i="5899"/>
  <c r="V142" i="5899"/>
  <c r="V144" i="5899" s="1"/>
  <c r="V139" i="5899"/>
  <c r="V140" i="5899" s="1"/>
  <c r="P139" i="5910"/>
  <c r="P142" i="5904"/>
  <c r="P144" i="5904" s="1"/>
  <c r="P143" i="5904"/>
  <c r="I143" i="5913"/>
  <c r="I142" i="5913"/>
  <c r="I144" i="5913" s="1"/>
  <c r="R139" i="5910"/>
  <c r="AF139" i="5908"/>
  <c r="AF140" i="5908" s="1"/>
  <c r="AF143" i="5908" s="1"/>
  <c r="AJ139" i="5898"/>
  <c r="AJ140" i="5898" s="1"/>
  <c r="AJ142" i="5898" s="1"/>
  <c r="AJ144" i="5898" s="1"/>
  <c r="Q142" i="5916"/>
  <c r="Q144" i="5916" s="1"/>
  <c r="Q143" i="5916"/>
  <c r="E140" i="5911"/>
  <c r="J143" i="5914"/>
  <c r="J142" i="5914"/>
  <c r="J144" i="5914" s="1"/>
  <c r="L143" i="5915"/>
  <c r="L142" i="5915"/>
  <c r="L144" i="5915" s="1"/>
  <c r="P140" i="5913"/>
  <c r="M143" i="5915"/>
  <c r="M142" i="5915"/>
  <c r="M144" i="5915" s="1"/>
  <c r="S143" i="5917"/>
  <c r="S142" i="5917"/>
  <c r="S144" i="5917" s="1"/>
  <c r="Q140" i="5901"/>
  <c r="R139" i="5899"/>
  <c r="AP143" i="5905"/>
  <c r="L143" i="5911"/>
  <c r="L142" i="5911"/>
  <c r="L144" i="5911" s="1"/>
  <c r="P139" i="5908"/>
  <c r="M140" i="5899"/>
  <c r="R143" i="5905"/>
  <c r="R142" i="5905"/>
  <c r="R144" i="5905" s="1"/>
  <c r="AF143" i="5899"/>
  <c r="AF142" i="5899"/>
  <c r="AF144" i="5899" s="1"/>
  <c r="AF139" i="5899"/>
  <c r="AF140" i="5899" s="1"/>
  <c r="R140" i="5917"/>
  <c r="P140" i="5898"/>
  <c r="J140" i="5913"/>
  <c r="Y143" i="5912"/>
  <c r="J140" i="5903"/>
  <c r="S139" i="5910"/>
  <c r="P142" i="5902"/>
  <c r="P144" i="5902" s="1"/>
  <c r="P143" i="5902"/>
  <c r="AN139" i="5898"/>
  <c r="AN140" i="5898" s="1"/>
  <c r="AN143" i="5898" s="1"/>
  <c r="AN142" i="5898"/>
  <c r="AN144" i="5898" s="1"/>
  <c r="J140" i="5906"/>
  <c r="Y139" i="5908"/>
  <c r="Y140" i="5908" s="1"/>
  <c r="Y143" i="5908" s="1"/>
  <c r="I142" i="5897"/>
  <c r="I144" i="5897" s="1"/>
  <c r="I143" i="5897"/>
  <c r="AC143" i="5910"/>
  <c r="AC139" i="5910"/>
  <c r="AC140" i="5910" s="1"/>
  <c r="AC142" i="5910" s="1"/>
  <c r="AC144" i="5910" s="1"/>
  <c r="P139" i="5903"/>
  <c r="AG142" i="5899"/>
  <c r="AG144" i="5899" s="1"/>
  <c r="G143" i="5901"/>
  <c r="G142" i="5901"/>
  <c r="G144" i="5901" s="1"/>
  <c r="AO143" i="5901"/>
  <c r="J143" i="5916"/>
  <c r="J142" i="5916"/>
  <c r="J144" i="5916" s="1"/>
  <c r="M142" i="5906"/>
  <c r="M144" i="5906" s="1"/>
  <c r="M143" i="5906"/>
  <c r="AO142" i="5903"/>
  <c r="AO144" i="5903" s="1"/>
  <c r="M142" i="5903"/>
  <c r="M144" i="5903" s="1"/>
  <c r="M143" i="5903"/>
  <c r="AK142" i="5905"/>
  <c r="AK144" i="5905" s="1"/>
  <c r="Q143" i="5907"/>
  <c r="Q142" i="5907"/>
  <c r="Q144" i="5907" s="1"/>
  <c r="AJ139" i="5897"/>
  <c r="AJ140" i="5897" s="1"/>
  <c r="AJ142" i="5897" s="1"/>
  <c r="AJ144" i="5897" s="1"/>
  <c r="AJ143" i="5897"/>
  <c r="AF139" i="5898"/>
  <c r="AF140" i="5898" s="1"/>
  <c r="AF142" i="5898"/>
  <c r="AF144" i="5898" s="1"/>
  <c r="AF143" i="5898"/>
  <c r="G142" i="5915"/>
  <c r="G144" i="5915" s="1"/>
  <c r="G143" i="5915"/>
  <c r="AP143" i="5901"/>
  <c r="AP139" i="5901"/>
  <c r="AP140" i="5901" s="1"/>
  <c r="AP142" i="5901" s="1"/>
  <c r="AP144" i="5901" s="1"/>
  <c r="AC142" i="5917"/>
  <c r="AC144" i="5917" s="1"/>
  <c r="AK139" i="5903"/>
  <c r="AK140" i="5903" s="1"/>
  <c r="AK142" i="5903" s="1"/>
  <c r="AK144" i="5903" s="1"/>
  <c r="J139" i="5907"/>
  <c r="AB143" i="5917"/>
  <c r="G139" i="5909"/>
  <c r="W142" i="5899"/>
  <c r="W144" i="5899" s="1"/>
  <c r="AF142" i="5910"/>
  <c r="AF144" i="5910" s="1"/>
  <c r="AF143" i="5910"/>
  <c r="AF139" i="5910"/>
  <c r="AF140" i="5910" s="1"/>
  <c r="T142" i="5906"/>
  <c r="T144" i="5906" s="1"/>
  <c r="W143" i="5900"/>
  <c r="S140" i="5898"/>
  <c r="AN139" i="5903"/>
  <c r="AN140" i="5903" s="1"/>
  <c r="AN142" i="5903" s="1"/>
  <c r="AN144" i="5903" s="1"/>
  <c r="AN143" i="5903"/>
  <c r="V142" i="5898"/>
  <c r="V144" i="5898" s="1"/>
  <c r="V139" i="5898"/>
  <c r="V140" i="5898" s="1"/>
  <c r="V143" i="5898" s="1"/>
  <c r="AA139" i="5897"/>
  <c r="AA140" i="5897" s="1"/>
  <c r="AA142" i="5897" s="1"/>
  <c r="AA144" i="5897" s="1"/>
  <c r="AR139" i="5899"/>
  <c r="AR140" i="5899" s="1"/>
  <c r="AR143" i="5899"/>
  <c r="AR142" i="5899"/>
  <c r="AR144" i="5899" s="1"/>
  <c r="K142" i="5915"/>
  <c r="K144" i="5915" s="1"/>
  <c r="K143" i="5915"/>
  <c r="U142" i="5898"/>
  <c r="U144" i="5898" s="1"/>
  <c r="J143" i="5902"/>
  <c r="J142" i="5902"/>
  <c r="J144" i="5902" s="1"/>
  <c r="E140" i="5912"/>
  <c r="I143" i="5912"/>
  <c r="I142" i="5912"/>
  <c r="I144" i="5912" s="1"/>
  <c r="Y143" i="5901"/>
  <c r="K139" i="5908"/>
  <c r="X139" i="5901"/>
  <c r="X140" i="5901" s="1"/>
  <c r="X143" i="5901" s="1"/>
  <c r="F140" i="5907"/>
  <c r="AB142" i="5897"/>
  <c r="AB144" i="5897" s="1"/>
  <c r="AG142" i="5908"/>
  <c r="AG144" i="5908" s="1"/>
  <c r="AG143" i="5908"/>
  <c r="AG139" i="5908"/>
  <c r="AG140" i="5908" s="1"/>
  <c r="H142" i="5917"/>
  <c r="H144" i="5917" s="1"/>
  <c r="H143" i="5917"/>
  <c r="S143" i="5912"/>
  <c r="S142" i="5912"/>
  <c r="S144" i="5912" s="1"/>
  <c r="AM143" i="5898"/>
  <c r="AM139" i="5898"/>
  <c r="AM140" i="5898" s="1"/>
  <c r="AM142" i="5898" s="1"/>
  <c r="AM144" i="5898" s="1"/>
  <c r="J140" i="5900"/>
  <c r="N143" i="5905"/>
  <c r="N142" i="5905"/>
  <c r="N144" i="5905" s="1"/>
  <c r="L142" i="5913"/>
  <c r="L144" i="5913" s="1"/>
  <c r="L143" i="5913"/>
  <c r="AK139" i="5898"/>
  <c r="AK140" i="5898" s="1"/>
  <c r="AK142" i="5898" s="1"/>
  <c r="AK144" i="5898" s="1"/>
  <c r="R140" i="5908"/>
  <c r="AM142" i="5897"/>
  <c r="AM144" i="5897" s="1"/>
  <c r="R143" i="5902"/>
  <c r="R142" i="5902"/>
  <c r="R144" i="5902" s="1"/>
  <c r="E140" i="5909"/>
  <c r="L139" i="5901"/>
  <c r="AN139" i="5907"/>
  <c r="AN140" i="5907" s="1"/>
  <c r="AN142" i="5907"/>
  <c r="AN144" i="5907" s="1"/>
  <c r="AN143" i="5907"/>
  <c r="L139" i="5898"/>
  <c r="Y139" i="5907"/>
  <c r="Y140" i="5907" s="1"/>
  <c r="Y143" i="5907" s="1"/>
  <c r="AM143" i="5907"/>
  <c r="AM142" i="5907"/>
  <c r="AM144" i="5907" s="1"/>
  <c r="AM139" i="5907"/>
  <c r="AM140" i="5907" s="1"/>
  <c r="N143" i="5912"/>
  <c r="N142" i="5912"/>
  <c r="N144" i="5912" s="1"/>
  <c r="N140" i="5897"/>
  <c r="J140" i="5915"/>
  <c r="AE143" i="5897"/>
  <c r="AE142" i="5897"/>
  <c r="AE144" i="5897" s="1"/>
  <c r="AE139" i="5897"/>
  <c r="AE140" i="5897" s="1"/>
  <c r="E140" i="5900"/>
  <c r="N140" i="5915"/>
  <c r="AN143" i="5897"/>
  <c r="AN143" i="5917"/>
  <c r="E139" i="5910"/>
  <c r="Y139" i="5899"/>
  <c r="Y140" i="5899" s="1"/>
  <c r="Y143" i="5899" s="1"/>
  <c r="AP139" i="5907"/>
  <c r="AP140" i="5907" s="1"/>
  <c r="AP143" i="5907" s="1"/>
  <c r="E140" i="5905"/>
  <c r="Y142" i="5910"/>
  <c r="Y144" i="5910" s="1"/>
  <c r="AL142" i="5907"/>
  <c r="AL144" i="5907" s="1"/>
  <c r="G139" i="5907"/>
  <c r="G142" i="5898"/>
  <c r="G144" i="5898" s="1"/>
  <c r="G143" i="5898"/>
  <c r="AL143" i="5908"/>
  <c r="AL139" i="5908"/>
  <c r="AL140" i="5908" s="1"/>
  <c r="AL142" i="5908" s="1"/>
  <c r="AL144" i="5908" s="1"/>
  <c r="J139" i="5901"/>
  <c r="J140" i="5910"/>
  <c r="I139" i="5908"/>
  <c r="M139" i="5910"/>
  <c r="AK143" i="5912"/>
  <c r="R139" i="5901"/>
  <c r="AI139" i="5908"/>
  <c r="AI140" i="5908" s="1"/>
  <c r="AI142" i="5908" s="1"/>
  <c r="AI144" i="5908" s="1"/>
  <c r="H139" i="5898"/>
  <c r="F143" i="5908"/>
  <c r="F142" i="5908"/>
  <c r="F144" i="5908" s="1"/>
  <c r="O143" i="5900"/>
  <c r="O142" i="5900"/>
  <c r="O144" i="5900" s="1"/>
  <c r="Q140" i="5909"/>
  <c r="L142" i="5904"/>
  <c r="L144" i="5904" s="1"/>
  <c r="L143" i="5904"/>
  <c r="O143" i="5899"/>
  <c r="O142" i="5899"/>
  <c r="O144" i="5899" s="1"/>
  <c r="O140" i="5901"/>
  <c r="P142" i="5912"/>
  <c r="P144" i="5912" s="1"/>
  <c r="G140" i="5910"/>
  <c r="T142" i="5903"/>
  <c r="T144" i="5903" s="1"/>
  <c r="AQ139" i="5901"/>
  <c r="AQ140" i="5901" s="1"/>
  <c r="AQ143" i="5901" s="1"/>
  <c r="E140" i="5913"/>
  <c r="S139" i="5899"/>
  <c r="M140" i="5917"/>
  <c r="N139" i="5898"/>
  <c r="E140" i="5914"/>
  <c r="N142" i="5916"/>
  <c r="N144" i="5916" s="1"/>
  <c r="N143" i="5916"/>
  <c r="Z139" i="5899"/>
  <c r="Z140" i="5899" s="1"/>
  <c r="Z143" i="5899" s="1"/>
  <c r="Z142" i="5899"/>
  <c r="Z144" i="5899" s="1"/>
  <c r="O140" i="5913"/>
  <c r="M139" i="5898"/>
  <c r="AE142" i="5908"/>
  <c r="AE144" i="5908" s="1"/>
  <c r="AE139" i="5908"/>
  <c r="AE140" i="5908" s="1"/>
  <c r="AE143" i="5908"/>
  <c r="N140" i="5913"/>
  <c r="N139" i="5910"/>
  <c r="K143" i="5905"/>
  <c r="K142" i="5905"/>
  <c r="K144" i="5905" s="1"/>
  <c r="AR143" i="5907"/>
  <c r="AR142" i="5907"/>
  <c r="AR144" i="5907" s="1"/>
  <c r="AR139" i="5907"/>
  <c r="AR140" i="5907" s="1"/>
  <c r="K142" i="5917"/>
  <c r="K144" i="5917" s="1"/>
  <c r="K143" i="5917"/>
  <c r="Q143" i="5903"/>
  <c r="Q142" i="5903"/>
  <c r="Q144" i="5903" s="1"/>
  <c r="P142" i="5911"/>
  <c r="P144" i="5911" s="1"/>
  <c r="P143" i="5911"/>
  <c r="AM142" i="5903"/>
  <c r="AM144" i="5903" s="1"/>
  <c r="E139" i="5901"/>
  <c r="AC143" i="5903"/>
  <c r="AC139" i="5903"/>
  <c r="AC140" i="5903" s="1"/>
  <c r="AC142" i="5903"/>
  <c r="AC144" i="5903" s="1"/>
  <c r="AB143" i="5902"/>
  <c r="I140" i="5900"/>
  <c r="AD139" i="5910"/>
  <c r="AD140" i="5910" s="1"/>
  <c r="AD142" i="5910" s="1"/>
  <c r="AD144" i="5910" s="1"/>
  <c r="H140" i="5899"/>
  <c r="AG142" i="5898"/>
  <c r="AG144" i="5898" s="1"/>
  <c r="AG143" i="5898"/>
  <c r="AG139" i="5898"/>
  <c r="AG140" i="5898" s="1"/>
  <c r="AJ142" i="5909"/>
  <c r="AJ144" i="5909" s="1"/>
  <c r="R139" i="5898"/>
  <c r="X142" i="5905"/>
  <c r="X144" i="5905" s="1"/>
  <c r="X142" i="5903"/>
  <c r="X144" i="5903" s="1"/>
  <c r="X139" i="5903"/>
  <c r="X140" i="5903" s="1"/>
  <c r="X143" i="5903"/>
  <c r="E139" i="5899"/>
  <c r="F139" i="5898"/>
  <c r="H140" i="5913"/>
  <c r="X139" i="5907"/>
  <c r="X140" i="5907" s="1"/>
  <c r="X143" i="5907" s="1"/>
  <c r="P142" i="5907"/>
  <c r="P144" i="5907" s="1"/>
  <c r="P143" i="5907"/>
  <c r="T143" i="5905"/>
  <c r="J140" i="5899"/>
  <c r="S140" i="5897"/>
  <c r="AC143" i="5905"/>
  <c r="AR142" i="5917"/>
  <c r="AR144" i="5917" s="1"/>
  <c r="R142" i="5913"/>
  <c r="R144" i="5913" s="1"/>
  <c r="P140" i="5897"/>
  <c r="AJ143" i="5904"/>
  <c r="AO142" i="5897"/>
  <c r="AO144" i="5897" s="1"/>
  <c r="AO143" i="5897"/>
  <c r="AO139" i="5897"/>
  <c r="AO140" i="5897" s="1"/>
  <c r="AK142" i="5910"/>
  <c r="AK144" i="5910" s="1"/>
  <c r="AD143" i="5907"/>
  <c r="F143" i="5914"/>
  <c r="F142" i="5914"/>
  <c r="F144" i="5914" s="1"/>
  <c r="H140" i="5910"/>
  <c r="U142" i="5914"/>
  <c r="U144" i="5914" s="1"/>
  <c r="AN139" i="5899"/>
  <c r="AN140" i="5899" s="1"/>
  <c r="AN142" i="5899" s="1"/>
  <c r="AN144" i="5899" s="1"/>
  <c r="AN143" i="5899"/>
  <c r="AR139" i="5903"/>
  <c r="AR140" i="5903" s="1"/>
  <c r="AR143" i="5903" s="1"/>
  <c r="H140" i="5907"/>
  <c r="Q139" i="5897"/>
  <c r="H143" i="5901"/>
  <c r="H142" i="5901"/>
  <c r="H144" i="5901" s="1"/>
  <c r="G139" i="5903"/>
  <c r="K140" i="5899"/>
  <c r="I143" i="5917"/>
  <c r="I142" i="5917"/>
  <c r="I144" i="5917" s="1"/>
  <c r="E139" i="5898"/>
  <c r="F143" i="5905"/>
  <c r="F142" i="5905"/>
  <c r="F144" i="5905" s="1"/>
  <c r="AI142" i="5899"/>
  <c r="AI144" i="5899" s="1"/>
  <c r="AI143" i="5899"/>
  <c r="AI139" i="5899"/>
  <c r="AI140" i="5899" s="1"/>
  <c r="Z142" i="5901"/>
  <c r="Z144" i="5901" s="1"/>
  <c r="Z139" i="5901"/>
  <c r="Z140" i="5901" s="1"/>
  <c r="Z143" i="5901"/>
  <c r="U143" i="5906"/>
  <c r="F143" i="5910"/>
  <c r="F142" i="5910"/>
  <c r="F144" i="5910" s="1"/>
  <c r="F139" i="5897"/>
  <c r="P140" i="5909"/>
  <c r="K142" i="5897"/>
  <c r="K144" i="5897" s="1"/>
  <c r="K143" i="5897"/>
  <c r="AK139" i="5899"/>
  <c r="AK140" i="5899" s="1"/>
  <c r="AK142" i="5899" s="1"/>
  <c r="AK144" i="5899" s="1"/>
  <c r="AK143" i="5899"/>
  <c r="L143" i="5909"/>
  <c r="L142" i="5909"/>
  <c r="L144" i="5909" s="1"/>
  <c r="AI139" i="5910"/>
  <c r="AI140" i="5910" s="1"/>
  <c r="AI143" i="5910" s="1"/>
  <c r="H143" i="5912"/>
  <c r="H142" i="5912"/>
  <c r="H144" i="5912" s="1"/>
  <c r="E144" i="5916"/>
  <c r="H139" i="5908"/>
  <c r="O142" i="5915"/>
  <c r="O144" i="5915" s="1"/>
  <c r="O143" i="5915"/>
  <c r="AL143" i="5911"/>
  <c r="E140" i="5915"/>
  <c r="AN142" i="5908"/>
  <c r="AN144" i="5908" s="1"/>
  <c r="E140" i="5917"/>
  <c r="Q140" i="5900"/>
  <c r="H143" i="5903"/>
  <c r="H142" i="5903"/>
  <c r="H144" i="5903" s="1"/>
  <c r="AL143" i="5901"/>
  <c r="I139" i="5898"/>
  <c r="L140" i="5900"/>
  <c r="F140" i="5899"/>
  <c r="Z143" i="5908"/>
  <c r="Z139" i="5908"/>
  <c r="Z140" i="5908" s="1"/>
  <c r="Z142" i="5908"/>
  <c r="Z144" i="5908" s="1"/>
  <c r="J140" i="5917"/>
  <c r="S142" i="5908"/>
  <c r="S144" i="5908" s="1"/>
  <c r="S143" i="5908"/>
  <c r="E139" i="5903"/>
  <c r="T143" i="5899"/>
  <c r="T139" i="5899"/>
  <c r="T140" i="5899" s="1"/>
  <c r="T142" i="5899" s="1"/>
  <c r="T144" i="5899" s="1"/>
  <c r="Q142" i="5902"/>
  <c r="Q144" i="5902" s="1"/>
  <c r="Q143" i="5902"/>
  <c r="T143" i="5897"/>
  <c r="T139" i="5897"/>
  <c r="T140" i="5897" s="1"/>
  <c r="T142" i="5897"/>
  <c r="T144" i="5897" s="1"/>
  <c r="R142" i="5911"/>
  <c r="R144" i="5911" s="1"/>
  <c r="R143" i="5911"/>
  <c r="Y139" i="5903"/>
  <c r="Y140" i="5903" s="1"/>
  <c r="Y142" i="5903" s="1"/>
  <c r="Y144" i="5903" s="1"/>
  <c r="Y143" i="5903"/>
  <c r="G142" i="5902"/>
  <c r="G144" i="5902" s="1"/>
  <c r="G143" i="5902"/>
  <c r="AC143" i="5902"/>
  <c r="I140" i="5907"/>
  <c r="X143" i="5914"/>
  <c r="S142" i="5915"/>
  <c r="S144" i="5915" s="1"/>
  <c r="S143" i="5915"/>
  <c r="J139" i="5908"/>
  <c r="R143" i="5914"/>
  <c r="R142" i="5914"/>
  <c r="R144" i="5914" s="1"/>
  <c r="AA142" i="5907"/>
  <c r="AA144" i="5907" s="1"/>
  <c r="AO139" i="5907"/>
  <c r="AO140" i="5907" s="1"/>
  <c r="AO143" i="5907" s="1"/>
  <c r="AM143" i="5910"/>
  <c r="AM142" i="5910"/>
  <c r="AM144" i="5910" s="1"/>
  <c r="AM139" i="5910"/>
  <c r="AM140" i="5910" s="1"/>
  <c r="O139" i="5897"/>
  <c r="Q140" i="5915"/>
  <c r="L143" i="5910"/>
  <c r="L142" i="5910"/>
  <c r="L144" i="5910" s="1"/>
  <c r="L143" i="5907"/>
  <c r="L142" i="5907"/>
  <c r="L144" i="5907" s="1"/>
  <c r="L140" i="5917"/>
  <c r="AQ139" i="5908"/>
  <c r="AQ140" i="5908" s="1"/>
  <c r="AQ142" i="5908" s="1"/>
  <c r="AQ144" i="5908" s="1"/>
  <c r="J140" i="5898"/>
  <c r="AQ139" i="5898"/>
  <c r="AQ140" i="5898" s="1"/>
  <c r="AQ143" i="5898" s="1"/>
  <c r="O139" i="5903"/>
  <c r="R140" i="5912"/>
  <c r="S142" i="5901"/>
  <c r="S144" i="5901" s="1"/>
  <c r="S143" i="5901"/>
  <c r="F143" i="5912"/>
  <c r="F142" i="5912"/>
  <c r="F144" i="5912" s="1"/>
  <c r="K142" i="5911"/>
  <c r="K144" i="5911" s="1"/>
  <c r="K143" i="5911"/>
  <c r="AK143" i="5897"/>
  <c r="AD142" i="5908"/>
  <c r="AD144" i="5908" s="1"/>
  <c r="M142" i="5913"/>
  <c r="M144" i="5913" s="1"/>
  <c r="M143" i="5913"/>
  <c r="G143" i="5914"/>
  <c r="G142" i="5914"/>
  <c r="G144" i="5914" s="1"/>
  <c r="K139" i="5898"/>
  <c r="S142" i="5904"/>
  <c r="S144" i="5904" s="1"/>
  <c r="S143" i="5904"/>
  <c r="M140" i="5912"/>
  <c r="N143" i="5909"/>
  <c r="N142" i="5909"/>
  <c r="N144" i="5909" s="1"/>
  <c r="AL142" i="5897"/>
  <c r="AL144" i="5897" s="1"/>
  <c r="AL143" i="5897"/>
  <c r="AL139" i="5897"/>
  <c r="AL140" i="5897" s="1"/>
  <c r="X143" i="5898"/>
  <c r="S140" i="5913"/>
  <c r="N140" i="5908"/>
  <c r="E142" i="5902"/>
  <c r="E143" i="5902"/>
  <c r="F142" i="5902"/>
  <c r="F144" i="5902" s="1"/>
  <c r="F143" i="5902"/>
  <c r="I140" i="5903"/>
  <c r="Z139" i="5903"/>
  <c r="Z140" i="5903" s="1"/>
  <c r="Z142" i="5903" s="1"/>
  <c r="Z144" i="5903" s="1"/>
  <c r="H140" i="5914"/>
  <c r="P139" i="5899"/>
  <c r="G139" i="5899"/>
  <c r="AI143" i="5907"/>
  <c r="AI139" i="5907"/>
  <c r="AI140" i="5907" s="1"/>
  <c r="AI142" i="5907"/>
  <c r="AI144" i="5907" s="1"/>
  <c r="I142" i="5916"/>
  <c r="I144" i="5916" s="1"/>
  <c r="I143" i="5916"/>
  <c r="C155" i="5916" s="1"/>
  <c r="N142" i="5911"/>
  <c r="N144" i="5911" s="1"/>
  <c r="N143" i="5911"/>
  <c r="L139" i="5899"/>
  <c r="AD142" i="5900"/>
  <c r="AD144" i="5900" s="1"/>
  <c r="K139" i="5907"/>
  <c r="Z143" i="5911"/>
  <c r="AP139" i="5897"/>
  <c r="AP140" i="5897" s="1"/>
  <c r="AP143" i="5897" s="1"/>
  <c r="AP142" i="5897"/>
  <c r="AP144" i="5897" s="1"/>
  <c r="AQ139" i="5907"/>
  <c r="AQ140" i="5907" s="1"/>
  <c r="AQ143" i="5907" s="1"/>
  <c r="AQ142" i="5907"/>
  <c r="AQ144" i="5907" s="1"/>
  <c r="AB142" i="5908"/>
  <c r="AB144" i="5908" s="1"/>
  <c r="AB139" i="5908"/>
  <c r="AB140" i="5908" s="1"/>
  <c r="AB143" i="5908" s="1"/>
  <c r="E139" i="5897"/>
  <c r="AQ139" i="5910"/>
  <c r="AQ140" i="5910" s="1"/>
  <c r="AQ142" i="5910" s="1"/>
  <c r="AQ144" i="5910" s="1"/>
  <c r="G140" i="5897"/>
  <c r="R139" i="5907"/>
  <c r="AH142" i="5910"/>
  <c r="AH144" i="5910" s="1"/>
  <c r="AH143" i="5910"/>
  <c r="AH139" i="5910"/>
  <c r="AH140" i="5910" s="1"/>
  <c r="H140" i="5911"/>
  <c r="AL142" i="5898"/>
  <c r="AL144" i="5898" s="1"/>
  <c r="Q139" i="5908"/>
  <c r="F143" i="5911"/>
  <c r="F142" i="5911"/>
  <c r="F144" i="5911" s="1"/>
  <c r="M139" i="5897"/>
  <c r="Q143" i="5912"/>
  <c r="Q142" i="5912"/>
  <c r="Q144" i="5912" s="1"/>
  <c r="H142" i="5909"/>
  <c r="H144" i="5909" s="1"/>
  <c r="H143" i="5909"/>
  <c r="K142" i="5913"/>
  <c r="K144" i="5913" s="1"/>
  <c r="G140" i="5911"/>
  <c r="L143" i="5912"/>
  <c r="L142" i="5912"/>
  <c r="L144" i="5912" s="1"/>
  <c r="I139" i="5910"/>
  <c r="S140" i="5911"/>
  <c r="AA139" i="5901"/>
  <c r="AA140" i="5901" s="1"/>
  <c r="AA142" i="5901" s="1"/>
  <c r="AA144" i="5901" s="1"/>
  <c r="AA143" i="5901"/>
  <c r="AH142" i="5907"/>
  <c r="AH144" i="5907" s="1"/>
  <c r="AH143" i="5907"/>
  <c r="AH139" i="5907"/>
  <c r="AH140" i="5907" s="1"/>
  <c r="AF142" i="5901"/>
  <c r="AF144" i="5901" s="1"/>
  <c r="R139" i="5903"/>
  <c r="AL139" i="5899"/>
  <c r="AL140" i="5899" s="1"/>
  <c r="AL143" i="5899" s="1"/>
  <c r="AL142" i="5899"/>
  <c r="AL144" i="5899" s="1"/>
  <c r="J142" i="5897"/>
  <c r="J144" i="5897" s="1"/>
  <c r="J143" i="5897"/>
  <c r="O139" i="5910"/>
  <c r="F143" i="5915"/>
  <c r="F142" i="5915"/>
  <c r="F144" i="5915" s="1"/>
  <c r="AE143" i="5910"/>
  <c r="AE142" i="5910"/>
  <c r="AE144" i="5910" s="1"/>
  <c r="AE139" i="5910"/>
  <c r="AE140" i="5910" s="1"/>
  <c r="P140" i="5901"/>
  <c r="AO142" i="5908"/>
  <c r="AO144" i="5908" s="1"/>
  <c r="E140" i="5907"/>
  <c r="O142" i="5902"/>
  <c r="O144" i="5902" s="1"/>
  <c r="O143" i="5902"/>
  <c r="O143" i="5912"/>
  <c r="O142" i="5912"/>
  <c r="O144" i="5912" s="1"/>
  <c r="K142" i="5916"/>
  <c r="K144" i="5916" s="1"/>
  <c r="K143" i="5916"/>
  <c r="S143" i="5914"/>
  <c r="S142" i="5914"/>
  <c r="S144" i="5914" s="1"/>
  <c r="O143" i="5904"/>
  <c r="O142" i="5904"/>
  <c r="O144" i="5904" s="1"/>
  <c r="Q139" i="5910"/>
  <c r="AR139" i="5897"/>
  <c r="AR140" i="5897" s="1"/>
  <c r="AR143" i="5897" s="1"/>
  <c r="AR142" i="5897"/>
  <c r="AR144" i="5897" s="1"/>
  <c r="I140" i="5909"/>
  <c r="AI142" i="5903"/>
  <c r="AI144" i="5903" s="1"/>
  <c r="AQ142" i="5911"/>
  <c r="AQ144" i="5911" s="1"/>
  <c r="N142" i="5901"/>
  <c r="N144" i="5901" s="1"/>
  <c r="N143" i="5901"/>
  <c r="AJ139" i="5910"/>
  <c r="AJ140" i="5910" s="1"/>
  <c r="AJ142" i="5910" s="1"/>
  <c r="AJ144" i="5910" s="1"/>
  <c r="AB139" i="5901"/>
  <c r="AB140" i="5901" s="1"/>
  <c r="AB142" i="5901"/>
  <c r="AB144" i="5901" s="1"/>
  <c r="AB143" i="5901"/>
  <c r="AB139" i="5898"/>
  <c r="AB140" i="5898" s="1"/>
  <c r="AB142" i="5898" s="1"/>
  <c r="AB144" i="5898" s="1"/>
  <c r="Q143" i="5917"/>
  <c r="Q142" i="5917"/>
  <c r="Q144" i="5917" s="1"/>
  <c r="Q140" i="5914"/>
  <c r="Q142" i="5913"/>
  <c r="Q144" i="5913" s="1"/>
  <c r="Q139" i="5898"/>
  <c r="G139" i="5908"/>
  <c r="E143" i="5908"/>
  <c r="E142" i="5908"/>
  <c r="Z139" i="5898"/>
  <c r="Z140" i="5898" s="1"/>
  <c r="Z142" i="5898" s="1"/>
  <c r="Z144" i="5898" s="1"/>
  <c r="AO143" i="5910"/>
  <c r="AO142" i="5910"/>
  <c r="AO144" i="5910" s="1"/>
  <c r="AO139" i="5910"/>
  <c r="AO140" i="5910" s="1"/>
  <c r="I139" i="5901"/>
  <c r="P142" i="5905"/>
  <c r="P144" i="5905" s="1"/>
  <c r="O140" i="5907"/>
  <c r="O140" i="5914"/>
  <c r="O139" i="5908"/>
  <c r="N140" i="5907"/>
  <c r="AC139" i="5908"/>
  <c r="AC140" i="5908" s="1"/>
  <c r="AC143" i="5908" s="1"/>
  <c r="AC142" i="5908"/>
  <c r="AC144" i="5908" s="1"/>
  <c r="Q140" i="5899"/>
  <c r="AB139" i="5899"/>
  <c r="AB140" i="5899" s="1"/>
  <c r="AB142" i="5899" s="1"/>
  <c r="AB144" i="5899" s="1"/>
  <c r="AB143" i="5899"/>
  <c r="M142" i="5911"/>
  <c r="M144" i="5911" s="1"/>
  <c r="M143" i="5911"/>
  <c r="I140" i="5899"/>
  <c r="G140" i="5905"/>
  <c r="R140" i="5897"/>
  <c r="N139" i="5899"/>
  <c r="AB139" i="5910"/>
  <c r="AB140" i="5910" s="1"/>
  <c r="AB142" i="5910" s="1"/>
  <c r="AB144" i="5910" s="1"/>
  <c r="AM139" i="5908"/>
  <c r="AM140" i="5908" s="1"/>
  <c r="AM142" i="5908"/>
  <c r="AM144" i="5908" s="1"/>
  <c r="AM143" i="5908"/>
  <c r="M139" i="5907"/>
  <c r="G142" i="5912"/>
  <c r="G144" i="5912" s="1"/>
  <c r="G143" i="5912"/>
  <c r="L139" i="5897"/>
  <c r="X139" i="5910"/>
  <c r="X140" i="5910" s="1"/>
  <c r="X142" i="5910"/>
  <c r="X144" i="5910" s="1"/>
  <c r="X143" i="5910"/>
  <c r="H140" i="5897"/>
  <c r="F143" i="5901"/>
  <c r="F142" i="5901"/>
  <c r="F144" i="5901" s="1"/>
  <c r="S139" i="5907"/>
  <c r="O139" i="5898"/>
  <c r="O140" i="5917"/>
  <c r="R142" i="5915"/>
  <c r="R144" i="5915" s="1"/>
  <c r="R143" i="5915"/>
  <c r="E140" i="5904"/>
  <c r="O142" i="5905"/>
  <c r="O144" i="5905" s="1"/>
  <c r="I142" i="5909" l="1"/>
  <c r="I144" i="5909" s="1"/>
  <c r="I143" i="5909"/>
  <c r="I140" i="5910"/>
  <c r="G140" i="5899"/>
  <c r="I143" i="5903"/>
  <c r="I142" i="5903"/>
  <c r="I144" i="5903" s="1"/>
  <c r="H142" i="5913"/>
  <c r="H144" i="5913" s="1"/>
  <c r="H143" i="5913"/>
  <c r="R140" i="5898"/>
  <c r="I142" i="5900"/>
  <c r="I144" i="5900" s="1"/>
  <c r="I143" i="5900"/>
  <c r="H140" i="5898"/>
  <c r="G140" i="5907"/>
  <c r="Y142" i="5899"/>
  <c r="Y144" i="5899" s="1"/>
  <c r="Y142" i="5907"/>
  <c r="Y144" i="5907" s="1"/>
  <c r="AA143" i="5897"/>
  <c r="AK143" i="5903"/>
  <c r="Y142" i="5908"/>
  <c r="Y144" i="5908" s="1"/>
  <c r="K140" i="5907"/>
  <c r="Q140" i="5897"/>
  <c r="O142" i="5901"/>
  <c r="O144" i="5901" s="1"/>
  <c r="O143" i="5901"/>
  <c r="I140" i="5908"/>
  <c r="E142" i="5909"/>
  <c r="E143" i="5909"/>
  <c r="I140" i="5901"/>
  <c r="R140" i="5903"/>
  <c r="J143" i="5915"/>
  <c r="J142" i="5915"/>
  <c r="J144" i="5915" s="1"/>
  <c r="L140" i="5898"/>
  <c r="E143" i="5912"/>
  <c r="E142" i="5912"/>
  <c r="J143" i="5903"/>
  <c r="J142" i="5903"/>
  <c r="J144" i="5903" s="1"/>
  <c r="R140" i="5910"/>
  <c r="R140" i="5899"/>
  <c r="AB143" i="5898"/>
  <c r="N142" i="5913"/>
  <c r="N144" i="5913" s="1"/>
  <c r="N143" i="5913"/>
  <c r="I143" i="5899"/>
  <c r="I142" i="5899"/>
  <c r="I144" i="5899" s="1"/>
  <c r="O140" i="5903"/>
  <c r="AO142" i="5907"/>
  <c r="AO144" i="5907" s="1"/>
  <c r="I143" i="5907"/>
  <c r="I142" i="5907"/>
  <c r="I144" i="5907" s="1"/>
  <c r="S143" i="5897"/>
  <c r="S142" i="5897"/>
  <c r="S144" i="5897" s="1"/>
  <c r="F140" i="5898"/>
  <c r="AI143" i="5908"/>
  <c r="E140" i="5910"/>
  <c r="J143" i="5900"/>
  <c r="J142" i="5900"/>
  <c r="J144" i="5900" s="1"/>
  <c r="F143" i="5907"/>
  <c r="F142" i="5907"/>
  <c r="F144" i="5907" s="1"/>
  <c r="E143" i="5911"/>
  <c r="E142" i="5911"/>
  <c r="H142" i="5915"/>
  <c r="H144" i="5915" s="1"/>
  <c r="H143" i="5915"/>
  <c r="R143" i="5912"/>
  <c r="R142" i="5912"/>
  <c r="R144" i="5912" s="1"/>
  <c r="G143" i="5905"/>
  <c r="G142" i="5905"/>
  <c r="G144" i="5905" s="1"/>
  <c r="G140" i="5908"/>
  <c r="J142" i="5917"/>
  <c r="J144" i="5917" s="1"/>
  <c r="J143" i="5917"/>
  <c r="H143" i="5907"/>
  <c r="H142" i="5907"/>
  <c r="H144" i="5907" s="1"/>
  <c r="E143" i="5913"/>
  <c r="E142" i="5913"/>
  <c r="O143" i="5917"/>
  <c r="O142" i="5917"/>
  <c r="O144" i="5917" s="1"/>
  <c r="AB143" i="5910"/>
  <c r="N142" i="5907"/>
  <c r="N144" i="5907" s="1"/>
  <c r="N143" i="5907"/>
  <c r="Q140" i="5898"/>
  <c r="R140" i="5907"/>
  <c r="P140" i="5899"/>
  <c r="C155" i="5902"/>
  <c r="AQ142" i="5898"/>
  <c r="AQ144" i="5898" s="1"/>
  <c r="Q142" i="5900"/>
  <c r="Q144" i="5900" s="1"/>
  <c r="Q143" i="5900"/>
  <c r="H140" i="5908"/>
  <c r="K142" i="5899"/>
  <c r="K144" i="5899" s="1"/>
  <c r="K143" i="5899"/>
  <c r="AR142" i="5903"/>
  <c r="AR144" i="5903" s="1"/>
  <c r="J142" i="5899"/>
  <c r="J144" i="5899" s="1"/>
  <c r="J143" i="5899"/>
  <c r="E143" i="5914"/>
  <c r="E142" i="5914"/>
  <c r="AQ142" i="5901"/>
  <c r="AQ144" i="5901" s="1"/>
  <c r="J142" i="5910"/>
  <c r="J144" i="5910" s="1"/>
  <c r="J143" i="5910"/>
  <c r="N143" i="5897"/>
  <c r="N142" i="5897"/>
  <c r="N144" i="5897" s="1"/>
  <c r="J143" i="5906"/>
  <c r="J142" i="5906"/>
  <c r="M142" i="5899"/>
  <c r="M144" i="5899" s="1"/>
  <c r="M143" i="5899"/>
  <c r="Q143" i="5901"/>
  <c r="Q142" i="5901"/>
  <c r="Q144" i="5901" s="1"/>
  <c r="Q143" i="5906"/>
  <c r="Q142" i="5906"/>
  <c r="Q144" i="5906" s="1"/>
  <c r="M140" i="5897"/>
  <c r="L142" i="5917"/>
  <c r="L144" i="5917" s="1"/>
  <c r="L143" i="5917"/>
  <c r="E140" i="5898"/>
  <c r="H142" i="5897"/>
  <c r="H144" i="5897" s="1"/>
  <c r="H143" i="5897"/>
  <c r="L140" i="5899"/>
  <c r="E144" i="5902"/>
  <c r="C156" i="5902" s="1"/>
  <c r="C150" i="5902"/>
  <c r="C5" i="5902" s="1"/>
  <c r="M142" i="5912"/>
  <c r="M144" i="5912" s="1"/>
  <c r="M143" i="5912"/>
  <c r="C150" i="5916"/>
  <c r="C5" i="5916" s="1"/>
  <c r="E140" i="5899"/>
  <c r="Q142" i="5909"/>
  <c r="Q144" i="5909" s="1"/>
  <c r="Q143" i="5909"/>
  <c r="R140" i="5901"/>
  <c r="R143" i="5908"/>
  <c r="R142" i="5908"/>
  <c r="R144" i="5908" s="1"/>
  <c r="X142" i="5901"/>
  <c r="X144" i="5901" s="1"/>
  <c r="G140" i="5909"/>
  <c r="J142" i="5913"/>
  <c r="J144" i="5913" s="1"/>
  <c r="J143" i="5913"/>
  <c r="S140" i="5899"/>
  <c r="O140" i="5898"/>
  <c r="AJ143" i="5910"/>
  <c r="Q140" i="5910"/>
  <c r="O140" i="5910"/>
  <c r="G142" i="5911"/>
  <c r="G144" i="5911" s="1"/>
  <c r="G143" i="5911"/>
  <c r="G143" i="5897"/>
  <c r="G142" i="5897"/>
  <c r="G144" i="5897" s="1"/>
  <c r="Q143" i="5915"/>
  <c r="Q142" i="5915"/>
  <c r="Q144" i="5915" s="1"/>
  <c r="F143" i="5899"/>
  <c r="F142" i="5899"/>
  <c r="F144" i="5899" s="1"/>
  <c r="C156" i="5916"/>
  <c r="G140" i="5903"/>
  <c r="J140" i="5901"/>
  <c r="E143" i="5905"/>
  <c r="C155" i="5905" s="1"/>
  <c r="E142" i="5905"/>
  <c r="P140" i="5908"/>
  <c r="AA143" i="5899"/>
  <c r="E140" i="5901"/>
  <c r="N140" i="5898"/>
  <c r="AK143" i="5898"/>
  <c r="P140" i="5903"/>
  <c r="K140" i="5910"/>
  <c r="O140" i="5908"/>
  <c r="E142" i="5907"/>
  <c r="E143" i="5907"/>
  <c r="Q140" i="5908"/>
  <c r="N143" i="5908"/>
  <c r="N142" i="5908"/>
  <c r="N144" i="5908" s="1"/>
  <c r="J142" i="5898"/>
  <c r="J144" i="5898" s="1"/>
  <c r="J143" i="5898"/>
  <c r="E143" i="5917"/>
  <c r="C155" i="5917" s="1"/>
  <c r="E142" i="5917"/>
  <c r="P143" i="5909"/>
  <c r="P142" i="5909"/>
  <c r="P144" i="5909" s="1"/>
  <c r="H142" i="5899"/>
  <c r="H144" i="5899" s="1"/>
  <c r="H143" i="5899"/>
  <c r="M140" i="5898"/>
  <c r="G142" i="5910"/>
  <c r="G144" i="5910" s="1"/>
  <c r="G143" i="5910"/>
  <c r="AP142" i="5907"/>
  <c r="AP144" i="5907" s="1"/>
  <c r="N143" i="5915"/>
  <c r="N142" i="5915"/>
  <c r="N144" i="5915" s="1"/>
  <c r="P143" i="5898"/>
  <c r="P142" i="5898"/>
  <c r="P144" i="5898" s="1"/>
  <c r="AJ143" i="5898"/>
  <c r="AQ143" i="5910"/>
  <c r="K140" i="5898"/>
  <c r="O140" i="5897"/>
  <c r="J140" i="5908"/>
  <c r="E140" i="5903"/>
  <c r="S140" i="5907"/>
  <c r="N140" i="5899"/>
  <c r="Q143" i="5899"/>
  <c r="Q142" i="5899"/>
  <c r="Q144" i="5899" s="1"/>
  <c r="O143" i="5914"/>
  <c r="O142" i="5914"/>
  <c r="O144" i="5914" s="1"/>
  <c r="Z143" i="5898"/>
  <c r="Z143" i="5903"/>
  <c r="S143" i="5913"/>
  <c r="S142" i="5913"/>
  <c r="S144" i="5913" s="1"/>
  <c r="AQ143" i="5908"/>
  <c r="L143" i="5900"/>
  <c r="L142" i="5900"/>
  <c r="L144" i="5900" s="1"/>
  <c r="E142" i="5915"/>
  <c r="E143" i="5915"/>
  <c r="AI142" i="5910"/>
  <c r="AI144" i="5910" s="1"/>
  <c r="F140" i="5897"/>
  <c r="P143" i="5897"/>
  <c r="P142" i="5897"/>
  <c r="P144" i="5897" s="1"/>
  <c r="X142" i="5907"/>
  <c r="X144" i="5907" s="1"/>
  <c r="AD143" i="5910"/>
  <c r="M142" i="5917"/>
  <c r="M144" i="5917" s="1"/>
  <c r="M143" i="5917"/>
  <c r="E142" i="5900"/>
  <c r="E143" i="5900"/>
  <c r="C155" i="5900" s="1"/>
  <c r="K140" i="5908"/>
  <c r="S143" i="5898"/>
  <c r="S142" i="5898"/>
  <c r="S144" i="5898" s="1"/>
  <c r="J140" i="5907"/>
  <c r="P143" i="5913"/>
  <c r="P142" i="5913"/>
  <c r="P144" i="5913" s="1"/>
  <c r="P140" i="5910"/>
  <c r="AO143" i="5899"/>
  <c r="L140" i="5897"/>
  <c r="Q142" i="5914"/>
  <c r="Q144" i="5914" s="1"/>
  <c r="Q143" i="5914"/>
  <c r="H142" i="5914"/>
  <c r="H144" i="5914" s="1"/>
  <c r="H143" i="5914"/>
  <c r="P142" i="5901"/>
  <c r="P144" i="5901" s="1"/>
  <c r="P143" i="5901"/>
  <c r="H142" i="5911"/>
  <c r="H144" i="5911" s="1"/>
  <c r="H143" i="5911"/>
  <c r="N140" i="5910"/>
  <c r="O143" i="5913"/>
  <c r="O142" i="5913"/>
  <c r="O144" i="5913" s="1"/>
  <c r="M140" i="5910"/>
  <c r="R142" i="5917"/>
  <c r="R144" i="5917" s="1"/>
  <c r="R143" i="5917"/>
  <c r="AF142" i="5908"/>
  <c r="AF144" i="5908" s="1"/>
  <c r="M143" i="5901"/>
  <c r="M142" i="5901"/>
  <c r="M144" i="5901" s="1"/>
  <c r="O143" i="5907"/>
  <c r="O142" i="5907"/>
  <c r="O144" i="5907" s="1"/>
  <c r="E144" i="5908"/>
  <c r="E142" i="5904"/>
  <c r="E143" i="5904"/>
  <c r="C155" i="5904" s="1"/>
  <c r="M140" i="5907"/>
  <c r="R142" i="5897"/>
  <c r="R144" i="5897" s="1"/>
  <c r="R143" i="5897"/>
  <c r="S143" i="5911"/>
  <c r="S142" i="5911"/>
  <c r="S144" i="5911" s="1"/>
  <c r="E140" i="5897"/>
  <c r="I140" i="5898"/>
  <c r="H143" i="5910"/>
  <c r="H142" i="5910"/>
  <c r="H144" i="5910" s="1"/>
  <c r="L140" i="5901"/>
  <c r="S140" i="5910"/>
  <c r="C150" i="5914" l="1"/>
  <c r="C5" i="5914" s="1"/>
  <c r="E144" i="5914"/>
  <c r="C156" i="5914" s="1"/>
  <c r="Q142" i="5908"/>
  <c r="Q144" i="5908" s="1"/>
  <c r="Q143" i="5908"/>
  <c r="O143" i="5898"/>
  <c r="O142" i="5898"/>
  <c r="O144" i="5898" s="1"/>
  <c r="C150" i="5911"/>
  <c r="C5" i="5911" s="1"/>
  <c r="E144" i="5911"/>
  <c r="C156" i="5911" s="1"/>
  <c r="E142" i="5898"/>
  <c r="E143" i="5898"/>
  <c r="J144" i="5906"/>
  <c r="C156" i="5906" s="1"/>
  <c r="C150" i="5906"/>
  <c r="C5" i="5906" s="1"/>
  <c r="Q143" i="5898"/>
  <c r="Q142" i="5898"/>
  <c r="Q144" i="5898" s="1"/>
  <c r="C155" i="5911"/>
  <c r="R142" i="5898"/>
  <c r="R144" i="5898" s="1"/>
  <c r="R143" i="5898"/>
  <c r="E144" i="5915"/>
  <c r="C156" i="5915" s="1"/>
  <c r="C150" i="5915"/>
  <c r="C5" i="5915" s="1"/>
  <c r="N143" i="5899"/>
  <c r="N142" i="5899"/>
  <c r="N144" i="5899" s="1"/>
  <c r="E144" i="5907"/>
  <c r="R142" i="5903"/>
  <c r="R144" i="5903" s="1"/>
  <c r="R143" i="5903"/>
  <c r="N143" i="5910"/>
  <c r="N142" i="5910"/>
  <c r="N144" i="5910" s="1"/>
  <c r="C150" i="5900"/>
  <c r="C5" i="5900" s="1"/>
  <c r="E144" i="5900"/>
  <c r="C156" i="5900" s="1"/>
  <c r="E143" i="5897"/>
  <c r="E142" i="5897"/>
  <c r="P142" i="5910"/>
  <c r="P144" i="5910" s="1"/>
  <c r="P143" i="5910"/>
  <c r="O142" i="5908"/>
  <c r="O144" i="5908" s="1"/>
  <c r="O143" i="5908"/>
  <c r="P143" i="5908"/>
  <c r="P142" i="5908"/>
  <c r="P144" i="5908" s="1"/>
  <c r="S143" i="5899"/>
  <c r="S142" i="5899"/>
  <c r="S144" i="5899" s="1"/>
  <c r="E142" i="5899"/>
  <c r="E143" i="5899"/>
  <c r="C155" i="5906"/>
  <c r="R142" i="5910"/>
  <c r="R144" i="5910" s="1"/>
  <c r="R143" i="5910"/>
  <c r="I143" i="5901"/>
  <c r="I142" i="5901"/>
  <c r="I144" i="5901" s="1"/>
  <c r="M143" i="5910"/>
  <c r="M142" i="5910"/>
  <c r="M144" i="5910" s="1"/>
  <c r="F142" i="5897"/>
  <c r="F144" i="5897" s="1"/>
  <c r="F143" i="5897"/>
  <c r="N143" i="5898"/>
  <c r="N142" i="5898"/>
  <c r="N144" i="5898" s="1"/>
  <c r="S142" i="5907"/>
  <c r="S144" i="5907" s="1"/>
  <c r="S143" i="5907"/>
  <c r="C150" i="5917"/>
  <c r="C5" i="5917" s="1"/>
  <c r="E144" i="5917"/>
  <c r="C156" i="5917" s="1"/>
  <c r="K143" i="5910"/>
  <c r="K142" i="5910"/>
  <c r="K144" i="5910" s="1"/>
  <c r="C150" i="5905"/>
  <c r="C5" i="5905" s="1"/>
  <c r="E144" i="5905"/>
  <c r="C156" i="5905" s="1"/>
  <c r="H142" i="5908"/>
  <c r="H144" i="5908" s="1"/>
  <c r="H143" i="5908"/>
  <c r="G142" i="5908"/>
  <c r="G143" i="5908"/>
  <c r="O143" i="5903"/>
  <c r="O142" i="5903"/>
  <c r="O144" i="5903" s="1"/>
  <c r="C150" i="5909"/>
  <c r="C5" i="5909" s="1"/>
  <c r="E144" i="5909"/>
  <c r="J143" i="5901"/>
  <c r="J142" i="5901"/>
  <c r="J144" i="5901" s="1"/>
  <c r="G142" i="5909"/>
  <c r="G144" i="5909" s="1"/>
  <c r="G143" i="5909"/>
  <c r="C155" i="5909" s="1"/>
  <c r="M142" i="5897"/>
  <c r="M144" i="5897" s="1"/>
  <c r="M143" i="5897"/>
  <c r="C150" i="5912"/>
  <c r="C5" i="5912" s="1"/>
  <c r="E144" i="5912"/>
  <c r="C156" i="5912" s="1"/>
  <c r="I142" i="5908"/>
  <c r="I144" i="5908" s="1"/>
  <c r="I143" i="5908"/>
  <c r="M143" i="5907"/>
  <c r="M142" i="5907"/>
  <c r="M144" i="5907" s="1"/>
  <c r="C6" i="5916"/>
  <c r="E146" i="5916"/>
  <c r="M147" i="5916"/>
  <c r="G147" i="5916"/>
  <c r="O147" i="5916"/>
  <c r="E147" i="5916"/>
  <c r="S147" i="5916"/>
  <c r="R147" i="5916"/>
  <c r="L147" i="5916"/>
  <c r="P147" i="5916"/>
  <c r="H147" i="5916"/>
  <c r="F147" i="5916"/>
  <c r="Q147" i="5916"/>
  <c r="I147" i="5916"/>
  <c r="K147" i="5916"/>
  <c r="N147" i="5916"/>
  <c r="J147" i="5916"/>
  <c r="S142" i="5910"/>
  <c r="S144" i="5910" s="1"/>
  <c r="S143" i="5910"/>
  <c r="J142" i="5907"/>
  <c r="J144" i="5907" s="1"/>
  <c r="J143" i="5907"/>
  <c r="J143" i="5908"/>
  <c r="J142" i="5908"/>
  <c r="J144" i="5908" s="1"/>
  <c r="C155" i="5912"/>
  <c r="G143" i="5899"/>
  <c r="G142" i="5899"/>
  <c r="G144" i="5899" s="1"/>
  <c r="E143" i="5903"/>
  <c r="E142" i="5903"/>
  <c r="P143" i="5903"/>
  <c r="P142" i="5903"/>
  <c r="P144" i="5903" s="1"/>
  <c r="O142" i="5910"/>
  <c r="O144" i="5910" s="1"/>
  <c r="O143" i="5910"/>
  <c r="L143" i="5901"/>
  <c r="L142" i="5901"/>
  <c r="L144" i="5901" s="1"/>
  <c r="G142" i="5903"/>
  <c r="G144" i="5903" s="1"/>
  <c r="G143" i="5903"/>
  <c r="C6" i="5902"/>
  <c r="S147" i="5902"/>
  <c r="E146" i="5902"/>
  <c r="H147" i="5902"/>
  <c r="M147" i="5902"/>
  <c r="I147" i="5902"/>
  <c r="L147" i="5902"/>
  <c r="N147" i="5902"/>
  <c r="K147" i="5902"/>
  <c r="O147" i="5902"/>
  <c r="R147" i="5902"/>
  <c r="F147" i="5902"/>
  <c r="E147" i="5902"/>
  <c r="Q147" i="5902"/>
  <c r="G147" i="5902"/>
  <c r="P147" i="5902"/>
  <c r="J147" i="5902"/>
  <c r="E142" i="5910"/>
  <c r="E143" i="5910"/>
  <c r="L142" i="5898"/>
  <c r="L144" i="5898" s="1"/>
  <c r="L143" i="5898"/>
  <c r="G142" i="5907"/>
  <c r="G144" i="5907" s="1"/>
  <c r="G143" i="5907"/>
  <c r="C155" i="5907" s="1"/>
  <c r="H143" i="5898"/>
  <c r="H142" i="5898"/>
  <c r="H144" i="5898" s="1"/>
  <c r="Q143" i="5910"/>
  <c r="Q142" i="5910"/>
  <c r="Q144" i="5910" s="1"/>
  <c r="L142" i="5899"/>
  <c r="L144" i="5899" s="1"/>
  <c r="L143" i="5899"/>
  <c r="C155" i="5914"/>
  <c r="P143" i="5899"/>
  <c r="P142" i="5899"/>
  <c r="P144" i="5899" s="1"/>
  <c r="E144" i="5913"/>
  <c r="C156" i="5913" s="1"/>
  <c r="C150" i="5913"/>
  <c r="C5" i="5913" s="1"/>
  <c r="I143" i="5910"/>
  <c r="I142" i="5910"/>
  <c r="I144" i="5910" s="1"/>
  <c r="O142" i="5897"/>
  <c r="O144" i="5897" s="1"/>
  <c r="O143" i="5897"/>
  <c r="K142" i="5898"/>
  <c r="K144" i="5898" s="1"/>
  <c r="K143" i="5898"/>
  <c r="M142" i="5898"/>
  <c r="M144" i="5898" s="1"/>
  <c r="M143" i="5898"/>
  <c r="C155" i="5913"/>
  <c r="F143" i="5898"/>
  <c r="F142" i="5898"/>
  <c r="F144" i="5898" s="1"/>
  <c r="Q142" i="5897"/>
  <c r="Q144" i="5897" s="1"/>
  <c r="Q143" i="5897"/>
  <c r="I143" i="5898"/>
  <c r="I142" i="5898"/>
  <c r="I144" i="5898" s="1"/>
  <c r="C150" i="5904"/>
  <c r="C5" i="5904" s="1"/>
  <c r="E144" i="5904"/>
  <c r="C156" i="5904" s="1"/>
  <c r="L142" i="5897"/>
  <c r="L144" i="5897" s="1"/>
  <c r="L143" i="5897"/>
  <c r="K142" i="5908"/>
  <c r="K144" i="5908" s="1"/>
  <c r="K143" i="5908"/>
  <c r="C155" i="5915"/>
  <c r="E142" i="5901"/>
  <c r="E143" i="5901"/>
  <c r="C155" i="5901" s="1"/>
  <c r="R143" i="5901"/>
  <c r="R142" i="5901"/>
  <c r="R144" i="5901" s="1"/>
  <c r="R142" i="5907"/>
  <c r="R144" i="5907" s="1"/>
  <c r="R143" i="5907"/>
  <c r="R143" i="5899"/>
  <c r="R142" i="5899"/>
  <c r="R144" i="5899" s="1"/>
  <c r="K142" i="5907"/>
  <c r="K144" i="5907" s="1"/>
  <c r="K143" i="5907"/>
  <c r="F146" i="5902" l="1"/>
  <c r="G146" i="5902" s="1"/>
  <c r="H146" i="5902" s="1"/>
  <c r="I146" i="5902" s="1"/>
  <c r="J146" i="5902" s="1"/>
  <c r="K146" i="5902" s="1"/>
  <c r="L146" i="5902" s="1"/>
  <c r="M146" i="5902" s="1"/>
  <c r="N146" i="5902" s="1"/>
  <c r="O146" i="5902" s="1"/>
  <c r="P146" i="5902" s="1"/>
  <c r="Q146" i="5902" s="1"/>
  <c r="R146" i="5902" s="1"/>
  <c r="S146" i="5902" s="1"/>
  <c r="T146" i="5902" s="1"/>
  <c r="U146" i="5902" s="1"/>
  <c r="V146" i="5902" s="1"/>
  <c r="W146" i="5902" s="1"/>
  <c r="X146" i="5902" s="1"/>
  <c r="Y146" i="5902" s="1"/>
  <c r="Z146" i="5902" s="1"/>
  <c r="AA146" i="5902" s="1"/>
  <c r="AB146" i="5902" s="1"/>
  <c r="AC146" i="5902" s="1"/>
  <c r="AD146" i="5902" s="1"/>
  <c r="AE146" i="5902" s="1"/>
  <c r="AF146" i="5902" s="1"/>
  <c r="AG146" i="5902" s="1"/>
  <c r="AH146" i="5902" s="1"/>
  <c r="AI146" i="5902" s="1"/>
  <c r="AJ146" i="5902" s="1"/>
  <c r="AK146" i="5902" s="1"/>
  <c r="AL146" i="5902" s="1"/>
  <c r="AM146" i="5902" s="1"/>
  <c r="AN146" i="5902" s="1"/>
  <c r="AO146" i="5902" s="1"/>
  <c r="AP146" i="5902" s="1"/>
  <c r="AQ146" i="5902" s="1"/>
  <c r="AR146" i="5902" s="1"/>
  <c r="C161" i="5902"/>
  <c r="C155" i="5903"/>
  <c r="C6" i="5904"/>
  <c r="E146" i="5904"/>
  <c r="J147" i="5904"/>
  <c r="R147" i="5904"/>
  <c r="Q147" i="5904"/>
  <c r="F147" i="5904"/>
  <c r="N147" i="5904"/>
  <c r="I147" i="5904"/>
  <c r="G147" i="5904"/>
  <c r="K147" i="5904"/>
  <c r="H147" i="5904"/>
  <c r="M147" i="5904"/>
  <c r="P147" i="5904"/>
  <c r="O147" i="5904"/>
  <c r="S147" i="5904"/>
  <c r="L147" i="5904"/>
  <c r="E147" i="5904"/>
  <c r="F146" i="5916"/>
  <c r="G146" i="5916" s="1"/>
  <c r="H146" i="5916" s="1"/>
  <c r="I146" i="5916" s="1"/>
  <c r="J146" i="5916" s="1"/>
  <c r="K146" i="5916" s="1"/>
  <c r="L146" i="5916" s="1"/>
  <c r="M146" i="5916" s="1"/>
  <c r="N146" i="5916" s="1"/>
  <c r="O146" i="5916" s="1"/>
  <c r="P146" i="5916" s="1"/>
  <c r="Q146" i="5916" s="1"/>
  <c r="R146" i="5916" s="1"/>
  <c r="S146" i="5916" s="1"/>
  <c r="T146" i="5916" s="1"/>
  <c r="U146" i="5916" s="1"/>
  <c r="V146" i="5916" s="1"/>
  <c r="W146" i="5916" s="1"/>
  <c r="X146" i="5916" s="1"/>
  <c r="Y146" i="5916" s="1"/>
  <c r="Z146" i="5916" s="1"/>
  <c r="AA146" i="5916" s="1"/>
  <c r="AB146" i="5916" s="1"/>
  <c r="AC146" i="5916" s="1"/>
  <c r="AD146" i="5916" s="1"/>
  <c r="AE146" i="5916" s="1"/>
  <c r="AF146" i="5916" s="1"/>
  <c r="AG146" i="5916" s="1"/>
  <c r="AH146" i="5916" s="1"/>
  <c r="AI146" i="5916" s="1"/>
  <c r="AJ146" i="5916" s="1"/>
  <c r="AK146" i="5916" s="1"/>
  <c r="AL146" i="5916" s="1"/>
  <c r="AM146" i="5916" s="1"/>
  <c r="AN146" i="5916" s="1"/>
  <c r="AO146" i="5916" s="1"/>
  <c r="AP146" i="5916" s="1"/>
  <c r="AQ146" i="5916" s="1"/>
  <c r="AR146" i="5916" s="1"/>
  <c r="C161" i="5916"/>
  <c r="C6" i="5905"/>
  <c r="E146" i="5905"/>
  <c r="S147" i="5905"/>
  <c r="J147" i="5905"/>
  <c r="Q147" i="5905"/>
  <c r="M147" i="5905"/>
  <c r="H147" i="5905"/>
  <c r="I147" i="5905"/>
  <c r="P147" i="5905"/>
  <c r="L147" i="5905"/>
  <c r="K147" i="5905"/>
  <c r="F147" i="5905"/>
  <c r="R147" i="5905"/>
  <c r="N147" i="5905"/>
  <c r="O147" i="5905"/>
  <c r="E147" i="5905"/>
  <c r="G147" i="5905"/>
  <c r="C6" i="5906"/>
  <c r="E146" i="5906"/>
  <c r="R147" i="5906"/>
  <c r="L147" i="5906"/>
  <c r="F147" i="5906"/>
  <c r="S147" i="5906"/>
  <c r="K147" i="5906"/>
  <c r="G147" i="5906"/>
  <c r="N147" i="5906"/>
  <c r="H147" i="5906"/>
  <c r="I147" i="5906"/>
  <c r="P147" i="5906"/>
  <c r="E147" i="5906"/>
  <c r="O147" i="5906"/>
  <c r="M147" i="5906"/>
  <c r="Q147" i="5906"/>
  <c r="J147" i="5906"/>
  <c r="C153" i="5902"/>
  <c r="C150" i="5907"/>
  <c r="C5" i="5907" s="1"/>
  <c r="C156" i="5909"/>
  <c r="C156" i="5907"/>
  <c r="C155" i="5898"/>
  <c r="C150" i="5898"/>
  <c r="C5" i="5898" s="1"/>
  <c r="E144" i="5898"/>
  <c r="C156" i="5898" s="1"/>
  <c r="E144" i="5897"/>
  <c r="C156" i="5897" s="1"/>
  <c r="C150" i="5897"/>
  <c r="C5" i="5897" s="1"/>
  <c r="C6" i="5915"/>
  <c r="E146" i="5915"/>
  <c r="P147" i="5915"/>
  <c r="I147" i="5915"/>
  <c r="F147" i="5915"/>
  <c r="S147" i="5915"/>
  <c r="O147" i="5915"/>
  <c r="M147" i="5915"/>
  <c r="K147" i="5915"/>
  <c r="L147" i="5915"/>
  <c r="R147" i="5915"/>
  <c r="G147" i="5915"/>
  <c r="E147" i="5915"/>
  <c r="Q147" i="5915"/>
  <c r="N147" i="5915"/>
  <c r="J147" i="5915"/>
  <c r="H147" i="5915"/>
  <c r="C6" i="5911"/>
  <c r="E146" i="5911"/>
  <c r="O147" i="5911"/>
  <c r="I147" i="5911"/>
  <c r="J147" i="5911"/>
  <c r="Q147" i="5911"/>
  <c r="M147" i="5911"/>
  <c r="K147" i="5911"/>
  <c r="R147" i="5911"/>
  <c r="F147" i="5911"/>
  <c r="L147" i="5911"/>
  <c r="P147" i="5911"/>
  <c r="N147" i="5911"/>
  <c r="S147" i="5911"/>
  <c r="H147" i="5911"/>
  <c r="G147" i="5911"/>
  <c r="E147" i="5911"/>
  <c r="C155" i="5897"/>
  <c r="C150" i="5910"/>
  <c r="C5" i="5910" s="1"/>
  <c r="E144" i="5910"/>
  <c r="C156" i="5910" s="1"/>
  <c r="C153" i="5916"/>
  <c r="G144" i="5908"/>
  <c r="C156" i="5908" s="1"/>
  <c r="C150" i="5908"/>
  <c r="C5" i="5908" s="1"/>
  <c r="E144" i="5899"/>
  <c r="C156" i="5899" s="1"/>
  <c r="C150" i="5899"/>
  <c r="C5" i="5899" s="1"/>
  <c r="C6" i="5900"/>
  <c r="E146" i="5900"/>
  <c r="G147" i="5900"/>
  <c r="R147" i="5900"/>
  <c r="N147" i="5900"/>
  <c r="F147" i="5900"/>
  <c r="H147" i="5900"/>
  <c r="S147" i="5900"/>
  <c r="K147" i="5900"/>
  <c r="M147" i="5900"/>
  <c r="O147" i="5900"/>
  <c r="P147" i="5900"/>
  <c r="E147" i="5900"/>
  <c r="L147" i="5900"/>
  <c r="Q147" i="5900"/>
  <c r="J147" i="5900"/>
  <c r="I147" i="5900"/>
  <c r="C155" i="5910"/>
  <c r="C6" i="5912"/>
  <c r="E146" i="5912"/>
  <c r="J147" i="5912"/>
  <c r="Q147" i="5912"/>
  <c r="O147" i="5912"/>
  <c r="P147" i="5912"/>
  <c r="F147" i="5912"/>
  <c r="H147" i="5912"/>
  <c r="N147" i="5912"/>
  <c r="L147" i="5912"/>
  <c r="S147" i="5912"/>
  <c r="I147" i="5912"/>
  <c r="K147" i="5912"/>
  <c r="G147" i="5912"/>
  <c r="R147" i="5912"/>
  <c r="M147" i="5912"/>
  <c r="E147" i="5912"/>
  <c r="C155" i="5908"/>
  <c r="C155" i="5899"/>
  <c r="C6" i="5913"/>
  <c r="E146" i="5913"/>
  <c r="G147" i="5913"/>
  <c r="F147" i="5913"/>
  <c r="M147" i="5913"/>
  <c r="Q147" i="5913"/>
  <c r="L147" i="5913"/>
  <c r="R147" i="5913"/>
  <c r="I147" i="5913"/>
  <c r="K147" i="5913"/>
  <c r="P147" i="5913"/>
  <c r="O147" i="5913"/>
  <c r="S147" i="5913"/>
  <c r="J147" i="5913"/>
  <c r="E147" i="5913"/>
  <c r="H147" i="5913"/>
  <c r="N147" i="5913"/>
  <c r="C6" i="5909"/>
  <c r="E146" i="5909"/>
  <c r="K147" i="5909"/>
  <c r="S147" i="5909"/>
  <c r="O147" i="5909"/>
  <c r="M147" i="5909"/>
  <c r="R147" i="5909"/>
  <c r="J147" i="5909"/>
  <c r="F147" i="5909"/>
  <c r="H147" i="5909"/>
  <c r="N147" i="5909"/>
  <c r="L147" i="5909"/>
  <c r="P147" i="5909"/>
  <c r="Q147" i="5909"/>
  <c r="I147" i="5909"/>
  <c r="E147" i="5909"/>
  <c r="G147" i="5909"/>
  <c r="E144" i="5901"/>
  <c r="C156" i="5901" s="1"/>
  <c r="C150" i="5901"/>
  <c r="C5" i="5901" s="1"/>
  <c r="C6" i="5917"/>
  <c r="E146" i="5917"/>
  <c r="G147" i="5917"/>
  <c r="F147" i="5917"/>
  <c r="P147" i="5917"/>
  <c r="N147" i="5917"/>
  <c r="Q147" i="5917"/>
  <c r="S147" i="5917"/>
  <c r="K147" i="5917"/>
  <c r="I147" i="5917"/>
  <c r="H147" i="5917"/>
  <c r="M147" i="5917"/>
  <c r="R147" i="5917"/>
  <c r="E147" i="5917"/>
  <c r="O147" i="5917"/>
  <c r="J147" i="5917"/>
  <c r="L147" i="5917"/>
  <c r="C150" i="5903"/>
  <c r="C5" i="5903" s="1"/>
  <c r="E144" i="5903"/>
  <c r="C156" i="5903" s="1"/>
  <c r="C6" i="5914"/>
  <c r="E146" i="5914"/>
  <c r="K147" i="5914"/>
  <c r="N147" i="5914"/>
  <c r="L147" i="5914"/>
  <c r="M147" i="5914"/>
  <c r="I147" i="5914"/>
  <c r="P147" i="5914"/>
  <c r="S147" i="5914"/>
  <c r="G147" i="5914"/>
  <c r="R147" i="5914"/>
  <c r="J147" i="5914"/>
  <c r="F147" i="5914"/>
  <c r="Q147" i="5914"/>
  <c r="O147" i="5914"/>
  <c r="H147" i="5914"/>
  <c r="E147" i="5914"/>
  <c r="C153" i="5900" l="1"/>
  <c r="F146" i="5911"/>
  <c r="G146" i="5911" s="1"/>
  <c r="H146" i="5911" s="1"/>
  <c r="I146" i="5911" s="1"/>
  <c r="J146" i="5911" s="1"/>
  <c r="K146" i="5911" s="1"/>
  <c r="L146" i="5911" s="1"/>
  <c r="M146" i="5911" s="1"/>
  <c r="N146" i="5911" s="1"/>
  <c r="O146" i="5911" s="1"/>
  <c r="P146" i="5911" s="1"/>
  <c r="Q146" i="5911" s="1"/>
  <c r="R146" i="5911" s="1"/>
  <c r="S146" i="5911" s="1"/>
  <c r="T146" i="5911" s="1"/>
  <c r="U146" i="5911" s="1"/>
  <c r="V146" i="5911" s="1"/>
  <c r="W146" i="5911" s="1"/>
  <c r="X146" i="5911" s="1"/>
  <c r="Y146" i="5911" s="1"/>
  <c r="Z146" i="5911" s="1"/>
  <c r="AA146" i="5911" s="1"/>
  <c r="AB146" i="5911" s="1"/>
  <c r="AC146" i="5911" s="1"/>
  <c r="AD146" i="5911" s="1"/>
  <c r="AE146" i="5911" s="1"/>
  <c r="AF146" i="5911" s="1"/>
  <c r="AG146" i="5911" s="1"/>
  <c r="AH146" i="5911" s="1"/>
  <c r="AI146" i="5911" s="1"/>
  <c r="AJ146" i="5911" s="1"/>
  <c r="AK146" i="5911" s="1"/>
  <c r="AL146" i="5911" s="1"/>
  <c r="AM146" i="5911" s="1"/>
  <c r="AN146" i="5911" s="1"/>
  <c r="AO146" i="5911" s="1"/>
  <c r="AP146" i="5911" s="1"/>
  <c r="AQ146" i="5911" s="1"/>
  <c r="AR146" i="5911" s="1"/>
  <c r="C6" i="5907"/>
  <c r="E146" i="5907"/>
  <c r="P147" i="5907"/>
  <c r="L147" i="5907"/>
  <c r="Q147" i="5907"/>
  <c r="O147" i="5907"/>
  <c r="E147" i="5907"/>
  <c r="F147" i="5907"/>
  <c r="N147" i="5907"/>
  <c r="I147" i="5907"/>
  <c r="H147" i="5907"/>
  <c r="M147" i="5907"/>
  <c r="J147" i="5907"/>
  <c r="G147" i="5907"/>
  <c r="S147" i="5907"/>
  <c r="R147" i="5907"/>
  <c r="K147" i="5907"/>
  <c r="C6" i="5899"/>
  <c r="E146" i="5899"/>
  <c r="O147" i="5899"/>
  <c r="Q147" i="5899"/>
  <c r="H147" i="5899"/>
  <c r="F147" i="5899"/>
  <c r="M147" i="5899"/>
  <c r="J147" i="5899"/>
  <c r="K147" i="5899"/>
  <c r="I147" i="5899"/>
  <c r="L147" i="5899"/>
  <c r="P147" i="5899"/>
  <c r="G147" i="5899"/>
  <c r="E147" i="5899"/>
  <c r="N147" i="5899"/>
  <c r="R147" i="5899"/>
  <c r="S147" i="5899"/>
  <c r="C153" i="5912"/>
  <c r="F146" i="5914"/>
  <c r="G146" i="5914" s="1"/>
  <c r="H146" i="5914" s="1"/>
  <c r="I146" i="5914" s="1"/>
  <c r="J146" i="5914" s="1"/>
  <c r="K146" i="5914" s="1"/>
  <c r="L146" i="5914" s="1"/>
  <c r="M146" i="5914" s="1"/>
  <c r="N146" i="5914" s="1"/>
  <c r="O146" i="5914" s="1"/>
  <c r="P146" i="5914" s="1"/>
  <c r="Q146" i="5914" s="1"/>
  <c r="R146" i="5914" s="1"/>
  <c r="S146" i="5914" s="1"/>
  <c r="T146" i="5914" s="1"/>
  <c r="U146" i="5914" s="1"/>
  <c r="V146" i="5914" s="1"/>
  <c r="W146" i="5914" s="1"/>
  <c r="X146" i="5914" s="1"/>
  <c r="Y146" i="5914" s="1"/>
  <c r="Z146" i="5914" s="1"/>
  <c r="AA146" i="5914" s="1"/>
  <c r="AB146" i="5914" s="1"/>
  <c r="AC146" i="5914" s="1"/>
  <c r="AD146" i="5914" s="1"/>
  <c r="AE146" i="5914" s="1"/>
  <c r="AF146" i="5914" s="1"/>
  <c r="AG146" i="5914" s="1"/>
  <c r="AH146" i="5914" s="1"/>
  <c r="AI146" i="5914" s="1"/>
  <c r="AJ146" i="5914" s="1"/>
  <c r="AK146" i="5914" s="1"/>
  <c r="AL146" i="5914" s="1"/>
  <c r="AM146" i="5914" s="1"/>
  <c r="AN146" i="5914" s="1"/>
  <c r="AO146" i="5914" s="1"/>
  <c r="AP146" i="5914" s="1"/>
  <c r="AQ146" i="5914" s="1"/>
  <c r="AR146" i="5914" s="1"/>
  <c r="C161" i="5914"/>
  <c r="C153" i="5909"/>
  <c r="C6" i="5908"/>
  <c r="E146" i="5908"/>
  <c r="M147" i="5908"/>
  <c r="L147" i="5908"/>
  <c r="S147" i="5908"/>
  <c r="E147" i="5908"/>
  <c r="F147" i="5908"/>
  <c r="R147" i="5908"/>
  <c r="N147" i="5908"/>
  <c r="K147" i="5908"/>
  <c r="Q147" i="5908"/>
  <c r="J147" i="5908"/>
  <c r="I147" i="5908"/>
  <c r="H147" i="5908"/>
  <c r="G147" i="5908"/>
  <c r="P147" i="5908"/>
  <c r="O147" i="5908"/>
  <c r="C153" i="5904"/>
  <c r="F146" i="5900"/>
  <c r="G146" i="5900" s="1"/>
  <c r="H146" i="5900" s="1"/>
  <c r="I146" i="5900" s="1"/>
  <c r="J146" i="5900" s="1"/>
  <c r="K146" i="5900" s="1"/>
  <c r="L146" i="5900" s="1"/>
  <c r="M146" i="5900" s="1"/>
  <c r="N146" i="5900" s="1"/>
  <c r="O146" i="5900" s="1"/>
  <c r="P146" i="5900" s="1"/>
  <c r="Q146" i="5900" s="1"/>
  <c r="R146" i="5900" s="1"/>
  <c r="S146" i="5900" s="1"/>
  <c r="T146" i="5900" s="1"/>
  <c r="U146" i="5900" s="1"/>
  <c r="V146" i="5900" s="1"/>
  <c r="W146" i="5900" s="1"/>
  <c r="X146" i="5900" s="1"/>
  <c r="Y146" i="5900" s="1"/>
  <c r="Z146" i="5900" s="1"/>
  <c r="AA146" i="5900" s="1"/>
  <c r="AB146" i="5900" s="1"/>
  <c r="AC146" i="5900" s="1"/>
  <c r="AD146" i="5900" s="1"/>
  <c r="AE146" i="5900" s="1"/>
  <c r="AF146" i="5900" s="1"/>
  <c r="AG146" i="5900" s="1"/>
  <c r="AH146" i="5900" s="1"/>
  <c r="AI146" i="5900" s="1"/>
  <c r="AJ146" i="5900" s="1"/>
  <c r="AK146" i="5900" s="1"/>
  <c r="AL146" i="5900" s="1"/>
  <c r="AM146" i="5900" s="1"/>
  <c r="AN146" i="5900" s="1"/>
  <c r="AO146" i="5900" s="1"/>
  <c r="AP146" i="5900" s="1"/>
  <c r="AQ146" i="5900" s="1"/>
  <c r="AR146" i="5900" s="1"/>
  <c r="C153" i="5914"/>
  <c r="C6" i="5901"/>
  <c r="E146" i="5901"/>
  <c r="K147" i="5901"/>
  <c r="N147" i="5901"/>
  <c r="F147" i="5901"/>
  <c r="S147" i="5901"/>
  <c r="H147" i="5901"/>
  <c r="G147" i="5901"/>
  <c r="M147" i="5901"/>
  <c r="O147" i="5901"/>
  <c r="P147" i="5901"/>
  <c r="Q147" i="5901"/>
  <c r="E147" i="5901"/>
  <c r="R147" i="5901"/>
  <c r="J147" i="5901"/>
  <c r="I147" i="5901"/>
  <c r="L147" i="5901"/>
  <c r="F146" i="5909"/>
  <c r="G146" i="5909" s="1"/>
  <c r="H146" i="5909" s="1"/>
  <c r="I146" i="5909" s="1"/>
  <c r="J146" i="5909" s="1"/>
  <c r="K146" i="5909" s="1"/>
  <c r="L146" i="5909" s="1"/>
  <c r="M146" i="5909" s="1"/>
  <c r="N146" i="5909" s="1"/>
  <c r="O146" i="5909" s="1"/>
  <c r="P146" i="5909" s="1"/>
  <c r="Q146" i="5909" s="1"/>
  <c r="R146" i="5909" s="1"/>
  <c r="S146" i="5909" s="1"/>
  <c r="T146" i="5909" s="1"/>
  <c r="U146" i="5909" s="1"/>
  <c r="V146" i="5909" s="1"/>
  <c r="W146" i="5909" s="1"/>
  <c r="X146" i="5909" s="1"/>
  <c r="Y146" i="5909" s="1"/>
  <c r="Z146" i="5909" s="1"/>
  <c r="AA146" i="5909" s="1"/>
  <c r="AB146" i="5909" s="1"/>
  <c r="AC146" i="5909" s="1"/>
  <c r="AD146" i="5909" s="1"/>
  <c r="AE146" i="5909" s="1"/>
  <c r="AF146" i="5909" s="1"/>
  <c r="AG146" i="5909" s="1"/>
  <c r="AH146" i="5909" s="1"/>
  <c r="AI146" i="5909" s="1"/>
  <c r="AJ146" i="5909" s="1"/>
  <c r="AK146" i="5909" s="1"/>
  <c r="AL146" i="5909" s="1"/>
  <c r="AM146" i="5909" s="1"/>
  <c r="AN146" i="5909" s="1"/>
  <c r="AO146" i="5909" s="1"/>
  <c r="AP146" i="5909" s="1"/>
  <c r="AQ146" i="5909" s="1"/>
  <c r="AR146" i="5909" s="1"/>
  <c r="C161" i="5909"/>
  <c r="F146" i="5912"/>
  <c r="G146" i="5912" s="1"/>
  <c r="H146" i="5912" s="1"/>
  <c r="I146" i="5912" s="1"/>
  <c r="J146" i="5912" s="1"/>
  <c r="K146" i="5912" s="1"/>
  <c r="L146" i="5912" s="1"/>
  <c r="M146" i="5912" s="1"/>
  <c r="N146" i="5912" s="1"/>
  <c r="O146" i="5912" s="1"/>
  <c r="P146" i="5912" s="1"/>
  <c r="Q146" i="5912" s="1"/>
  <c r="R146" i="5912" s="1"/>
  <c r="S146" i="5912" s="1"/>
  <c r="T146" i="5912" s="1"/>
  <c r="U146" i="5912" s="1"/>
  <c r="V146" i="5912" s="1"/>
  <c r="W146" i="5912" s="1"/>
  <c r="X146" i="5912" s="1"/>
  <c r="Y146" i="5912" s="1"/>
  <c r="Z146" i="5912" s="1"/>
  <c r="AA146" i="5912" s="1"/>
  <c r="AB146" i="5912" s="1"/>
  <c r="AC146" i="5912" s="1"/>
  <c r="AD146" i="5912" s="1"/>
  <c r="AE146" i="5912" s="1"/>
  <c r="AF146" i="5912" s="1"/>
  <c r="AG146" i="5912" s="1"/>
  <c r="AH146" i="5912" s="1"/>
  <c r="AI146" i="5912" s="1"/>
  <c r="AJ146" i="5912" s="1"/>
  <c r="AK146" i="5912" s="1"/>
  <c r="AL146" i="5912" s="1"/>
  <c r="AM146" i="5912" s="1"/>
  <c r="AN146" i="5912" s="1"/>
  <c r="AO146" i="5912" s="1"/>
  <c r="AP146" i="5912" s="1"/>
  <c r="AQ146" i="5912" s="1"/>
  <c r="AR146" i="5912" s="1"/>
  <c r="F146" i="5915"/>
  <c r="G146" i="5915" s="1"/>
  <c r="H146" i="5915" s="1"/>
  <c r="I146" i="5915" s="1"/>
  <c r="J146" i="5915" s="1"/>
  <c r="K146" i="5915" s="1"/>
  <c r="L146" i="5915" s="1"/>
  <c r="M146" i="5915" s="1"/>
  <c r="N146" i="5915" s="1"/>
  <c r="O146" i="5915" s="1"/>
  <c r="P146" i="5915" s="1"/>
  <c r="Q146" i="5915" s="1"/>
  <c r="R146" i="5915" s="1"/>
  <c r="S146" i="5915" s="1"/>
  <c r="T146" i="5915" s="1"/>
  <c r="U146" i="5915" s="1"/>
  <c r="V146" i="5915" s="1"/>
  <c r="W146" i="5915" s="1"/>
  <c r="X146" i="5915" s="1"/>
  <c r="Y146" i="5915" s="1"/>
  <c r="Z146" i="5915" s="1"/>
  <c r="AA146" i="5915" s="1"/>
  <c r="AB146" i="5915" s="1"/>
  <c r="AC146" i="5915" s="1"/>
  <c r="AD146" i="5915" s="1"/>
  <c r="AE146" i="5915" s="1"/>
  <c r="AF146" i="5915" s="1"/>
  <c r="AG146" i="5915" s="1"/>
  <c r="AH146" i="5915" s="1"/>
  <c r="AI146" i="5915" s="1"/>
  <c r="AJ146" i="5915" s="1"/>
  <c r="AK146" i="5915" s="1"/>
  <c r="AL146" i="5915" s="1"/>
  <c r="AM146" i="5915" s="1"/>
  <c r="AN146" i="5915" s="1"/>
  <c r="AO146" i="5915" s="1"/>
  <c r="AP146" i="5915" s="1"/>
  <c r="AQ146" i="5915" s="1"/>
  <c r="AR146" i="5915" s="1"/>
  <c r="C153" i="5915"/>
  <c r="F146" i="5905"/>
  <c r="G146" i="5905" s="1"/>
  <c r="H146" i="5905" s="1"/>
  <c r="I146" i="5905" s="1"/>
  <c r="J146" i="5905" s="1"/>
  <c r="K146" i="5905" s="1"/>
  <c r="L146" i="5905" s="1"/>
  <c r="M146" i="5905" s="1"/>
  <c r="N146" i="5905" s="1"/>
  <c r="O146" i="5905" s="1"/>
  <c r="P146" i="5905" s="1"/>
  <c r="Q146" i="5905" s="1"/>
  <c r="R146" i="5905" s="1"/>
  <c r="S146" i="5905" s="1"/>
  <c r="T146" i="5905" s="1"/>
  <c r="U146" i="5905" s="1"/>
  <c r="V146" i="5905" s="1"/>
  <c r="W146" i="5905" s="1"/>
  <c r="X146" i="5905" s="1"/>
  <c r="Y146" i="5905" s="1"/>
  <c r="Z146" i="5905" s="1"/>
  <c r="AA146" i="5905" s="1"/>
  <c r="AB146" i="5905" s="1"/>
  <c r="AC146" i="5905" s="1"/>
  <c r="AD146" i="5905" s="1"/>
  <c r="AE146" i="5905" s="1"/>
  <c r="AF146" i="5905" s="1"/>
  <c r="AG146" i="5905" s="1"/>
  <c r="AH146" i="5905" s="1"/>
  <c r="AI146" i="5905" s="1"/>
  <c r="AJ146" i="5905" s="1"/>
  <c r="AK146" i="5905" s="1"/>
  <c r="AL146" i="5905" s="1"/>
  <c r="AM146" i="5905" s="1"/>
  <c r="AN146" i="5905" s="1"/>
  <c r="AO146" i="5905" s="1"/>
  <c r="AP146" i="5905" s="1"/>
  <c r="AQ146" i="5905" s="1"/>
  <c r="AR146" i="5905" s="1"/>
  <c r="C161" i="5905"/>
  <c r="C6" i="5903"/>
  <c r="E146" i="5903"/>
  <c r="L147" i="5903"/>
  <c r="S147" i="5903"/>
  <c r="F147" i="5903"/>
  <c r="N147" i="5903"/>
  <c r="K147" i="5903"/>
  <c r="H147" i="5903"/>
  <c r="Q147" i="5903"/>
  <c r="M147" i="5903"/>
  <c r="I147" i="5903"/>
  <c r="J147" i="5903"/>
  <c r="R147" i="5903"/>
  <c r="E147" i="5903"/>
  <c r="G147" i="5903"/>
  <c r="O147" i="5903"/>
  <c r="P147" i="5903"/>
  <c r="C6" i="5910"/>
  <c r="E146" i="5910"/>
  <c r="F147" i="5910"/>
  <c r="L147" i="5910"/>
  <c r="G147" i="5910"/>
  <c r="J147" i="5910"/>
  <c r="H147" i="5910"/>
  <c r="M147" i="5910"/>
  <c r="I147" i="5910"/>
  <c r="O147" i="5910"/>
  <c r="E147" i="5910"/>
  <c r="S147" i="5910"/>
  <c r="K147" i="5910"/>
  <c r="P147" i="5910"/>
  <c r="N147" i="5910"/>
  <c r="R147" i="5910"/>
  <c r="Q147" i="5910"/>
  <c r="C6" i="5897"/>
  <c r="E146" i="5897"/>
  <c r="J147" i="5897"/>
  <c r="K147" i="5897"/>
  <c r="I147" i="5897"/>
  <c r="R147" i="5897"/>
  <c r="P147" i="5897"/>
  <c r="H147" i="5897"/>
  <c r="N147" i="5897"/>
  <c r="G147" i="5897"/>
  <c r="S147" i="5897"/>
  <c r="Q147" i="5897"/>
  <c r="M147" i="5897"/>
  <c r="F147" i="5897"/>
  <c r="E147" i="5897"/>
  <c r="L147" i="5897"/>
  <c r="O147" i="5897"/>
  <c r="F146" i="5906"/>
  <c r="G146" i="5906" s="1"/>
  <c r="H146" i="5906" s="1"/>
  <c r="I146" i="5906" s="1"/>
  <c r="J146" i="5906" s="1"/>
  <c r="K146" i="5906" s="1"/>
  <c r="L146" i="5906" s="1"/>
  <c r="M146" i="5906" s="1"/>
  <c r="N146" i="5906" s="1"/>
  <c r="O146" i="5906" s="1"/>
  <c r="P146" i="5906" s="1"/>
  <c r="Q146" i="5906" s="1"/>
  <c r="R146" i="5906" s="1"/>
  <c r="S146" i="5906" s="1"/>
  <c r="T146" i="5906" s="1"/>
  <c r="U146" i="5906" s="1"/>
  <c r="V146" i="5906" s="1"/>
  <c r="W146" i="5906" s="1"/>
  <c r="X146" i="5906" s="1"/>
  <c r="Y146" i="5906" s="1"/>
  <c r="Z146" i="5906" s="1"/>
  <c r="AA146" i="5906" s="1"/>
  <c r="AB146" i="5906" s="1"/>
  <c r="AC146" i="5906" s="1"/>
  <c r="AD146" i="5906" s="1"/>
  <c r="AE146" i="5906" s="1"/>
  <c r="AF146" i="5906" s="1"/>
  <c r="AG146" i="5906" s="1"/>
  <c r="AH146" i="5906" s="1"/>
  <c r="AI146" i="5906" s="1"/>
  <c r="AJ146" i="5906" s="1"/>
  <c r="AK146" i="5906" s="1"/>
  <c r="AL146" i="5906" s="1"/>
  <c r="AM146" i="5906" s="1"/>
  <c r="AN146" i="5906" s="1"/>
  <c r="AO146" i="5906" s="1"/>
  <c r="AP146" i="5906" s="1"/>
  <c r="AQ146" i="5906" s="1"/>
  <c r="AR146" i="5906" s="1"/>
  <c r="C161" i="5906"/>
  <c r="F146" i="5904"/>
  <c r="G146" i="5904" s="1"/>
  <c r="H146" i="5904" s="1"/>
  <c r="I146" i="5904" s="1"/>
  <c r="J146" i="5904" s="1"/>
  <c r="K146" i="5904" s="1"/>
  <c r="L146" i="5904" s="1"/>
  <c r="M146" i="5904" s="1"/>
  <c r="N146" i="5904" s="1"/>
  <c r="O146" i="5904" s="1"/>
  <c r="P146" i="5904" s="1"/>
  <c r="Q146" i="5904" s="1"/>
  <c r="R146" i="5904" s="1"/>
  <c r="S146" i="5904" s="1"/>
  <c r="T146" i="5904" s="1"/>
  <c r="U146" i="5904" s="1"/>
  <c r="V146" i="5904" s="1"/>
  <c r="W146" i="5904" s="1"/>
  <c r="X146" i="5904" s="1"/>
  <c r="Y146" i="5904" s="1"/>
  <c r="Z146" i="5904" s="1"/>
  <c r="AA146" i="5904" s="1"/>
  <c r="AB146" i="5904" s="1"/>
  <c r="AC146" i="5904" s="1"/>
  <c r="AD146" i="5904" s="1"/>
  <c r="AE146" i="5904" s="1"/>
  <c r="AF146" i="5904" s="1"/>
  <c r="AG146" i="5904" s="1"/>
  <c r="AH146" i="5904" s="1"/>
  <c r="AI146" i="5904" s="1"/>
  <c r="AJ146" i="5904" s="1"/>
  <c r="AK146" i="5904" s="1"/>
  <c r="AL146" i="5904" s="1"/>
  <c r="AM146" i="5904" s="1"/>
  <c r="AN146" i="5904" s="1"/>
  <c r="AO146" i="5904" s="1"/>
  <c r="AP146" i="5904" s="1"/>
  <c r="AQ146" i="5904" s="1"/>
  <c r="AR146" i="5904" s="1"/>
  <c r="C153" i="5906"/>
  <c r="C153" i="5913"/>
  <c r="C153" i="5911"/>
  <c r="C153" i="5917"/>
  <c r="F146" i="5917"/>
  <c r="G146" i="5917" s="1"/>
  <c r="H146" i="5917" s="1"/>
  <c r="I146" i="5917" s="1"/>
  <c r="J146" i="5917" s="1"/>
  <c r="K146" i="5917" s="1"/>
  <c r="L146" i="5917" s="1"/>
  <c r="M146" i="5917" s="1"/>
  <c r="N146" i="5917" s="1"/>
  <c r="O146" i="5917" s="1"/>
  <c r="P146" i="5917" s="1"/>
  <c r="Q146" i="5917" s="1"/>
  <c r="R146" i="5917" s="1"/>
  <c r="S146" i="5917" s="1"/>
  <c r="T146" i="5917" s="1"/>
  <c r="U146" i="5917" s="1"/>
  <c r="V146" i="5917" s="1"/>
  <c r="W146" i="5917" s="1"/>
  <c r="X146" i="5917" s="1"/>
  <c r="Y146" i="5917" s="1"/>
  <c r="Z146" i="5917" s="1"/>
  <c r="AA146" i="5917" s="1"/>
  <c r="AB146" i="5917" s="1"/>
  <c r="AC146" i="5917" s="1"/>
  <c r="AD146" i="5917" s="1"/>
  <c r="AE146" i="5917" s="1"/>
  <c r="AF146" i="5917" s="1"/>
  <c r="AG146" i="5917" s="1"/>
  <c r="AH146" i="5917" s="1"/>
  <c r="AI146" i="5917" s="1"/>
  <c r="AJ146" i="5917" s="1"/>
  <c r="AK146" i="5917" s="1"/>
  <c r="AL146" i="5917" s="1"/>
  <c r="AM146" i="5917" s="1"/>
  <c r="AN146" i="5917" s="1"/>
  <c r="AO146" i="5917" s="1"/>
  <c r="AP146" i="5917" s="1"/>
  <c r="AQ146" i="5917" s="1"/>
  <c r="AR146" i="5917" s="1"/>
  <c r="F146" i="5913"/>
  <c r="G146" i="5913" s="1"/>
  <c r="H146" i="5913" s="1"/>
  <c r="I146" i="5913" s="1"/>
  <c r="J146" i="5913" s="1"/>
  <c r="K146" i="5913" s="1"/>
  <c r="L146" i="5913" s="1"/>
  <c r="M146" i="5913" s="1"/>
  <c r="N146" i="5913" s="1"/>
  <c r="O146" i="5913" s="1"/>
  <c r="P146" i="5913" s="1"/>
  <c r="Q146" i="5913" s="1"/>
  <c r="R146" i="5913" s="1"/>
  <c r="S146" i="5913" s="1"/>
  <c r="T146" i="5913" s="1"/>
  <c r="U146" i="5913" s="1"/>
  <c r="V146" i="5913" s="1"/>
  <c r="W146" i="5913" s="1"/>
  <c r="X146" i="5913" s="1"/>
  <c r="Y146" i="5913" s="1"/>
  <c r="Z146" i="5913" s="1"/>
  <c r="AA146" i="5913" s="1"/>
  <c r="AB146" i="5913" s="1"/>
  <c r="AC146" i="5913" s="1"/>
  <c r="AD146" i="5913" s="1"/>
  <c r="AE146" i="5913" s="1"/>
  <c r="AF146" i="5913" s="1"/>
  <c r="AG146" i="5913" s="1"/>
  <c r="AH146" i="5913" s="1"/>
  <c r="AI146" i="5913" s="1"/>
  <c r="AJ146" i="5913" s="1"/>
  <c r="AK146" i="5913" s="1"/>
  <c r="AL146" i="5913" s="1"/>
  <c r="AM146" i="5913" s="1"/>
  <c r="AN146" i="5913" s="1"/>
  <c r="AO146" i="5913" s="1"/>
  <c r="AP146" i="5913" s="1"/>
  <c r="AQ146" i="5913" s="1"/>
  <c r="AR146" i="5913" s="1"/>
  <c r="C6" i="5898"/>
  <c r="E146" i="5898"/>
  <c r="G147" i="5898"/>
  <c r="S147" i="5898"/>
  <c r="J147" i="5898"/>
  <c r="P147" i="5898"/>
  <c r="O147" i="5898"/>
  <c r="K147" i="5898"/>
  <c r="H147" i="5898"/>
  <c r="F147" i="5898"/>
  <c r="L147" i="5898"/>
  <c r="M147" i="5898"/>
  <c r="Q147" i="5898"/>
  <c r="E147" i="5898"/>
  <c r="R147" i="5898"/>
  <c r="I147" i="5898"/>
  <c r="N147" i="5898"/>
  <c r="C153" i="5905"/>
  <c r="C161" i="5904" l="1"/>
  <c r="F146" i="5910"/>
  <c r="G146" i="5910" s="1"/>
  <c r="H146" i="5910" s="1"/>
  <c r="I146" i="5910" s="1"/>
  <c r="J146" i="5910" s="1"/>
  <c r="K146" i="5910" s="1"/>
  <c r="L146" i="5910" s="1"/>
  <c r="M146" i="5910" s="1"/>
  <c r="N146" i="5910" s="1"/>
  <c r="O146" i="5910" s="1"/>
  <c r="P146" i="5910" s="1"/>
  <c r="Q146" i="5910" s="1"/>
  <c r="R146" i="5910" s="1"/>
  <c r="S146" i="5910" s="1"/>
  <c r="T146" i="5910" s="1"/>
  <c r="U146" i="5910" s="1"/>
  <c r="V146" i="5910" s="1"/>
  <c r="W146" i="5910" s="1"/>
  <c r="X146" i="5910" s="1"/>
  <c r="Y146" i="5910" s="1"/>
  <c r="Z146" i="5910" s="1"/>
  <c r="AA146" i="5910" s="1"/>
  <c r="AB146" i="5910" s="1"/>
  <c r="AC146" i="5910" s="1"/>
  <c r="AD146" i="5910" s="1"/>
  <c r="AE146" i="5910" s="1"/>
  <c r="AF146" i="5910" s="1"/>
  <c r="AG146" i="5910" s="1"/>
  <c r="AH146" i="5910" s="1"/>
  <c r="AI146" i="5910" s="1"/>
  <c r="AJ146" i="5910" s="1"/>
  <c r="AK146" i="5910" s="1"/>
  <c r="AL146" i="5910" s="1"/>
  <c r="AM146" i="5910" s="1"/>
  <c r="AN146" i="5910" s="1"/>
  <c r="AO146" i="5910" s="1"/>
  <c r="AP146" i="5910" s="1"/>
  <c r="AQ146" i="5910" s="1"/>
  <c r="AR146" i="5910" s="1"/>
  <c r="C161" i="5912"/>
  <c r="C153" i="5908"/>
  <c r="C153" i="5899"/>
  <c r="F146" i="5899"/>
  <c r="G146" i="5899" s="1"/>
  <c r="H146" i="5899" s="1"/>
  <c r="I146" i="5899" s="1"/>
  <c r="J146" i="5899" s="1"/>
  <c r="K146" i="5899" s="1"/>
  <c r="L146" i="5899" s="1"/>
  <c r="M146" i="5899" s="1"/>
  <c r="N146" i="5899" s="1"/>
  <c r="O146" i="5899" s="1"/>
  <c r="P146" i="5899" s="1"/>
  <c r="Q146" i="5899" s="1"/>
  <c r="R146" i="5899" s="1"/>
  <c r="S146" i="5899" s="1"/>
  <c r="T146" i="5899" s="1"/>
  <c r="U146" i="5899" s="1"/>
  <c r="V146" i="5899" s="1"/>
  <c r="W146" i="5899" s="1"/>
  <c r="X146" i="5899" s="1"/>
  <c r="Y146" i="5899" s="1"/>
  <c r="Z146" i="5899" s="1"/>
  <c r="AA146" i="5899" s="1"/>
  <c r="AB146" i="5899" s="1"/>
  <c r="AC146" i="5899" s="1"/>
  <c r="AD146" i="5899" s="1"/>
  <c r="AE146" i="5899" s="1"/>
  <c r="AF146" i="5899" s="1"/>
  <c r="AG146" i="5899" s="1"/>
  <c r="AH146" i="5899" s="1"/>
  <c r="AI146" i="5899" s="1"/>
  <c r="AJ146" i="5899" s="1"/>
  <c r="AK146" i="5899" s="1"/>
  <c r="AL146" i="5899" s="1"/>
  <c r="AM146" i="5899" s="1"/>
  <c r="AN146" i="5899" s="1"/>
  <c r="AO146" i="5899" s="1"/>
  <c r="AP146" i="5899" s="1"/>
  <c r="AQ146" i="5899" s="1"/>
  <c r="AR146" i="5899" s="1"/>
  <c r="C153" i="5907"/>
  <c r="C153" i="5898"/>
  <c r="C153" i="5910"/>
  <c r="C161" i="5913"/>
  <c r="F146" i="5908"/>
  <c r="G146" i="5908" s="1"/>
  <c r="H146" i="5908" s="1"/>
  <c r="I146" i="5908" s="1"/>
  <c r="J146" i="5908" s="1"/>
  <c r="K146" i="5908" s="1"/>
  <c r="L146" i="5908" s="1"/>
  <c r="M146" i="5908" s="1"/>
  <c r="N146" i="5908" s="1"/>
  <c r="O146" i="5908" s="1"/>
  <c r="P146" i="5908" s="1"/>
  <c r="Q146" i="5908" s="1"/>
  <c r="R146" i="5908" s="1"/>
  <c r="S146" i="5908" s="1"/>
  <c r="T146" i="5908" s="1"/>
  <c r="U146" i="5908" s="1"/>
  <c r="V146" i="5908" s="1"/>
  <c r="W146" i="5908" s="1"/>
  <c r="X146" i="5908" s="1"/>
  <c r="Y146" i="5908" s="1"/>
  <c r="Z146" i="5908" s="1"/>
  <c r="AA146" i="5908" s="1"/>
  <c r="AB146" i="5908" s="1"/>
  <c r="AC146" i="5908" s="1"/>
  <c r="AD146" i="5908" s="1"/>
  <c r="AE146" i="5908" s="1"/>
  <c r="AF146" i="5908" s="1"/>
  <c r="AG146" i="5908" s="1"/>
  <c r="AH146" i="5908" s="1"/>
  <c r="AI146" i="5908" s="1"/>
  <c r="AJ146" i="5908" s="1"/>
  <c r="AK146" i="5908" s="1"/>
  <c r="AL146" i="5908" s="1"/>
  <c r="AM146" i="5908" s="1"/>
  <c r="AN146" i="5908" s="1"/>
  <c r="AO146" i="5908" s="1"/>
  <c r="AP146" i="5908" s="1"/>
  <c r="AQ146" i="5908" s="1"/>
  <c r="AR146" i="5908" s="1"/>
  <c r="C161" i="5908"/>
  <c r="C153" i="5903"/>
  <c r="F146" i="5903"/>
  <c r="G146" i="5903" s="1"/>
  <c r="H146" i="5903" s="1"/>
  <c r="I146" i="5903" s="1"/>
  <c r="J146" i="5903" s="1"/>
  <c r="K146" i="5903" s="1"/>
  <c r="L146" i="5903" s="1"/>
  <c r="M146" i="5903" s="1"/>
  <c r="N146" i="5903" s="1"/>
  <c r="O146" i="5903" s="1"/>
  <c r="P146" i="5903" s="1"/>
  <c r="Q146" i="5903" s="1"/>
  <c r="R146" i="5903" s="1"/>
  <c r="S146" i="5903" s="1"/>
  <c r="T146" i="5903" s="1"/>
  <c r="U146" i="5903" s="1"/>
  <c r="V146" i="5903" s="1"/>
  <c r="W146" i="5903" s="1"/>
  <c r="X146" i="5903" s="1"/>
  <c r="Y146" i="5903" s="1"/>
  <c r="Z146" i="5903" s="1"/>
  <c r="AA146" i="5903" s="1"/>
  <c r="AB146" i="5903" s="1"/>
  <c r="AC146" i="5903" s="1"/>
  <c r="AD146" i="5903" s="1"/>
  <c r="AE146" i="5903" s="1"/>
  <c r="AF146" i="5903" s="1"/>
  <c r="AG146" i="5903" s="1"/>
  <c r="AH146" i="5903" s="1"/>
  <c r="AI146" i="5903" s="1"/>
  <c r="AJ146" i="5903" s="1"/>
  <c r="AK146" i="5903" s="1"/>
  <c r="AL146" i="5903" s="1"/>
  <c r="AM146" i="5903" s="1"/>
  <c r="AN146" i="5903" s="1"/>
  <c r="AO146" i="5903" s="1"/>
  <c r="AP146" i="5903" s="1"/>
  <c r="AQ146" i="5903" s="1"/>
  <c r="AR146" i="5903" s="1"/>
  <c r="F146" i="5898"/>
  <c r="G146" i="5898" s="1"/>
  <c r="H146" i="5898" s="1"/>
  <c r="I146" i="5898" s="1"/>
  <c r="J146" i="5898" s="1"/>
  <c r="K146" i="5898" s="1"/>
  <c r="L146" i="5898" s="1"/>
  <c r="M146" i="5898" s="1"/>
  <c r="N146" i="5898" s="1"/>
  <c r="O146" i="5898" s="1"/>
  <c r="P146" i="5898" s="1"/>
  <c r="Q146" i="5898" s="1"/>
  <c r="R146" i="5898" s="1"/>
  <c r="S146" i="5898" s="1"/>
  <c r="T146" i="5898" s="1"/>
  <c r="U146" i="5898" s="1"/>
  <c r="V146" i="5898" s="1"/>
  <c r="W146" i="5898" s="1"/>
  <c r="X146" i="5898" s="1"/>
  <c r="Y146" i="5898" s="1"/>
  <c r="Z146" i="5898" s="1"/>
  <c r="AA146" i="5898" s="1"/>
  <c r="AB146" i="5898" s="1"/>
  <c r="AC146" i="5898" s="1"/>
  <c r="AD146" i="5898" s="1"/>
  <c r="AE146" i="5898" s="1"/>
  <c r="AF146" i="5898" s="1"/>
  <c r="AG146" i="5898" s="1"/>
  <c r="AH146" i="5898" s="1"/>
  <c r="AI146" i="5898" s="1"/>
  <c r="AJ146" i="5898" s="1"/>
  <c r="AK146" i="5898" s="1"/>
  <c r="AL146" i="5898" s="1"/>
  <c r="AM146" i="5898" s="1"/>
  <c r="AN146" i="5898" s="1"/>
  <c r="AO146" i="5898" s="1"/>
  <c r="AP146" i="5898" s="1"/>
  <c r="AQ146" i="5898" s="1"/>
  <c r="AR146" i="5898" s="1"/>
  <c r="C161" i="5898"/>
  <c r="C161" i="5917"/>
  <c r="C153" i="5897"/>
  <c r="F146" i="5907"/>
  <c r="G146" i="5907" s="1"/>
  <c r="H146" i="5907" s="1"/>
  <c r="I146" i="5907" s="1"/>
  <c r="J146" i="5907" s="1"/>
  <c r="K146" i="5907" s="1"/>
  <c r="L146" i="5907" s="1"/>
  <c r="M146" i="5907" s="1"/>
  <c r="N146" i="5907" s="1"/>
  <c r="O146" i="5907" s="1"/>
  <c r="P146" i="5907" s="1"/>
  <c r="Q146" i="5907" s="1"/>
  <c r="R146" i="5907" s="1"/>
  <c r="S146" i="5907" s="1"/>
  <c r="T146" i="5907" s="1"/>
  <c r="U146" i="5907" s="1"/>
  <c r="V146" i="5907" s="1"/>
  <c r="W146" i="5907" s="1"/>
  <c r="X146" i="5907" s="1"/>
  <c r="Y146" i="5907" s="1"/>
  <c r="Z146" i="5907" s="1"/>
  <c r="AA146" i="5907" s="1"/>
  <c r="AB146" i="5907" s="1"/>
  <c r="AC146" i="5907" s="1"/>
  <c r="AD146" i="5907" s="1"/>
  <c r="AE146" i="5907" s="1"/>
  <c r="AF146" i="5907" s="1"/>
  <c r="AG146" i="5907" s="1"/>
  <c r="AH146" i="5907" s="1"/>
  <c r="AI146" i="5907" s="1"/>
  <c r="AJ146" i="5907" s="1"/>
  <c r="AK146" i="5907" s="1"/>
  <c r="AL146" i="5907" s="1"/>
  <c r="AM146" i="5907" s="1"/>
  <c r="AN146" i="5907" s="1"/>
  <c r="AO146" i="5907" s="1"/>
  <c r="AP146" i="5907" s="1"/>
  <c r="AQ146" i="5907" s="1"/>
  <c r="AR146" i="5907" s="1"/>
  <c r="C161" i="5907"/>
  <c r="F146" i="5897"/>
  <c r="G146" i="5897" s="1"/>
  <c r="H146" i="5897" s="1"/>
  <c r="I146" i="5897" s="1"/>
  <c r="J146" i="5897" s="1"/>
  <c r="K146" i="5897" s="1"/>
  <c r="L146" i="5897" s="1"/>
  <c r="M146" i="5897" s="1"/>
  <c r="N146" i="5897" s="1"/>
  <c r="O146" i="5897" s="1"/>
  <c r="P146" i="5897" s="1"/>
  <c r="Q146" i="5897" s="1"/>
  <c r="R146" i="5897" s="1"/>
  <c r="S146" i="5897" s="1"/>
  <c r="T146" i="5897" s="1"/>
  <c r="U146" i="5897" s="1"/>
  <c r="V146" i="5897" s="1"/>
  <c r="W146" i="5897" s="1"/>
  <c r="X146" i="5897" s="1"/>
  <c r="Y146" i="5897" s="1"/>
  <c r="Z146" i="5897" s="1"/>
  <c r="AA146" i="5897" s="1"/>
  <c r="AB146" i="5897" s="1"/>
  <c r="AC146" i="5897" s="1"/>
  <c r="AD146" i="5897" s="1"/>
  <c r="AE146" i="5897" s="1"/>
  <c r="AF146" i="5897" s="1"/>
  <c r="AG146" i="5897" s="1"/>
  <c r="AH146" i="5897" s="1"/>
  <c r="AI146" i="5897" s="1"/>
  <c r="AJ146" i="5897" s="1"/>
  <c r="AK146" i="5897" s="1"/>
  <c r="AL146" i="5897" s="1"/>
  <c r="AM146" i="5897" s="1"/>
  <c r="AN146" i="5897" s="1"/>
  <c r="AO146" i="5897" s="1"/>
  <c r="AP146" i="5897" s="1"/>
  <c r="AQ146" i="5897" s="1"/>
  <c r="AR146" i="5897" s="1"/>
  <c r="F146" i="5901"/>
  <c r="G146" i="5901" s="1"/>
  <c r="H146" i="5901" s="1"/>
  <c r="I146" i="5901" s="1"/>
  <c r="J146" i="5901" s="1"/>
  <c r="K146" i="5901" s="1"/>
  <c r="L146" i="5901" s="1"/>
  <c r="M146" i="5901" s="1"/>
  <c r="N146" i="5901" s="1"/>
  <c r="O146" i="5901" s="1"/>
  <c r="P146" i="5901" s="1"/>
  <c r="Q146" i="5901" s="1"/>
  <c r="R146" i="5901" s="1"/>
  <c r="S146" i="5901" s="1"/>
  <c r="T146" i="5901" s="1"/>
  <c r="U146" i="5901" s="1"/>
  <c r="V146" i="5901" s="1"/>
  <c r="W146" i="5901" s="1"/>
  <c r="X146" i="5901" s="1"/>
  <c r="Y146" i="5901" s="1"/>
  <c r="Z146" i="5901" s="1"/>
  <c r="AA146" i="5901" s="1"/>
  <c r="AB146" i="5901" s="1"/>
  <c r="AC146" i="5901" s="1"/>
  <c r="AD146" i="5901" s="1"/>
  <c r="AE146" i="5901" s="1"/>
  <c r="AF146" i="5901" s="1"/>
  <c r="AG146" i="5901" s="1"/>
  <c r="AH146" i="5901" s="1"/>
  <c r="AI146" i="5901" s="1"/>
  <c r="AJ146" i="5901" s="1"/>
  <c r="AK146" i="5901" s="1"/>
  <c r="AL146" i="5901" s="1"/>
  <c r="AM146" i="5901" s="1"/>
  <c r="AN146" i="5901" s="1"/>
  <c r="AO146" i="5901" s="1"/>
  <c r="AP146" i="5901" s="1"/>
  <c r="AQ146" i="5901" s="1"/>
  <c r="AR146" i="5901" s="1"/>
  <c r="C153" i="5901"/>
  <c r="C161" i="5911"/>
  <c r="C161" i="5915"/>
  <c r="C161" i="5900"/>
  <c r="O20" i="65"/>
  <c r="R27" i="65"/>
  <c r="O22" i="65"/>
  <c r="R20" i="65"/>
  <c r="D14" i="65"/>
  <c r="R23" i="65"/>
  <c r="X14" i="65"/>
  <c r="P26" i="65"/>
  <c r="C14" i="65"/>
  <c r="P20" i="65"/>
  <c r="AA26" i="65"/>
  <c r="S14" i="65"/>
  <c r="X20" i="65"/>
  <c r="Y8" i="65"/>
  <c r="U13" i="65"/>
  <c r="V28" i="65"/>
  <c r="B12" i="65"/>
  <c r="B16" i="65"/>
  <c r="X24" i="65"/>
  <c r="W29" i="65"/>
  <c r="G12" i="65"/>
  <c r="T15" i="65"/>
  <c r="W23" i="65"/>
  <c r="O29" i="65"/>
  <c r="U10" i="65"/>
  <c r="AA16" i="65"/>
  <c r="Y13" i="65"/>
  <c r="U8" i="65"/>
  <c r="B22" i="65"/>
  <c r="P22" i="65"/>
  <c r="D15" i="65"/>
  <c r="Y9" i="65"/>
  <c r="R14" i="65"/>
  <c r="R19" i="65"/>
  <c r="AA15" i="65"/>
  <c r="R12" i="65"/>
  <c r="W24" i="65"/>
  <c r="N15" i="65"/>
  <c r="U26" i="65"/>
  <c r="W27" i="65"/>
  <c r="Y27" i="65"/>
  <c r="O28" i="65"/>
  <c r="U15" i="65"/>
  <c r="B13" i="65"/>
  <c r="X28" i="65"/>
  <c r="X25" i="65"/>
  <c r="X22" i="65"/>
  <c r="U16" i="65"/>
  <c r="Y24" i="65"/>
  <c r="P15" i="65"/>
  <c r="C15" i="65"/>
  <c r="U21" i="65"/>
  <c r="B11" i="65"/>
  <c r="B8" i="65"/>
  <c r="AA20" i="65"/>
  <c r="X12" i="65"/>
  <c r="B32" i="65"/>
  <c r="V24" i="65"/>
  <c r="W16" i="65"/>
  <c r="Y11" i="65"/>
  <c r="W25" i="65"/>
  <c r="X11" i="65"/>
  <c r="AA14" i="65"/>
  <c r="X13" i="65"/>
  <c r="O27" i="65"/>
  <c r="Y12" i="65"/>
  <c r="C12" i="65"/>
  <c r="F8" i="65"/>
  <c r="X21" i="65"/>
  <c r="S12" i="65"/>
  <c r="T14" i="65"/>
  <c r="O25" i="65"/>
  <c r="O15" i="65"/>
  <c r="X9" i="65"/>
  <c r="V9" i="65"/>
  <c r="Y25" i="65"/>
  <c r="Y14" i="65"/>
  <c r="O23" i="65"/>
  <c r="Y26" i="65"/>
  <c r="W13" i="65"/>
  <c r="O26" i="65"/>
  <c r="P24" i="65"/>
  <c r="W12" i="65"/>
  <c r="P29" i="65"/>
  <c r="X16" i="65"/>
  <c r="P16" i="65"/>
  <c r="V11" i="65"/>
  <c r="O24" i="65"/>
  <c r="R28" i="65"/>
  <c r="AA11" i="65"/>
  <c r="P21" i="65"/>
  <c r="V25" i="65"/>
  <c r="B27" i="65"/>
  <c r="U32" i="65"/>
  <c r="V27" i="65"/>
  <c r="C16" i="65"/>
  <c r="B28" i="65"/>
  <c r="Y29" i="65"/>
  <c r="U23" i="65"/>
  <c r="R26" i="65"/>
  <c r="AA12" i="65"/>
  <c r="F12" i="65"/>
  <c r="B24" i="65"/>
  <c r="V12" i="65"/>
  <c r="W32" i="65"/>
  <c r="U25" i="65"/>
  <c r="B9" i="65"/>
  <c r="V32" i="65"/>
  <c r="B25" i="65"/>
  <c r="O14" i="65"/>
  <c r="Y16" i="65"/>
  <c r="R24" i="65"/>
  <c r="W28" i="65"/>
  <c r="N8" i="65"/>
  <c r="V19" i="65"/>
  <c r="P27" i="65"/>
  <c r="P32" i="65"/>
  <c r="U20" i="65"/>
  <c r="F14" i="65"/>
  <c r="O12" i="65"/>
  <c r="Y10" i="65"/>
  <c r="B23" i="65"/>
  <c r="R8" i="65"/>
  <c r="F15" i="65"/>
  <c r="S15" i="65"/>
  <c r="X15" i="65"/>
  <c r="V23" i="65"/>
  <c r="X10" i="65"/>
  <c r="R32" i="65"/>
  <c r="AA19" i="65"/>
  <c r="R10" i="65"/>
  <c r="B19" i="65"/>
  <c r="O11" i="65"/>
  <c r="AA29" i="65"/>
  <c r="AA25" i="65"/>
  <c r="V15" i="65"/>
  <c r="R11" i="65"/>
  <c r="S16" i="65"/>
  <c r="AA27" i="65"/>
  <c r="R15" i="65"/>
  <c r="P12" i="65"/>
  <c r="U29" i="65"/>
  <c r="B14" i="65"/>
  <c r="P23" i="65"/>
  <c r="P19" i="65"/>
  <c r="P9" i="65"/>
  <c r="P14" i="65"/>
  <c r="Y32" i="65"/>
  <c r="O16" i="65"/>
  <c r="G16" i="65"/>
  <c r="G15" i="65"/>
  <c r="AA22" i="65"/>
  <c r="D12" i="65"/>
  <c r="U12" i="65"/>
  <c r="R21" i="65"/>
  <c r="V10" i="65"/>
  <c r="V14" i="65"/>
  <c r="R13" i="65"/>
  <c r="X23" i="65"/>
  <c r="AA13" i="65"/>
  <c r="D16" i="65"/>
  <c r="O10" i="65"/>
  <c r="N14" i="65"/>
  <c r="V29" i="65"/>
  <c r="Y28" i="65"/>
  <c r="Y19" i="65"/>
  <c r="AA32" i="65"/>
  <c r="G8" i="65"/>
  <c r="P8" i="65"/>
  <c r="U27" i="65"/>
  <c r="O9" i="65"/>
  <c r="V16" i="65"/>
  <c r="W11" i="65"/>
  <c r="V22" i="65"/>
  <c r="W20" i="65"/>
  <c r="P11" i="65"/>
  <c r="V20" i="65"/>
  <c r="W22" i="65"/>
  <c r="W21" i="65"/>
  <c r="R22" i="65"/>
  <c r="U9" i="65"/>
  <c r="W14" i="65"/>
  <c r="P10" i="65"/>
  <c r="AA23" i="65"/>
  <c r="P25" i="65"/>
  <c r="W15" i="65"/>
  <c r="T16" i="65"/>
  <c r="AA21" i="65"/>
  <c r="X26" i="65"/>
  <c r="AA28" i="65"/>
  <c r="O13" i="65"/>
  <c r="X8" i="65"/>
  <c r="V21" i="65"/>
  <c r="Y22" i="65"/>
  <c r="Y15" i="65"/>
  <c r="O19" i="65"/>
  <c r="U24" i="65"/>
  <c r="Y20" i="65"/>
  <c r="O8" i="65"/>
  <c r="R29" i="65"/>
  <c r="B15" i="65"/>
  <c r="R9" i="65"/>
  <c r="W26" i="65"/>
  <c r="U28" i="65"/>
  <c r="F16" i="65"/>
  <c r="B21" i="65"/>
  <c r="Y21" i="65"/>
  <c r="U14" i="65"/>
  <c r="N16" i="65"/>
  <c r="T12" i="65"/>
  <c r="V13" i="65"/>
  <c r="U19" i="65"/>
  <c r="B10" i="65"/>
  <c r="X29" i="65"/>
  <c r="B26" i="65"/>
  <c r="W10" i="65"/>
  <c r="G14" i="65"/>
  <c r="Y23" i="65"/>
  <c r="R25" i="65"/>
  <c r="P28" i="65"/>
  <c r="P13" i="65"/>
  <c r="W8" i="65"/>
  <c r="B20" i="65"/>
  <c r="X32" i="65"/>
  <c r="O32" i="65"/>
  <c r="AA10" i="65"/>
  <c r="R16" i="65"/>
  <c r="B29" i="65"/>
  <c r="X27" i="65"/>
  <c r="AA24" i="65"/>
  <c r="W9" i="65"/>
  <c r="U11" i="65"/>
  <c r="O21" i="65"/>
  <c r="W19" i="65"/>
  <c r="V26" i="65"/>
  <c r="V8" i="65"/>
  <c r="X19" i="65"/>
  <c r="U22" i="65"/>
  <c r="C161" i="5899" l="1"/>
  <c r="C161" i="5903"/>
  <c r="C161" i="5901"/>
  <c r="C161" i="5910"/>
  <c r="C161" i="5897"/>
  <c r="Q5" i="65"/>
  <c r="E5" i="65"/>
  <c r="I5" i="65"/>
  <c r="J5" i="65"/>
  <c r="K5" i="65"/>
  <c r="L5" i="65"/>
  <c r="M5" i="65"/>
  <c r="L15" i="65"/>
  <c r="L10" i="65"/>
  <c r="K8" i="65"/>
  <c r="J13" i="65"/>
  <c r="Q16" i="65"/>
  <c r="L13" i="65"/>
  <c r="K26" i="65"/>
  <c r="L21" i="65"/>
  <c r="E16" i="65"/>
  <c r="L16" i="65"/>
  <c r="K19" i="65"/>
  <c r="L8" i="65"/>
  <c r="J32" i="65"/>
  <c r="J29" i="65"/>
  <c r="K15" i="65"/>
  <c r="K32" i="65"/>
  <c r="K27" i="65"/>
  <c r="K28" i="65"/>
  <c r="K14" i="65"/>
  <c r="K12" i="65"/>
  <c r="J26" i="65"/>
  <c r="K10" i="65"/>
  <c r="K21" i="65"/>
  <c r="J12" i="65"/>
  <c r="L22" i="65"/>
  <c r="I12" i="65"/>
  <c r="K20" i="65"/>
  <c r="J27" i="65"/>
  <c r="L25" i="65"/>
  <c r="L26" i="65"/>
  <c r="J21" i="65"/>
  <c r="J10" i="65"/>
  <c r="J28" i="65"/>
  <c r="K23" i="65"/>
  <c r="J11" i="65"/>
  <c r="L12" i="65"/>
  <c r="E26" i="65"/>
  <c r="K29" i="65"/>
  <c r="Q14" i="65"/>
  <c r="I15" i="65"/>
  <c r="L14" i="65"/>
  <c r="J15" i="65"/>
  <c r="K24" i="65"/>
  <c r="I14" i="65"/>
  <c r="J24" i="65"/>
  <c r="E15" i="65"/>
  <c r="J19" i="65"/>
  <c r="L29" i="65"/>
  <c r="L9" i="65"/>
  <c r="E14" i="65"/>
  <c r="L27" i="65"/>
  <c r="J16" i="65"/>
  <c r="J9" i="65"/>
  <c r="J20" i="65"/>
  <c r="I11" i="65"/>
  <c r="E8" i="65"/>
  <c r="I8" i="65"/>
  <c r="J23" i="65"/>
  <c r="I10" i="65"/>
  <c r="L23" i="65"/>
  <c r="L28" i="65"/>
  <c r="K22" i="65"/>
  <c r="L19" i="65"/>
  <c r="K11" i="65"/>
  <c r="I16" i="65"/>
  <c r="K25" i="65"/>
  <c r="Q15" i="65"/>
  <c r="L24" i="65"/>
  <c r="K9" i="65"/>
  <c r="I13" i="65"/>
  <c r="K13" i="65"/>
  <c r="J25" i="65"/>
  <c r="I9" i="65"/>
  <c r="K16" i="65"/>
  <c r="L32" i="65"/>
  <c r="J14" i="65"/>
  <c r="J22" i="65"/>
  <c r="L20" i="65"/>
  <c r="J8" i="65"/>
  <c r="L11" i="65"/>
  <c r="H14" i="65" l="1"/>
  <c r="M14" i="65" s="1"/>
  <c r="H15" i="65"/>
  <c r="M15" i="65" s="1"/>
  <c r="H16" i="65"/>
  <c r="M16" i="65" s="1"/>
  <c r="Z32" i="65"/>
  <c r="Z20" i="65"/>
  <c r="Z21" i="65"/>
  <c r="Z22" i="65"/>
  <c r="Z23" i="65"/>
  <c r="Z24" i="65"/>
  <c r="Z26" i="65"/>
  <c r="Z27" i="65"/>
  <c r="Z28" i="65"/>
  <c r="Z29" i="65"/>
  <c r="Z25" i="65"/>
  <c r="Z19" i="65"/>
  <c r="H8" i="65"/>
  <c r="C16" i="6" l="1"/>
  <c r="B13" i="6"/>
  <c r="Q12" i="65"/>
  <c r="N23" i="65"/>
  <c r="F9" i="65"/>
  <c r="D28" i="65"/>
  <c r="C27" i="65"/>
  <c r="Q24" i="65"/>
  <c r="F19" i="65"/>
  <c r="C20" i="65"/>
  <c r="Q23" i="65"/>
  <c r="D19" i="65"/>
  <c r="Q8" i="65"/>
  <c r="I26" i="65"/>
  <c r="Q13" i="65"/>
  <c r="F26" i="65"/>
  <c r="I24" i="65"/>
  <c r="C26" i="65"/>
  <c r="T20" i="65"/>
  <c r="E13" i="65"/>
  <c r="F29" i="65"/>
  <c r="C22" i="65"/>
  <c r="AA9" i="65"/>
  <c r="T22" i="65"/>
  <c r="F27" i="65"/>
  <c r="Z13" i="65"/>
  <c r="E25" i="65"/>
  <c r="E32" i="65"/>
  <c r="Q26" i="65"/>
  <c r="N27" i="65"/>
  <c r="N25" i="65"/>
  <c r="C19" i="65"/>
  <c r="E24" i="65"/>
  <c r="G19" i="65"/>
  <c r="G10" i="65"/>
  <c r="T8" i="65"/>
  <c r="D32" i="65"/>
  <c r="G29" i="65"/>
  <c r="D25" i="65"/>
  <c r="I25" i="65"/>
  <c r="G24" i="65"/>
  <c r="Z16" i="65"/>
  <c r="D13" i="65"/>
  <c r="S29" i="65"/>
  <c r="F22" i="65"/>
  <c r="Q10" i="65"/>
  <c r="T27" i="65"/>
  <c r="S28" i="65"/>
  <c r="E29" i="65"/>
  <c r="Z15" i="65"/>
  <c r="F20" i="65"/>
  <c r="Z8" i="65"/>
  <c r="Z11" i="65"/>
  <c r="N20" i="65"/>
  <c r="E27" i="65"/>
  <c r="C28" i="65"/>
  <c r="G27" i="65"/>
  <c r="C25" i="65"/>
  <c r="I20" i="65"/>
  <c r="D26" i="65"/>
  <c r="F10" i="65"/>
  <c r="N22" i="65"/>
  <c r="S20" i="65"/>
  <c r="F23" i="65"/>
  <c r="I27" i="65"/>
  <c r="C13" i="65"/>
  <c r="Z9" i="65"/>
  <c r="N21" i="65"/>
  <c r="T9" i="65"/>
  <c r="E19" i="65"/>
  <c r="S25" i="65"/>
  <c r="G11" i="65"/>
  <c r="Q22" i="65"/>
  <c r="F25" i="65"/>
  <c r="S32" i="65"/>
  <c r="G20" i="65"/>
  <c r="I32" i="65"/>
  <c r="E22" i="65"/>
  <c r="I21" i="65"/>
  <c r="G13" i="65"/>
  <c r="F24" i="65"/>
  <c r="G9" i="65"/>
  <c r="G26" i="65"/>
  <c r="S19" i="65"/>
  <c r="E9" i="65"/>
  <c r="D29" i="65"/>
  <c r="E20" i="65"/>
  <c r="I22" i="65"/>
  <c r="T32" i="65"/>
  <c r="F28" i="65"/>
  <c r="F13" i="65"/>
  <c r="S13" i="65"/>
  <c r="N29" i="65"/>
  <c r="G23" i="65"/>
  <c r="Q29" i="65"/>
  <c r="Z10" i="65"/>
  <c r="I28" i="65"/>
  <c r="S27" i="65"/>
  <c r="S10" i="65"/>
  <c r="N19" i="65"/>
  <c r="T29" i="65"/>
  <c r="T11" i="65"/>
  <c r="Q11" i="65"/>
  <c r="Q32" i="65"/>
  <c r="Z14" i="65"/>
  <c r="AA8" i="65"/>
  <c r="Q21" i="65"/>
  <c r="I23" i="65"/>
  <c r="D10" i="65"/>
  <c r="D9" i="65"/>
  <c r="S9" i="65"/>
  <c r="N24" i="65"/>
  <c r="D11" i="65"/>
  <c r="S8" i="65"/>
  <c r="S22" i="65"/>
  <c r="C24" i="65"/>
  <c r="D21" i="65"/>
  <c r="S23" i="65"/>
  <c r="T13" i="65"/>
  <c r="T25" i="65"/>
  <c r="N32" i="65"/>
  <c r="N28" i="65"/>
  <c r="S21" i="65"/>
  <c r="T10" i="65"/>
  <c r="C21" i="65"/>
  <c r="Q20" i="65"/>
  <c r="G28" i="65"/>
  <c r="D27" i="65"/>
  <c r="G21" i="65"/>
  <c r="S11" i="65"/>
  <c r="E21" i="65"/>
  <c r="T26" i="65"/>
  <c r="E12" i="65"/>
  <c r="F32" i="65"/>
  <c r="Q27" i="65"/>
  <c r="Q25" i="65"/>
  <c r="D22" i="65"/>
  <c r="T21" i="65"/>
  <c r="D20" i="65"/>
  <c r="I19" i="65"/>
  <c r="D23" i="65"/>
  <c r="Z12" i="65"/>
  <c r="I29" i="65"/>
  <c r="E10" i="65"/>
  <c r="C10" i="65"/>
  <c r="S26" i="65"/>
  <c r="G25" i="65"/>
  <c r="C11" i="65"/>
  <c r="Q28" i="65"/>
  <c r="C32" i="65"/>
  <c r="E11" i="65"/>
  <c r="F11" i="65"/>
  <c r="C29" i="65"/>
  <c r="D24" i="65"/>
  <c r="Q9" i="65"/>
  <c r="F21" i="65"/>
  <c r="T24" i="65"/>
  <c r="G32" i="65"/>
  <c r="E28" i="65"/>
  <c r="C9" i="65"/>
  <c r="C23" i="65"/>
  <c r="E23" i="65"/>
  <c r="C8" i="65"/>
  <c r="Q19" i="65"/>
  <c r="D8" i="65"/>
  <c r="T28" i="65"/>
  <c r="N26" i="65"/>
  <c r="T19" i="65"/>
  <c r="G22" i="65"/>
  <c r="S24" i="65"/>
  <c r="T23" i="65"/>
  <c r="H32" i="65" l="1"/>
  <c r="M32" i="65" s="1"/>
  <c r="H19" i="65"/>
  <c r="M19" i="65" s="1"/>
  <c r="H26" i="65"/>
  <c r="M26" i="65" s="1"/>
  <c r="H22" i="65"/>
  <c r="M22" i="65" s="1"/>
  <c r="H24" i="65"/>
  <c r="M24" i="65" s="1"/>
  <c r="H27" i="65"/>
  <c r="M27" i="65" s="1"/>
  <c r="H29" i="65"/>
  <c r="M29" i="65" s="1"/>
  <c r="H28" i="65"/>
  <c r="M28" i="65" s="1"/>
  <c r="H21" i="65"/>
  <c r="M21" i="65" s="1"/>
  <c r="H23" i="65"/>
  <c r="M23" i="65" s="1"/>
  <c r="H20" i="65"/>
  <c r="M20" i="65" s="1"/>
  <c r="H25" i="65"/>
  <c r="M25" i="65" s="1"/>
  <c r="N10" i="65"/>
  <c r="N9" i="65"/>
  <c r="N11" i="65"/>
  <c r="N13" i="65"/>
  <c r="N12" i="65"/>
  <c r="H12" i="65" l="1"/>
  <c r="M12" i="65" s="1"/>
  <c r="H13" i="65"/>
  <c r="M13" i="65" s="1"/>
  <c r="H11" i="65"/>
  <c r="M11" i="65" s="1"/>
  <c r="H10" i="65"/>
  <c r="M10" i="65" s="1"/>
  <c r="H9" i="65"/>
  <c r="M9" i="65" s="1"/>
  <c r="M8"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Mugge, Matthijs</author>
    <author>Henriquez, Chris</author>
    <author>Blok, Janneke</author>
  </authors>
  <commentList>
    <comment ref="A32" authorId="0" shapeId="0" xr:uid="{B6A1BDC9-C5DD-4E01-89A2-774F054612C3}">
      <text>
        <r>
          <rPr>
            <sz val="11"/>
            <color theme="1"/>
            <rFont val="Calibri"/>
            <family val="2"/>
            <scheme val="minor"/>
          </rPr>
          <t>Mugge, Matthijs:
Was 4.3</t>
        </r>
      </text>
    </comment>
    <comment ref="A33" authorId="1" shapeId="0" xr:uid="{4B305055-02AC-42F4-92FE-74666315CB1E}">
      <text>
        <r>
          <rPr>
            <sz val="11"/>
            <color theme="1"/>
            <rFont val="Calibri"/>
            <family val="2"/>
            <scheme val="minor"/>
          </rPr>
          <t>Henriquez, Chris:
was 6.1</t>
        </r>
      </text>
    </comment>
    <comment ref="A34" authorId="0" shapeId="0" xr:uid="{31455799-B0AD-46BD-918E-F7D70196F851}">
      <text>
        <r>
          <rPr>
            <sz val="11"/>
            <color theme="1"/>
            <rFont val="Calibri"/>
            <family val="2"/>
            <scheme val="minor"/>
          </rPr>
          <t>Mugge, Matthijs:
was 6.3</t>
        </r>
      </text>
    </comment>
    <comment ref="A35" authorId="0" shapeId="0" xr:uid="{9DA2E2BE-6229-470F-B6BA-091D8CF46B75}">
      <text>
        <r>
          <rPr>
            <sz val="11"/>
            <color theme="1"/>
            <rFont val="Calibri"/>
            <family val="2"/>
            <scheme val="minor"/>
          </rPr>
          <t>Mugge, Matthijs:
was 7.1</t>
        </r>
      </text>
    </comment>
    <comment ref="A36" authorId="0" shapeId="0" xr:uid="{C549A3F0-763C-4F54-9166-971AEADF7E20}">
      <text>
        <r>
          <rPr>
            <sz val="11"/>
            <color theme="1"/>
            <rFont val="Calibri"/>
            <family val="2"/>
            <scheme val="minor"/>
          </rPr>
          <t>Mugge, Matthijs:
was 7.3</t>
        </r>
      </text>
    </comment>
    <comment ref="A37" authorId="0" shapeId="0" xr:uid="{ABDF64F8-5011-4A05-A85B-089FC0C79531}">
      <text>
        <r>
          <rPr>
            <sz val="11"/>
            <color theme="1"/>
            <rFont val="Calibri"/>
            <family val="2"/>
            <scheme val="minor"/>
          </rPr>
          <t>Mugge, Matthijs:
was 8.3</t>
        </r>
      </text>
    </comment>
    <comment ref="H92" authorId="2" shapeId="0" xr:uid="{588A606C-56C7-45F1-9E2E-87153864A765}">
      <text>
        <r>
          <rPr>
            <sz val="11"/>
            <color theme="1"/>
            <rFont val="Calibri"/>
            <family val="2"/>
            <scheme val="minor"/>
          </rPr>
          <t>17-09: geupdate a.d.h.v. KEV2024
20-9: vorige update leek verkeerd, nu waardes Carina gehanteerd</t>
        </r>
      </text>
    </comment>
    <comment ref="H93" authorId="2" shapeId="0" xr:uid="{4F6E4978-92E1-49DF-B7D7-753368EC00E1}">
      <text>
        <r>
          <rPr>
            <sz val="11"/>
            <color theme="1"/>
            <rFont val="Calibri"/>
            <family val="2"/>
            <scheme val="minor"/>
          </rPr>
          <t>17-09: geupdate a.d.h.v. KEV2024
20-9: Vorige waardes leken verkeerd, nu waardes van Carina gehanteerd.</t>
        </r>
      </text>
    </comment>
  </commentList>
</comments>
</file>

<file path=xl/sharedStrings.xml><?xml version="1.0" encoding="utf-8"?>
<sst xmlns="http://schemas.openxmlformats.org/spreadsheetml/2006/main" count="6886" uniqueCount="628">
  <si>
    <t>Berekening basisbedragen</t>
  </si>
  <si>
    <t>Auteur</t>
  </si>
  <si>
    <t>OT-model Sander Lensink, Chris Henriquez, Matthijs Mugge, Janneke Blok</t>
  </si>
  <si>
    <t>Datum</t>
  </si>
  <si>
    <t>Versie</t>
  </si>
  <si>
    <t>Verantwoording</t>
  </si>
  <si>
    <t>Contactinformatie voor deze rekensheet: sde@pbl.nl.</t>
  </si>
  <si>
    <t>Kleurcodering bij gebruik OT-model</t>
  </si>
  <si>
    <t>Tabelkop</t>
  </si>
  <si>
    <t>Tabelinhoud</t>
  </si>
  <si>
    <t>Resultaat</t>
  </si>
  <si>
    <t>Berekening</t>
  </si>
  <si>
    <t>Vaste of generieke waarde</t>
  </si>
  <si>
    <t>Invulveld</t>
  </si>
  <si>
    <t>Instellingen</t>
  </si>
  <si>
    <t>Jaar</t>
  </si>
  <si>
    <t>SDE of SCE</t>
  </si>
  <si>
    <t>SCE</t>
  </si>
  <si>
    <t>Aantal decimalen in rapportage</t>
  </si>
  <si>
    <t>Domein</t>
  </si>
  <si>
    <t>CCS/CCU</t>
  </si>
  <si>
    <t>Elektriciteit</t>
  </si>
  <si>
    <t>Hogetemperatuurwarmte</t>
  </si>
  <si>
    <t>Lagetemperatuurwarmte</t>
  </si>
  <si>
    <t>Moleculen</t>
  </si>
  <si>
    <t>Generiek</t>
  </si>
  <si>
    <t>OVERZICHTSTABEL</t>
  </si>
  <si>
    <t>Sheet</t>
  </si>
  <si>
    <t>Parameter</t>
  </si>
  <si>
    <t>Productietype</t>
  </si>
  <si>
    <t>Basisbedrag</t>
  </si>
  <si>
    <t>Berekeningswijze correctiebedrag</t>
  </si>
  <si>
    <t xml:space="preserve">Emissiefactor  </t>
  </si>
  <si>
    <t>Langetermijnprijs (productprijs en correcties)</t>
  </si>
  <si>
    <t>Langetermijn-prijs (gewogen)</t>
  </si>
  <si>
    <t>Voorlopige GvO-waarde</t>
  </si>
  <si>
    <t>Voorlopige HBE-waarde</t>
  </si>
  <si>
    <t>Langetermijn-waarde ETS-correctie</t>
  </si>
  <si>
    <t>Basisbedrag afgetopt</t>
  </si>
  <si>
    <t>Bodemprijs of basisprijs</t>
  </si>
  <si>
    <t>Voorlopig correctiebedrag</t>
  </si>
  <si>
    <t xml:space="preserve">Voorlopige GVO-waarde </t>
  </si>
  <si>
    <t>Voorlopige waarde ETS-correctie</t>
  </si>
  <si>
    <t>Vollasturen</t>
  </si>
  <si>
    <t>Warmte-kracht-verhouding</t>
  </si>
  <si>
    <t>Berekening-wijze ETS-voordeel</t>
  </si>
  <si>
    <t>Berekeningswijze
correctiebedrag netlevering</t>
  </si>
  <si>
    <t>Berekeningswijze 
correctiebedrag niet-netlevering</t>
  </si>
  <si>
    <t>Langetermijnprijs 
netlevering</t>
  </si>
  <si>
    <t>Langetermijnprijs
 niet-netlevering</t>
  </si>
  <si>
    <t>Berekende 
voorlopig correctiebedrag 
excl. GvO</t>
  </si>
  <si>
    <t>Berekende 
voorlopig correctiebedrag 
incl. GvO</t>
  </si>
  <si>
    <t>Bodemprijs of basisprijs niet-netlevering</t>
  </si>
  <si>
    <t>(netlevering / niet-netlevering)</t>
  </si>
  <si>
    <t>Eenheid van de paramater</t>
  </si>
  <si>
    <t>[eenheid]</t>
  </si>
  <si>
    <t>[€/eenheid]</t>
  </si>
  <si>
    <t>[Methode-ID]</t>
  </si>
  <si>
    <r>
      <t>[kg CO</t>
    </r>
    <r>
      <rPr>
        <vertAlign val="subscript"/>
        <sz val="10"/>
        <color theme="0"/>
        <rFont val="Arial"/>
        <family val="2"/>
      </rPr>
      <t>2</t>
    </r>
    <r>
      <rPr>
        <sz val="10"/>
        <color theme="0"/>
        <rFont val="Arial"/>
        <family val="2"/>
      </rPr>
      <t>/eenheid]</t>
    </r>
  </si>
  <si>
    <t>[uur/jaar]</t>
  </si>
  <si>
    <t>[W/K]</t>
  </si>
  <si>
    <t>[Correctie-ID]</t>
  </si>
  <si>
    <t>Aantal decimalen</t>
  </si>
  <si>
    <t>Toelichting</t>
  </si>
  <si>
    <t>B</t>
  </si>
  <si>
    <t>D</t>
  </si>
  <si>
    <t>C=e+f+g+h</t>
  </si>
  <si>
    <t>e</t>
  </si>
  <si>
    <t>f</t>
  </si>
  <si>
    <t>g</t>
  </si>
  <si>
    <t>h</t>
  </si>
  <si>
    <t>BB=AA*D+C</t>
  </si>
  <si>
    <t>Zonne-energie</t>
  </si>
  <si>
    <t>Windenergie</t>
  </si>
  <si>
    <t>Energie uit water</t>
  </si>
  <si>
    <t>Berekeningswijzen productprijzen</t>
  </si>
  <si>
    <t>Methode-ID</t>
  </si>
  <si>
    <t>Omschrijving</t>
  </si>
  <si>
    <t>Categorie</t>
  </si>
  <si>
    <t>Waarde</t>
  </si>
  <si>
    <t>Formule</t>
  </si>
  <si>
    <t>1.1</t>
  </si>
  <si>
    <t>Elektriciteit (negatieve uren meegenomen)</t>
  </si>
  <si>
    <t>EPEX1</t>
  </si>
  <si>
    <t>LT_e</t>
  </si>
  <si>
    <t>2/3 x LT_e</t>
  </si>
  <si>
    <t>13</t>
  </si>
  <si>
    <t>Hernieuwbaar gas HHV</t>
  </si>
  <si>
    <t>Hernieuwbaar gas</t>
  </si>
  <si>
    <t>TTF[HHV]</t>
  </si>
  <si>
    <t>LT_g[HHV]</t>
  </si>
  <si>
    <t>2/3 x LT_g[HHV]</t>
  </si>
  <si>
    <t>14</t>
  </si>
  <si>
    <t>Warmte, klein</t>
  </si>
  <si>
    <t>Warmte</t>
  </si>
  <si>
    <t>(TTF[LHV] + EB1 ) / 90%</t>
  </si>
  <si>
    <t>(LT_g[LHV] + EB1) / 90%</t>
  </si>
  <si>
    <t>(2/3 x LT_g[LHV] + EB1) / 90%</t>
  </si>
  <si>
    <t>15</t>
  </si>
  <si>
    <t>Warmte, middelklein</t>
  </si>
  <si>
    <t>(TTF[LHV] + EB2 ) / 90%</t>
  </si>
  <si>
    <t>(LT_g[LHV] + EB2) / 90%</t>
  </si>
  <si>
    <t>(2/3 x LT_g[LHV] + EB2) / 90%</t>
  </si>
  <si>
    <t>16</t>
  </si>
  <si>
    <t>Warmte, middelgroot</t>
  </si>
  <si>
    <t>(TTF[LHV] + EB3 ) / 90%</t>
  </si>
  <si>
    <t>(LT_g[LHV] + EB3) / 90%</t>
  </si>
  <si>
    <t>(2/3 x LT_g[LHV] + EB3) / 90%</t>
  </si>
  <si>
    <t>17</t>
  </si>
  <si>
    <t>Warmte, groot_1</t>
  </si>
  <si>
    <t>70% x TTF[LHV]</t>
  </si>
  <si>
    <t xml:space="preserve">70% x LT_g[LHV] </t>
  </si>
  <si>
    <t xml:space="preserve">70% x 2/3 x LT_g[LHV] </t>
  </si>
  <si>
    <t>18</t>
  </si>
  <si>
    <t>Warmte, groot</t>
  </si>
  <si>
    <t xml:space="preserve">90% x TTF[LHV] </t>
  </si>
  <si>
    <t xml:space="preserve">90% x LT_g[LHV] </t>
  </si>
  <si>
    <t xml:space="preserve">90% x 2/3 x LT_g[LHV] </t>
  </si>
  <si>
    <t>18.1</t>
  </si>
  <si>
    <t>Warmte, groot, 5 jaar</t>
  </si>
  <si>
    <t>90% x LT_5jaar_g[LHV]</t>
  </si>
  <si>
    <t>90% x 2/3 x LT_5jaar_g[LHV]</t>
  </si>
  <si>
    <t>20</t>
  </si>
  <si>
    <t>Directe warmte</t>
  </si>
  <si>
    <t>TTF[LHV] + EB3</t>
  </si>
  <si>
    <t>LT_g[LHV] + EB3</t>
  </si>
  <si>
    <t>2/3*LT_g[LHV] + EB3</t>
  </si>
  <si>
    <t>23.3.062</t>
  </si>
  <si>
    <t>WKK, klein (vanaf 2023)</t>
  </si>
  <si>
    <t>WKK</t>
  </si>
  <si>
    <t xml:space="preserve">(EPEX3 + WK x (TTF[LHV] + EB1 + ODE1) / 90%) / (1 + WK-factor) </t>
  </si>
  <si>
    <t xml:space="preserve">( LT_e + WK x ( LT_g[LHV] + EB1 )/ 90%)/(1 + WK-factor) </t>
  </si>
  <si>
    <t xml:space="preserve">(2/3 x LT_e + WK x (2/3 x  LT_g[LHV] + EB1) / 90%)/(1 + WK-factor) </t>
  </si>
  <si>
    <t>23.3.076</t>
  </si>
  <si>
    <t>24.3.062</t>
  </si>
  <si>
    <t>WKK, middelklein (2016-2023)</t>
  </si>
  <si>
    <t xml:space="preserve">(EPEX3 + WK x (TTF[LHV] + EB2 + ODE2) / 90%) / (1 + WK-factor) </t>
  </si>
  <si>
    <t xml:space="preserve">( LT_e + WK x ( LT_g[LHV] + EB2) / 90%)/(1 + WK-factor) </t>
  </si>
  <si>
    <t>25.3.029</t>
  </si>
  <si>
    <t>WKK, middelgroot (vanaf 2023)</t>
  </si>
  <si>
    <t xml:space="preserve">(EPEX3 + WK x (TTF[LHV] + EB3 + ODE3) / 90%) / (1 + WK-factor) </t>
  </si>
  <si>
    <t xml:space="preserve">( LT_e + WK x ( LT_g[LHV] + EB3) / 90%)/(1 + WK-factor) </t>
  </si>
  <si>
    <t>25.3.062</t>
  </si>
  <si>
    <t>25.3.064</t>
  </si>
  <si>
    <t>25.3.113</t>
  </si>
  <si>
    <t>30</t>
  </si>
  <si>
    <t>Waterstof</t>
  </si>
  <si>
    <t>(0,29 + 49 x TTF[HHV])/39.32</t>
  </si>
  <si>
    <t>(0,29 + 49 x LT_g[HHV])/39.32</t>
  </si>
  <si>
    <t>(0,29 + 49 x 2/3 x LT_g[HHV])/39.32</t>
  </si>
  <si>
    <t>31</t>
  </si>
  <si>
    <t>CCS</t>
  </si>
  <si>
    <t>EUA</t>
  </si>
  <si>
    <t>LT_CO2</t>
  </si>
  <si>
    <t>2/3 x LT_CO2</t>
  </si>
  <si>
    <t>32</t>
  </si>
  <si>
    <t>CCS_AVI</t>
  </si>
  <si>
    <t>EUA x AVI_CO2</t>
  </si>
  <si>
    <t>LT_CO2 x AVI_CO2</t>
  </si>
  <si>
    <t>2/3 x EUA x AVI_CO2</t>
  </si>
  <si>
    <t>35</t>
  </si>
  <si>
    <t>CO2-gebruik</t>
  </si>
  <si>
    <t>CCU</t>
  </si>
  <si>
    <t>TTF[LHV] / ketel_co2 x 1000 - 2/3 x 1000 x EPEX1/wkk_co2</t>
  </si>
  <si>
    <t>LT_g[LHV] / ketel_co2 x 1000 - 2/3 x  1000 x LT_e/wkk_co2</t>
  </si>
  <si>
    <t>(2/3 x LT_g[LHV]) / ketel_co2 x 1000 - 2/3 x 1000 x (2/3 x LT_e)/wkk_co2</t>
  </si>
  <si>
    <t>Benzine</t>
  </si>
  <si>
    <t>Brandstoffen</t>
  </si>
  <si>
    <t>ol</t>
  </si>
  <si>
    <t>LT_ol</t>
  </si>
  <si>
    <t>2/3 x LT_ol</t>
  </si>
  <si>
    <t>37</t>
  </si>
  <si>
    <t>Benzine/diesel</t>
  </si>
  <si>
    <t>57% x ol + 43% x dies</t>
  </si>
  <si>
    <t>57% x LG_ol + 43% x LT_dies</t>
  </si>
  <si>
    <t>2/3 x (57% x LG_ol + 43% x LT_dies)</t>
  </si>
  <si>
    <t>38</t>
  </si>
  <si>
    <t>Offshore elektrificatie</t>
  </si>
  <si>
    <t>3,48 x TTF[LHV]</t>
  </si>
  <si>
    <t>3,48 x LT_g[LHV]</t>
  </si>
  <si>
    <t>3,48 x 2/3 x LT_g[LHV]</t>
  </si>
  <si>
    <t>39</t>
  </si>
  <si>
    <t>Hernieuwbaar gas LHV</t>
  </si>
  <si>
    <t>TTF[LHV]</t>
  </si>
  <si>
    <t>LT_g[LHV]</t>
  </si>
  <si>
    <t>2/3 x LT_g[LHV]</t>
  </si>
  <si>
    <t>LNG</t>
  </si>
  <si>
    <t>TTF[LHV] + 0,00319</t>
  </si>
  <si>
    <t>LT_g[LHV] + 0,00319</t>
  </si>
  <si>
    <t>2/3 x LT_g[LHV] + 0,00319</t>
  </si>
  <si>
    <t>42</t>
  </si>
  <si>
    <t>FT</t>
  </si>
  <si>
    <t>30% x ol + 70% x dies</t>
  </si>
  <si>
    <t>30% x LT_ol + 70% x LT_dies</t>
  </si>
  <si>
    <t>2/3 x (30% x LT_ol + 70% x LT_dies)</t>
  </si>
  <si>
    <t>CCS buiten ETS</t>
  </si>
  <si>
    <t>Product heeft geen prijs</t>
  </si>
  <si>
    <t>44</t>
  </si>
  <si>
    <t>CO2-gebruik incl. transportkosten</t>
  </si>
  <si>
    <t>TTF[LHV] / ketel_co2 x 1000 - 2/3 x 1000 x EPEX1/wkk_co2 + co2_transp_kost</t>
  </si>
  <si>
    <t>LT_g[LHV] / ketel_co2 x 1000 - 2/3 x  1000 x LT_e/wkk_co2  + co2_transp_kost</t>
  </si>
  <si>
    <t>(2/3 x LT_g[LHV]) / ketel_co2 x 1000 - 2/3 x 1000 x (2/3 x LT_e)/wkk_co2  +  co2_transp_kost</t>
  </si>
  <si>
    <t>45</t>
  </si>
  <si>
    <t>CO2-gebruik incl. vermeden O&amp;M</t>
  </si>
  <si>
    <t>TTF[LHV] / ketel_co2 x 1000 - 90% x 1000 x EPEX1/wkk_co2 + co2_vermeden_opex_wkk_ketel</t>
  </si>
  <si>
    <t>LT_g[LHV] / ketel_co2 x 1000 - 90% x  1000 x LT_e/wkk_co2  +  LT_co2_verm_opex</t>
  </si>
  <si>
    <t>(2/3 x LT_g[LHV]) / ketel_co2 x 1000 - 90% x 1000 x (2/3 x LT_e)/wkk_co2  + (2/3)* LT_co2_verm_opex</t>
  </si>
  <si>
    <t>46.3</t>
  </si>
  <si>
    <t>Elektriciteit-WOL (negatieve uren niet meegenomen)</t>
  </si>
  <si>
    <t>EPEX3 x PF_WOL3</t>
  </si>
  <si>
    <t>LT_e x LT_PF_WOL</t>
  </si>
  <si>
    <t>2/3 x LT_e x LT_PF_WOL</t>
  </si>
  <si>
    <t>47.1</t>
  </si>
  <si>
    <t>Elektriciteit-ZonPV-netlevering (negatieve uren meegenomen)</t>
  </si>
  <si>
    <t>EPEX1 x PF_PV1</t>
  </si>
  <si>
    <t>LT_e x LT_PIF_PV</t>
  </si>
  <si>
    <t>2/3 x LT_e x LT_PIF_PV</t>
  </si>
  <si>
    <t>47.3</t>
  </si>
  <si>
    <t>Elektriciteit-ZonPV-netlevering (negatieve uren niet meegenomen)</t>
  </si>
  <si>
    <t>EPEX3 x PF_PV3</t>
  </si>
  <si>
    <t>LT_e x LT_PF_PV</t>
  </si>
  <si>
    <t>2/3 x LT_e x LT_PF_PV</t>
  </si>
  <si>
    <t>48.1</t>
  </si>
  <si>
    <t>Elektricteit-ZonPV-niet-netlevering, klein (negatieve uren meegenomen)</t>
  </si>
  <si>
    <t>EPEX1 x PF_PV1 + EB3_e + ODE3_e + transport</t>
  </si>
  <si>
    <t>LT_e x LT_PF_PV + EB3_e + transport</t>
  </si>
  <si>
    <t>48.3</t>
  </si>
  <si>
    <t>Elektricteit-ZonPV-niet-netlevering, klein (negatieve uren niet meegenomen)</t>
  </si>
  <si>
    <t>EPEX3 x PF_PV3 + EB3_e + ODE3_e + transport</t>
  </si>
  <si>
    <t>2/3 x LT_e x LT_PF_PV + EB3_e + transport</t>
  </si>
  <si>
    <t>49.3</t>
  </si>
  <si>
    <t>Elektricteit-ZonPV-niet-netlevering, groot</t>
  </si>
  <si>
    <t>EPEX3 x PF_PV3 + EB3_e + ODE3_e</t>
  </si>
  <si>
    <t>LT_e x LT_PF_PV + EB3_e</t>
  </si>
  <si>
    <t>2/3 x LT_e x LT_PF_PV + EB3_e</t>
  </si>
  <si>
    <t>Berekeningswijzen overige correcties: GvO</t>
  </si>
  <si>
    <t>Type bate</t>
  </si>
  <si>
    <t>Berekeningswijze</t>
  </si>
  <si>
    <t>Elektriciteit-WOL</t>
  </si>
  <si>
    <t>GvO</t>
  </si>
  <si>
    <t>GVO_e</t>
  </si>
  <si>
    <t>Gelijk aan de meest recente waarde</t>
  </si>
  <si>
    <t>Elektriciteit-ZonPV-netlevering</t>
  </si>
  <si>
    <t>ETS_max_warmte</t>
  </si>
  <si>
    <t>Berekeningswijzen overige correcties: HBE</t>
  </si>
  <si>
    <t>HBE</t>
  </si>
  <si>
    <t>Berekeningswijzen overige correcties: ETS</t>
  </si>
  <si>
    <t>ETS-correctie-ID</t>
  </si>
  <si>
    <t>Eenheid</t>
  </si>
  <si>
    <t>Geen ETS-correctie</t>
  </si>
  <si>
    <t>CCS 100% ETS-correctie</t>
  </si>
  <si>
    <t>t CO2</t>
  </si>
  <si>
    <t>2.000</t>
  </si>
  <si>
    <t>Warmte 100% ETS-correctie</t>
  </si>
  <si>
    <t>kWhth</t>
  </si>
  <si>
    <t>LT_ETS_max_warmte</t>
  </si>
  <si>
    <t>2.029</t>
  </si>
  <si>
    <t>Warmte 100% ETS-correctie voor warmtelevering met WKK</t>
  </si>
  <si>
    <t>(ETS_max_warmte * WK-factor)/(1+WK-factor)</t>
  </si>
  <si>
    <t>(LT_ETS_max_warmte * WK-factor)/(1+WK-factor)</t>
  </si>
  <si>
    <t>2.062</t>
  </si>
  <si>
    <t>2.064</t>
  </si>
  <si>
    <t>2.076</t>
  </si>
  <si>
    <t>2.113</t>
  </si>
  <si>
    <t>Elektrificatie offshore platforms</t>
  </si>
  <si>
    <t>kWhe,input</t>
  </si>
  <si>
    <t>Gasbesparing_EOP * (Ef_gas * 0,0036) / 1000 * EUA * (100%-Niet_CL_offshore_gas)</t>
  </si>
  <si>
    <t>Gasbesparing_EOP * (Ef_gas * 3,6/1000) / 1000 * LT_CO2 * (100%-Niet_CL_offshore_gas)</t>
  </si>
  <si>
    <t>Restwarmte zonder warmtepomp levering aan stadverwarming</t>
  </si>
  <si>
    <t>ETS_max_warmte * Allocatie_gratis_EUA_warmtenet</t>
  </si>
  <si>
    <t>LT_ETS_max_warmte * Allocatie_gratis_EUA_warmtenet</t>
  </si>
  <si>
    <t>Hernieuwbare warmte zonder warmtepomp levering aan stadsverwarming</t>
  </si>
  <si>
    <t>ETS_max_warmte * D_ketel_warmtenet_inflex</t>
  </si>
  <si>
    <t>LT_ETS_max_warmte * D_ketel_warmtenet_inflex</t>
  </si>
  <si>
    <t>9</t>
  </si>
  <si>
    <t>Hernieuwbare warmte met warmtepomp levering aan stadsverwarming</t>
  </si>
  <si>
    <t>ETS_max_warmte * D_ketel_warmtenet_inflex * Allocatie_gratis_EUA_warmtenet</t>
  </si>
  <si>
    <t>LT_ETS_max_warmte * D_ketel_warmtenet_inflex * Allocatie_gratis_EUA_warmtenet</t>
  </si>
  <si>
    <t>Elektrische boiler levering aan stadsverwarming</t>
  </si>
  <si>
    <t xml:space="preserve">ETS_max_warmte * D_ketel_warmtenet_flex </t>
  </si>
  <si>
    <t>LT_ETS_max_warmte * D_ketel_warmtenet_flex * (1 - Allocatie_gratis_EUA_warmtenet)</t>
  </si>
  <si>
    <t>Waterstof 100% ETS-correctie</t>
  </si>
  <si>
    <t>kWhHHV H2</t>
  </si>
  <si>
    <t>ETS_max_waterstof</t>
  </si>
  <si>
    <t>LT_ETS_max_waterstof</t>
  </si>
  <si>
    <t>12</t>
  </si>
  <si>
    <t>Waterstof uit afval</t>
  </si>
  <si>
    <t>ETS_max_waterstof * (1 - AVI_CO2)</t>
  </si>
  <si>
    <t>LT_ETS_max_waterstof * (1 - AVI_CO2)</t>
  </si>
  <si>
    <t>ETS-correctie CCS AVI</t>
  </si>
  <si>
    <t>EUA * AVI_CO2</t>
  </si>
  <si>
    <t>LT_CO2 * %_niet_biogeen_CO2</t>
  </si>
  <si>
    <t>Parameterwaardes</t>
  </si>
  <si>
    <t>Recent</t>
  </si>
  <si>
    <t>Berekeningswijze1</t>
  </si>
  <si>
    <t>Lange termijn</t>
  </si>
  <si>
    <t>Elektriciteitsprijs (inclusief negatieve uren)</t>
  </si>
  <si>
    <t>€/kWh</t>
  </si>
  <si>
    <t>Gemiddelde EPEX (day-ahead) periode 1-9-2024 t/m 31-8-2025 excl negatieve uren</t>
  </si>
  <si>
    <t>EPEX3</t>
  </si>
  <si>
    <t>Elektriciteitsprijs (negatieve uren niet meegenomen)</t>
  </si>
  <si>
    <t>Langetermijnelektriciteitsprijs</t>
  </si>
  <si>
    <t>PF_WOL1</t>
  </si>
  <si>
    <t>Profielfactor wind op land (tot 2016)</t>
  </si>
  <si>
    <t>LT_PF_WOL</t>
  </si>
  <si>
    <t>PF_WOL3</t>
  </si>
  <si>
    <t>Profielfactor wind op land (vanaf 2025)</t>
  </si>
  <si>
    <t>PF_PV1</t>
  </si>
  <si>
    <t>Profielfactor zon-PV (tot 2016)</t>
  </si>
  <si>
    <t>LT_PF_PV</t>
  </si>
  <si>
    <t>PF_PV3</t>
  </si>
  <si>
    <t>Profielfactor zon-PV (vanaf 2025)</t>
  </si>
  <si>
    <t>Gasprijs in bovenwaarde</t>
  </si>
  <si>
    <t>€/kWhHHV</t>
  </si>
  <si>
    <t>Langetermijngasprijs in bovenwaarde</t>
  </si>
  <si>
    <t>Gasprijs in onderwaarde</t>
  </si>
  <si>
    <t>€/kWhLHV</t>
  </si>
  <si>
    <t>Langetermijngasprijs in onderwaarde</t>
  </si>
  <si>
    <t>LT_5jaar_g[HHV]</t>
  </si>
  <si>
    <t>Vijfjaars gasprijs in bovenwaarde</t>
  </si>
  <si>
    <t>LT_5jaar_g[LHV]</t>
  </si>
  <si>
    <t>Vijfjaars gasprijs in onderwaarde</t>
  </si>
  <si>
    <t>AVI_CO2</t>
  </si>
  <si>
    <t>Fossiele fractie van CO2-uitstoot bij AVI's</t>
  </si>
  <si>
    <t>1 - percentage biogeen in emissiefactor</t>
  </si>
  <si>
    <t>Prijs CO2-emissierechten</t>
  </si>
  <si>
    <t>€/tCO2</t>
  </si>
  <si>
    <t>Langetermijn-CO2-prijs</t>
  </si>
  <si>
    <t>transport</t>
  </si>
  <si>
    <t>Marginale transporttarieven</t>
  </si>
  <si>
    <t>Transporttarieven op de lange termijn</t>
  </si>
  <si>
    <t>WK</t>
  </si>
  <si>
    <t>Warmtekrachtverhouding</t>
  </si>
  <si>
    <t>Categorie-specifiek</t>
  </si>
  <si>
    <t>Categorie-specifiek en vast gedurende looptijd va beschikking</t>
  </si>
  <si>
    <t>EB3_e</t>
  </si>
  <si>
    <t>Energiebelasting elektriciteit, 3e schijf</t>
  </si>
  <si>
    <t>EB1</t>
  </si>
  <si>
    <t>Energiebelasting gas, 1e schijf</t>
  </si>
  <si>
    <t>EB2</t>
  </si>
  <si>
    <t>Energiebelasting gas, 2e schijf</t>
  </si>
  <si>
    <t>EB3</t>
  </si>
  <si>
    <t>Energiebelasting gas, 3e schijf</t>
  </si>
  <si>
    <t>Kale pompprijs benzine</t>
  </si>
  <si>
    <t>Langetermijn kale pompprijs benzine</t>
  </si>
  <si>
    <t>dies</t>
  </si>
  <si>
    <t>Kale pompprijs dieselprijs</t>
  </si>
  <si>
    <t>LT_dies</t>
  </si>
  <si>
    <t>Langetermijn kale pompprijs diesel</t>
  </si>
  <si>
    <t>ketel_co2</t>
  </si>
  <si>
    <t>CO2 vermeden door tuinder per gasinput</t>
  </si>
  <si>
    <t>kg CO2/kWhLHV</t>
  </si>
  <si>
    <t>Emissiefactor van gas aardgas (RVO) en gemiddelde reductiecoëfficiënt van 0,93.5</t>
  </si>
  <si>
    <t>wkk_co2</t>
  </si>
  <si>
    <t>CO2 vermeden door tuinder per elektriciteitsoutput</t>
  </si>
  <si>
    <t>kg CO2/kWhe</t>
  </si>
  <si>
    <t>Emissiefactor van gas aardgas (RVO) en gemiddelde reductiecoëfficiënt van 0,93.6</t>
  </si>
  <si>
    <t>Garantie van Oorsprong voor elektriciteit</t>
  </si>
  <si>
    <t>€/kWhe</t>
  </si>
  <si>
    <t>HBE7</t>
  </si>
  <si>
    <t>Hernieuwbare Brandstofeenheid</t>
  </si>
  <si>
    <t>ef_aardgas</t>
  </si>
  <si>
    <t>Emissiefactor aardgas</t>
  </si>
  <si>
    <t>kg CO2/GJLHV</t>
  </si>
  <si>
    <t xml:space="preserve">Nederlandse lijst van energiedragers en standaard CO2 emissiefactoren, RVO (2024) </t>
  </si>
  <si>
    <t>co2_transp_kost</t>
  </si>
  <si>
    <t>CO2 transportkosten</t>
  </si>
  <si>
    <t>co2_vermeden_opex_wkk_ketel</t>
  </si>
  <si>
    <t>Vermeden O&amp;M WKK/ketel bij tuinder</t>
  </si>
  <si>
    <t>Op basis van  KWIN (2017), met verhouding 90% WKK en 10% ketel8</t>
  </si>
  <si>
    <t>LT_co2_verm_opex</t>
  </si>
  <si>
    <t>Langetermijn vermeden O&amp;M WKK/ketel bij tuinder</t>
  </si>
  <si>
    <t>Op basis van  KWIN (2017), met verhouding 90% WKK en 10% ketel9</t>
  </si>
  <si>
    <t>eff_gasketel</t>
  </si>
  <si>
    <t>Rendement gasketel</t>
  </si>
  <si>
    <t>Voorlopige waarde van de maximale kosten voor ETS10</t>
  </si>
  <si>
    <t>€/kWhth</t>
  </si>
  <si>
    <t>Allocatie_gratis_EUA_warmtenet</t>
  </si>
  <si>
    <t>Percentage gratis gealloceerde rechten bij levering aan warmtenet</t>
  </si>
  <si>
    <t>D_ketel_warmtenet_inflex</t>
  </si>
  <si>
    <t>Aanname aandeel gasketelwarmtevervanging in warmtenet (niet-flexibele warmte)</t>
  </si>
  <si>
    <t>D_ketel_warmtenet_flex</t>
  </si>
  <si>
    <t>Aanname aandeel gasketelwarmtevervanging in warmtenet (flexibele warmte)</t>
  </si>
  <si>
    <t>Niet_CL_offshore_gas</t>
  </si>
  <si>
    <t>Aandeel niet-Carbon-Leakage-gevoelig offshore gaswinning in EU ETS-fase 4</t>
  </si>
  <si>
    <t>COP</t>
  </si>
  <si>
    <t>Coefficient of Performance, ook wel Seasonal Performance Factor (SPF)</t>
  </si>
  <si>
    <t>Gasbesparing_EOP</t>
  </si>
  <si>
    <t>Verhouding vermeden aardgas op gebruikte elektriciteit</t>
  </si>
  <si>
    <t>kWhLHV gas/kWhe,input</t>
  </si>
  <si>
    <t>Dit is een vast getal dat is berekend op basis van informatie uit de marktconsultatie</t>
  </si>
  <si>
    <t>Emfac_waterstof</t>
  </si>
  <si>
    <t>SMR heeft een emissiefactor van 9 kg CO2 /r kg H2 (0,229 kg CO2 / kWhHHV H2)</t>
  </si>
  <si>
    <t>kg CO2/kWhHHV H2</t>
  </si>
  <si>
    <t>Techno-Economic Evaluation of SMR Based Standalone (Merchant) Hydrogen Plant with CCS</t>
  </si>
  <si>
    <t>Alle gemiddelden zijn ongewogen.</t>
  </si>
  <si>
    <t>Exclusief de uren met negatieve prijzen.</t>
  </si>
  <si>
    <t>Uitgaande van ketel in tuinbouw.</t>
  </si>
  <si>
    <t>WKK tuinbouw.</t>
  </si>
  <si>
    <t xml:space="preserve">De ratio die is genomen voor het gas dat een tuinder bespaart nu hij zelf niet meer die CO2 hoeft te genereren, per CO2 die hij krijgt geleverd. Bron reductiecoefficient: WEcR-studie (Van der velden &amp; Smit, 2020). </t>
  </si>
  <si>
    <t>Zie voetnoot 5 en met de aanname dat het elektrisch rendement van de WKK 37.5% is.</t>
  </si>
  <si>
    <t>Vermenigvuldigd met 2 (omdat elke geproduceerde geavanceerde hernieuwbare brandstofeenheid 2 HBE’s krijgt).</t>
  </si>
  <si>
    <t>Iinflatie t/m 2022.</t>
  </si>
  <si>
    <t>Inflatie t/m 7,5 jaar vooruit.</t>
  </si>
  <si>
    <t>Indien alle rechten zouden moeten worden ingekocht (per kWh geleverde warmte), indien de warmte zou zijn opgewekt met aardgas in een ketel (rekening houdend met een aangenomen ketelrendement en emissiefactor van gas)</t>
  </si>
  <si>
    <t>Zon-pv 15 – 100 kWp (kva, referentie 60 kWp, net 70%)</t>
  </si>
  <si>
    <t>BASISBEDRAG en SUBSIDIE-INTENSITEIT</t>
  </si>
  <si>
    <t>Het basisbedrag is een maat voor de productiekosten. Deze waarde kan berekend worden als alleen deze worksheet geopend is.</t>
  </si>
  <si>
    <t>Subsidie-intensiteit</t>
  </si>
  <si>
    <t>Euro/t CO2</t>
  </si>
  <si>
    <t>De subsidie-intensiteit is de maat die in de rangschikking gebruikt wordt. Om deze waarde te berekenen dient ook de worksheet 'Correcties' geopend te zijn.</t>
  </si>
  <si>
    <t>Productie-eenheid</t>
  </si>
  <si>
    <t>kWh</t>
  </si>
  <si>
    <t>De SDE++ kent twee rekeneenheden waarover subsidie kan worden uitgekeerd: kWh voor energiecategorieën en t CO2 voor CCS- en CCU-categorieën.</t>
  </si>
  <si>
    <t>Vermogenseenheid</t>
  </si>
  <si>
    <t>Het corresponderende domein bij deze categorie geeft aan binnen welk 'hekje' de subsidiecategorie valt.</t>
  </si>
  <si>
    <t>CORRECTIEMETHODES</t>
  </si>
  <si>
    <t>Typering</t>
  </si>
  <si>
    <t>Berekeningswijze correctiebedrag methode-ID</t>
  </si>
  <si>
    <t>Berekeningswijze ETS-correctie-ID</t>
  </si>
  <si>
    <t>ETS-voordeel bij merendeel van projecten?</t>
  </si>
  <si>
    <t>Geen warmte</t>
  </si>
  <si>
    <t>Ja of Nee</t>
  </si>
  <si>
    <t>Alleen van belang voor warmteprojecten. Deze parameter werkt door op de langetermijnprijs en subsidie-intensiteit.</t>
  </si>
  <si>
    <t>Berekeningswijze correctiebedrag methode-ID netlevering</t>
  </si>
  <si>
    <t>Berekeningswijze correctiebedrag methode-ID niet-netlevering</t>
  </si>
  <si>
    <t>Netlevering deel</t>
  </si>
  <si>
    <t>Enkel relevant voor zon-pv. Aandeel van de productie dat aan het net wordt geleverd.</t>
  </si>
  <si>
    <t>Niet-netlevering deel</t>
  </si>
  <si>
    <t>Enkel relevant voor zon-pv. Aandeel eigen gebruik.</t>
  </si>
  <si>
    <t>SYSTEEMGROOTTE</t>
  </si>
  <si>
    <t>Inputvermogen</t>
  </si>
  <si>
    <t>Seasonal Performance Factor (SPF)</t>
  </si>
  <si>
    <t>Hier wordt de seizoensgemiddelde COP, of Seasonal performance factor, mee bedoeld voor het hele systeem.</t>
  </si>
  <si>
    <t>Gaat het om een installatie voor hernieuwbaar gas?</t>
  </si>
  <si>
    <t>Alleen 'Ja' invullen als de installatie gas van aardgaskwaliteit produceert.</t>
  </si>
  <si>
    <t xml:space="preserve">    Methaangehalte hernieuwbaar gas voor gaszuivering</t>
  </si>
  <si>
    <t>Het percentage methaan in het biogas, dat nog niet tot aardgaskwaliteit is opgewaardeerd.</t>
  </si>
  <si>
    <t xml:space="preserve">    Vermogen hernieuwbaargasproductie (voor zuivering)</t>
  </si>
  <si>
    <t>Nm3/uur</t>
  </si>
  <si>
    <t>Outputvermogen (thermisch of hernieuwbaar gas)</t>
  </si>
  <si>
    <t>Dit veld alleen invullen bij productie van warmte (al dan niet in WKK-variant) of hernieuwbaar gas van aardgaskwaliteit</t>
  </si>
  <si>
    <t xml:space="preserve">    Outputvermogen (hernieuwbaar gas)</t>
  </si>
  <si>
    <t>Outputvermogen (elektrisch of overig)</t>
  </si>
  <si>
    <t>Dit veld invullen als de installatie elektriciteit produceert (al dan niet in WKK-variant), of iets anders dan warmte of gas van aardgaskwaliteit produceert.</t>
  </si>
  <si>
    <t>Vollasturen levering (thermisch of hernieuwbaar gas)</t>
  </si>
  <si>
    <t>uur/jaar</t>
  </si>
  <si>
    <t>Bij een installatie voor gecombineerde opwekking, wordt de bedrijfstijd automatisch genomen als maximum van de vollasturen warmte en vollasturen elektriciteit.</t>
  </si>
  <si>
    <t>Vollasturen levering  (elektrisch of overig)</t>
  </si>
  <si>
    <t>ENERGETISCH RENDEMENT</t>
  </si>
  <si>
    <t>Max. elektrisch rendement</t>
  </si>
  <si>
    <t>Elektrisch rendement</t>
  </si>
  <si>
    <t>Thermisch rendement of rendement gasproductie</t>
  </si>
  <si>
    <t>Elektriciteitsderving bij warmtelevering</t>
  </si>
  <si>
    <t>elektriciteit : warmte</t>
  </si>
  <si>
    <t>Enkel invullen als de installatie een WKK-installatie is waarbij warmtelevering ten koste gaat van de elektriciteitsproductie.</t>
  </si>
  <si>
    <t>KOSTEN</t>
  </si>
  <si>
    <t xml:space="preserve">    Investeringskosten input gebaseerd</t>
  </si>
  <si>
    <t>De investeringskosten 'input gebaseerd' worden opgeteld bij de investeringskosten 'output gebaseerd'. Pas op voor onbedoelde dubbeltelling.</t>
  </si>
  <si>
    <t xml:space="preserve">    Investeringskosten output gebaseerd</t>
  </si>
  <si>
    <t>Totale investeringskosten</t>
  </si>
  <si>
    <t>Euro(miljoen)</t>
  </si>
  <si>
    <t xml:space="preserve">    Vaste operationele kosten input gebaseerd</t>
  </si>
  <si>
    <t>De operationele kosten 'input gebaseerd' worden opgeteld bij de investeringskosten 'output gebaseerd'. Pas op voor onbedoelde dubbeltelling.</t>
  </si>
  <si>
    <t xml:space="preserve">    Vaste operationele kosten output gebaseerd</t>
  </si>
  <si>
    <t>Totale jaarlijkse vaste operationele kosten</t>
  </si>
  <si>
    <t>Euro(duizend)/jaar</t>
  </si>
  <si>
    <t>Deze waarde wordt ter illustratie getoond.</t>
  </si>
  <si>
    <t xml:space="preserve">    Kosten elektriciteitsverbruik</t>
  </si>
  <si>
    <t xml:space="preserve">    Kosten gasverbruik</t>
  </si>
  <si>
    <t xml:space="preserve">    Kosten warmteverbruik</t>
  </si>
  <si>
    <t xml:space="preserve">    Overige variabele operationele kosten</t>
  </si>
  <si>
    <t>Totale variabele operationele kosten</t>
  </si>
  <si>
    <t>ENERGIEGEBRUIK</t>
  </si>
  <si>
    <t>Energie-inhoud brandstof</t>
  </si>
  <si>
    <t>GJ/ton</t>
  </si>
  <si>
    <t>Biomassadoorzet</t>
  </si>
  <si>
    <t>ton/jaar</t>
  </si>
  <si>
    <t>Netto brandstofprijs</t>
  </si>
  <si>
    <t>Euro/ton</t>
  </si>
  <si>
    <t>Hier wordt de brandstofprijs aan de poort bedoeld, inclusief eventuele risico-opslag.</t>
  </si>
  <si>
    <t xml:space="preserve">Relatief elektriciteitsgebruik </t>
  </si>
  <si>
    <t>Elektriciteitsgebruik</t>
  </si>
  <si>
    <t>MWh/jaar</t>
  </si>
  <si>
    <t>Relatief warmtegebruik</t>
  </si>
  <si>
    <t xml:space="preserve">Warmtegebruik </t>
  </si>
  <si>
    <t>Relatief aardgasgebruik</t>
  </si>
  <si>
    <t>Aardgasgebruik</t>
  </si>
  <si>
    <t>EMISSIEFACTOREN</t>
  </si>
  <si>
    <t>Emissiefactor van warmteproductie per eenheid</t>
  </si>
  <si>
    <t>Emissiefactor van elektriciteitsproductie of overig per eenheid</t>
  </si>
  <si>
    <t>Emissiefactor van gasproductie per eenheid</t>
  </si>
  <si>
    <t>Emissiefactor gebruik van biomassa</t>
  </si>
  <si>
    <t>kg CO2/ton</t>
  </si>
  <si>
    <t>De waarde die hier getoond wordt, is afhankelijk aan de uitgangspunten in de adviesvraag.</t>
  </si>
  <si>
    <t>Emissiefactor gebruik van warmte</t>
  </si>
  <si>
    <t>kg CO2/kWh</t>
  </si>
  <si>
    <t>Emissiefactor gebruik van elektriciteit</t>
  </si>
  <si>
    <t>Emissiefactor gebruik van gas</t>
  </si>
  <si>
    <t>Vermeden emissies</t>
  </si>
  <si>
    <t>TERMIJNEN</t>
  </si>
  <si>
    <t>Economische levensduur</t>
  </si>
  <si>
    <t>jaar</t>
  </si>
  <si>
    <t>Deze waarde wordt gebruikt om eventuele inkomsten van het project na subsidieperiode te berekenen.</t>
  </si>
  <si>
    <t>Termijn lening</t>
  </si>
  <si>
    <t xml:space="preserve">Afschrijvingstermijn </t>
  </si>
  <si>
    <t>Beleidsperiode</t>
  </si>
  <si>
    <t>Totale operationale periode</t>
  </si>
  <si>
    <t>Deze waarde wordt gebruikt om de vermeden emissies gedurende de hele operationele periode van de installatie te berekenen.</t>
  </si>
  <si>
    <t>PARAMETERS NA SUBSIDIEPERIODE</t>
  </si>
  <si>
    <t>Elektriciteitsprijs na subsidieperiode</t>
  </si>
  <si>
    <t>Euro/kWh</t>
  </si>
  <si>
    <t>Deze prijs is inclusief de profielfactor, maar exclusief de onbalansfactor.</t>
  </si>
  <si>
    <t>Vollasturen na subsidieperiode elektriciteit of overige</t>
  </si>
  <si>
    <t>Prijs warmte of hernieuwbaar gas na subsidieperiode</t>
  </si>
  <si>
    <t>Vollasturen na subsidieperiode warmte of hernieuwbaar gas</t>
  </si>
  <si>
    <t>Totaal geproduceerde eenheden subsidieperiode</t>
  </si>
  <si>
    <t>Totale geproduceerde eenheden bedrijfsperiode</t>
  </si>
  <si>
    <t>Verrekeningsfactor bespaarde emissies</t>
  </si>
  <si>
    <t>FINANCIËLE PARAMETERS</t>
  </si>
  <si>
    <t>Inflatie</t>
  </si>
  <si>
    <t>Rendement op vreemd vermogen</t>
  </si>
  <si>
    <t>Rendement op eigen vermogen</t>
  </si>
  <si>
    <t>Percentage vreemd vermogen in investering</t>
  </si>
  <si>
    <t>Percentage eigen vermogen in investering</t>
  </si>
  <si>
    <t>Vennootschapsbelasting</t>
  </si>
  <si>
    <t>INVESTERINGSSUBSIDIES</t>
  </si>
  <si>
    <t>Investeringssubsidie t.g.v. vreemd vermogen</t>
  </si>
  <si>
    <t>Euro</t>
  </si>
  <si>
    <t>Investeringssubsidie t.g.v. eigen vermogen (NCW)</t>
  </si>
  <si>
    <t>ONREGELMATIGE CASHFLOWS</t>
  </si>
  <si>
    <t>Voer in cel kolom C het jaar in waarin de onregelmatige cashflow plaatsvindt en in kolom D97 de reële kosten (als negatieve waarde) in dat specifieke jaar.</t>
  </si>
  <si>
    <t>Afsluitprovisie op lening handmatig</t>
  </si>
  <si>
    <t>Indien de afsluitprovisie handmatig moet worden ingevoerd, voer dan in cel C103 het bedrag van de afsluitprovisie in.</t>
  </si>
  <si>
    <t>Afsluitprovisie als percentage van lening</t>
  </si>
  <si>
    <t>Deze afsluitprovisie wordt verrekend in de totale investeringskosten en is gedefinieerd als percentage van de lening.</t>
  </si>
  <si>
    <t>SUBSIDIE-INKOMSTEN (niet invullen voor basisbedragberekening)</t>
  </si>
  <si>
    <t>Basisbedrag (deze cellen kunnen gebruikt worden om de inkomsten toe te voegen)</t>
  </si>
  <si>
    <t>Correctiebedrag (deze cellen kunnen gebruikt worden om de inkomsten toe te voegen)</t>
  </si>
  <si>
    <t>Inflator</t>
  </si>
  <si>
    <t>index</t>
  </si>
  <si>
    <t>Tabel: Nominale kasstroom (positieve bedragen = gunstig voor de producent)</t>
  </si>
  <si>
    <t>INITIELE INVESTERING</t>
  </si>
  <si>
    <t>Investering</t>
  </si>
  <si>
    <t>AFZET</t>
  </si>
  <si>
    <t>Afzet elektriciteit of overige</t>
  </si>
  <si>
    <t>Afzet warmte</t>
  </si>
  <si>
    <t>Afzet hernieuwbaar gas</t>
  </si>
  <si>
    <t>kWh (HHV)</t>
  </si>
  <si>
    <t>Afzet</t>
  </si>
  <si>
    <t>KOSTEN EN INKOMSTEN</t>
  </si>
  <si>
    <t>Operationele kosten</t>
  </si>
  <si>
    <t>Brandstofkosten (biomassa)</t>
  </si>
  <si>
    <t>Marktwaarde elektriciteit na einde beleidsperiode</t>
  </si>
  <si>
    <t>Marktwaarde warmte of hernieuwbaar gas na einde beleidsperiode</t>
  </si>
  <si>
    <t>Correctiebedrag</t>
  </si>
  <si>
    <t>SDE-vergoeding</t>
  </si>
  <si>
    <t>Marktinkomsten na einde beleidsperiode</t>
  </si>
  <si>
    <t>Marktinkomsten gedurende beleidsperiode</t>
  </si>
  <si>
    <t>TOTALE KOSTEN EN INKOMSTEN</t>
  </si>
  <si>
    <t>Inkomen totaal (nominaal)</t>
  </si>
  <si>
    <t>Kosten totaal (nominaal)</t>
  </si>
  <si>
    <t>Bruto inkomen (nominaal)</t>
  </si>
  <si>
    <t>AFSCHRIJVING EN SCHULDEN</t>
  </si>
  <si>
    <t>Afschrijving</t>
  </si>
  <si>
    <t>Rente</t>
  </si>
  <si>
    <t>Aflossing</t>
  </si>
  <si>
    <t>Totale lasten lening</t>
  </si>
  <si>
    <t>BELASTING</t>
  </si>
  <si>
    <t>Belastbaar inkomen</t>
  </si>
  <si>
    <t>Belasting bedrag</t>
  </si>
  <si>
    <t>CASHFLOWS</t>
  </si>
  <si>
    <t>Netto inkomen na belasting</t>
  </si>
  <si>
    <t>Project cashflow</t>
  </si>
  <si>
    <t>Equity cashflow</t>
  </si>
  <si>
    <t>Subsidiebasis: afzet</t>
  </si>
  <si>
    <t>Terug te verdienen investering</t>
  </si>
  <si>
    <t>DSCR</t>
  </si>
  <si>
    <t>PROJECTPARAMETERS</t>
  </si>
  <si>
    <t>Verdisconteerde inkomsten</t>
  </si>
  <si>
    <t>euro</t>
  </si>
  <si>
    <t>Verdisconteerde afzet</t>
  </si>
  <si>
    <t>Totale investering</t>
  </si>
  <si>
    <t>DSCR (gemiddeld)</t>
  </si>
  <si>
    <t>Vermogenskostenvergoeding (WACC nominaal/reëel)</t>
  </si>
  <si>
    <t>Projectrendement (IRR)</t>
  </si>
  <si>
    <t>Rendement op eigen vermogen (IRR)</t>
  </si>
  <si>
    <t>Aandeel lening</t>
  </si>
  <si>
    <t>Aandeel eigen vermogen</t>
  </si>
  <si>
    <t>W:E</t>
  </si>
  <si>
    <t>Samengesteld aantal vollasturen</t>
  </si>
  <si>
    <t>Terugverdientijd (inclusief SDE++-subsidie)</t>
  </si>
  <si>
    <t>SUBSIDIEPARAMETERS</t>
  </si>
  <si>
    <t>Bodemprijs of basisprijs (netlevering/niet-netlevering)</t>
  </si>
  <si>
    <t>Bodemprijs of basisprijs netlevering</t>
  </si>
  <si>
    <t>Langetermijnprijs</t>
  </si>
  <si>
    <t>Langetermijnprijs (netlevering/niet-netlevering)</t>
  </si>
  <si>
    <t>Langetermijnprijs netlevering</t>
  </si>
  <si>
    <t>Langetermijnprijs niet-netlevering</t>
  </si>
  <si>
    <t>Langetermijnwaarde ETS-correctie</t>
  </si>
  <si>
    <t>CONVERSIEFACTOREN</t>
  </si>
  <si>
    <t>Verbrandingswaarde methaan (onderwaarde)</t>
  </si>
  <si>
    <t>MJ/Nm3</t>
  </si>
  <si>
    <t>Verbrandingswaarde hernieuwbaar gas (onderwaarde)</t>
  </si>
  <si>
    <t>Verbrandingswaarde hernieuwbaar gas (bovenwaarde)</t>
  </si>
  <si>
    <t>kWh naar MJ</t>
  </si>
  <si>
    <t>MJ/kWh</t>
  </si>
  <si>
    <t>Zon-pv 15 – 100 kWp (kva, referentie 60 kWp, net 70%, zwak dak)</t>
  </si>
  <si>
    <t>Zon-pv 15 kWp – 1 MWp (gva, referentie 250 kWp, net 50%)</t>
  </si>
  <si>
    <t>Zon-pv 15 kWp – 1 MWp (gva, referentie 250 kWp, net 50%, zwak dak)</t>
  </si>
  <si>
    <t>Zon-pv gebouwgebonden 1 - 6 MWp (gva, referentie 2,5 MWp, net 50%)</t>
  </si>
  <si>
    <t>Zon-pv gebouwgebonden 1 - 6 MWp (gva, referentie 2,5 MWp, net 50%, zwak dak)</t>
  </si>
  <si>
    <t>Zon-pv grondgebonden 1 - 6 MWp (gva, referentie 10 MWp, net 50%)</t>
  </si>
  <si>
    <t>Zon-pv drijvend op water 500 kWp - 6 MWp (gva, referentie 10 MWp, net 50%)</t>
  </si>
  <si>
    <t>Zon-pv drijvend op water natuurinclusief 500 kWp - 6 MWp (gva, referentie 10 MWp, net 50%)</t>
  </si>
  <si>
    <t>Windenergie, 15 kW op kva</t>
  </si>
  <si>
    <t>Nee</t>
  </si>
  <si>
    <t>Windenergie, 1 MW – windsnelheid ≥ 8,00 m/s op gva</t>
  </si>
  <si>
    <t>Windenergie, 1 MW – windsnelheid 7,50 - 8,00 m/s op gva</t>
  </si>
  <si>
    <t>Windenergie, 1 MW – windsnelheid 7,00 - 7,50 m/s op gva</t>
  </si>
  <si>
    <t>Windenergie, 1 MW – windsnelheid 6,75 - 7,00 m/s op gva</t>
  </si>
  <si>
    <t>Windenergie, 1 MW – windsnelheid &lt; 6,75 m/s op gva</t>
  </si>
  <si>
    <t>Windenergie, tot 6MW – windsnelheid 8,00 ≥ m/s, (referentie 15 MW, gva)</t>
  </si>
  <si>
    <t>Windenergie, tot 6MW – windsnelheid 7,50 - 8,00 m/s, (referentie 15 MW, gva)</t>
  </si>
  <si>
    <t>Windenergie, tot 6MW – windsnelheid 7,00 - 7,50 m/s, (referentie 15 MW, gva)</t>
  </si>
  <si>
    <t>Windenergie, tot 6MW – windsnelheid 6,75 - 7,00 m/s, (referentie 15 MW, gva)</t>
  </si>
  <si>
    <t>Windenergie, tot 6MW – windsnelheid &lt; 6,75  m/s, (referentie 15 MW, gva)</t>
  </si>
  <si>
    <t>Waterkracht 15 kW - 1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</si>
</sst>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0.000"/>
    <numFmt numFmtId="165" formatCode="0.0"/>
    <numFmt numFmtId="166" formatCode="0;\-0;&quot;-&quot;"/>
    <numFmt numFmtId="167" formatCode="0%;\-0%;&quot;n.v.t.&quot;"/>
    <numFmt numFmtId="168" formatCode="_-* #,##0.00_-;_-* #,##0.00\-;_-* &quot;-&quot;??_-;_-@_-"/>
    <numFmt numFmtId="169" formatCode="0.0000"/>
    <numFmt numFmtId="170" formatCode="0.0%"/>
    <numFmt numFmtId="171" formatCode="#,###,###,###,###;\-#,###,###,###,###;&quot;-&quot;"/>
    <numFmt numFmtId="172" formatCode="#,##0.000_ ;\-#,##0.000;&quot;-&quot;"/>
    <numFmt numFmtId="173" formatCode="_(* #,##0_);_(* \(#,##0\);_(* &quot;-&quot;??_);_(@_)"/>
    <numFmt numFmtId="174" formatCode="0.00;\-0.00;&quot;-&quot;"/>
    <numFmt numFmtId="175" formatCode="0.00;\ \-0.00;\ &quot;-&quot;"/>
    <numFmt numFmtId="176" formatCode="[$-413]d\-mmm\-yy;@"/>
    <numFmt numFmtId="177" formatCode="0.00000"/>
    <numFmt numFmtId="178" formatCode="0.0000;\-0.0000;&quot;-&quot;"/>
    <numFmt numFmtId="179" formatCode="#,##0_ ;\-#,##0\ "/>
  </numFmts>
  <fonts count="37">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2"/>
      <name val="Arial"/>
      <family val="2"/>
    </font>
    <font>
      <b/>
      <sz val="14"/>
      <name val="Arial"/>
      <family val="2"/>
    </font>
    <font>
      <u/>
      <sz val="11"/>
      <color theme="10"/>
      <name val="Calibri"/>
      <family val="2"/>
      <scheme val="minor"/>
    </font>
    <font>
      <b/>
      <sz val="11"/>
      <color rgb="FFFA7D00"/>
      <name val="Calibri"/>
      <family val="2"/>
      <scheme val="minor"/>
    </font>
    <font>
      <sz val="11"/>
      <color rgb="FF3F3F76"/>
      <name val="Calibri"/>
      <family val="2"/>
      <scheme val="minor"/>
    </font>
    <font>
      <sz val="10"/>
      <color theme="0"/>
      <name val="Arial"/>
      <family val="2"/>
    </font>
    <font>
      <vertAlign val="subscript"/>
      <sz val="10"/>
      <color theme="0"/>
      <name val="Arial"/>
      <family val="2"/>
    </font>
    <font>
      <sz val="10"/>
      <color theme="1"/>
      <name val="Arial"/>
      <family val="2"/>
    </font>
    <font>
      <b/>
      <sz val="10"/>
      <color theme="1"/>
      <name val="Arial"/>
      <family val="2"/>
    </font>
    <font>
      <b/>
      <sz val="10"/>
      <color theme="0"/>
      <name val="Arial"/>
      <family val="2"/>
    </font>
    <font>
      <b/>
      <sz val="13"/>
      <color theme="0"/>
      <name val="Arial"/>
      <family val="2"/>
    </font>
    <font>
      <sz val="20"/>
      <name val="Arial"/>
      <family val="2"/>
    </font>
    <font>
      <b/>
      <sz val="10"/>
      <name val="Arial"/>
      <family val="2"/>
    </font>
    <font>
      <b/>
      <sz val="16"/>
      <name val="Arial"/>
      <family val="2"/>
    </font>
    <font>
      <sz val="14"/>
      <name val="Arial"/>
      <family val="2"/>
    </font>
    <font>
      <sz val="16"/>
      <name val="Arial"/>
      <family val="2"/>
    </font>
    <font>
      <b/>
      <sz val="10"/>
      <color rgb="FFFFFF00"/>
      <name val="Arial"/>
      <family val="2"/>
    </font>
    <font>
      <i/>
      <sz val="10"/>
      <name val="Arial"/>
      <family val="2"/>
    </font>
    <font>
      <i/>
      <sz val="10"/>
      <color rgb="FFFF0000"/>
      <name val="Arial"/>
      <family val="2"/>
    </font>
    <font>
      <sz val="10"/>
      <color rgb="FFFF0000"/>
      <name val="Arial"/>
      <family val="2"/>
    </font>
    <font>
      <sz val="10"/>
      <color indexed="10"/>
      <name val="Arial"/>
      <family val="2"/>
    </font>
    <font>
      <b/>
      <sz val="11"/>
      <color theme="0"/>
      <name val="Arial"/>
      <family val="2"/>
    </font>
    <font>
      <b/>
      <sz val="12"/>
      <color theme="0"/>
      <name val="Arial"/>
      <family val="2"/>
    </font>
    <font>
      <sz val="11"/>
      <color theme="0"/>
      <name val="Arial"/>
      <family val="2"/>
    </font>
    <font>
      <sz val="12"/>
      <color theme="0"/>
      <name val="Arial"/>
      <family val="2"/>
    </font>
    <font>
      <sz val="11"/>
      <color theme="1"/>
      <name val="Arial"/>
      <family val="2"/>
    </font>
    <font>
      <u/>
      <sz val="10"/>
      <color theme="10"/>
      <name val="Arial Narrow"/>
      <family val="2"/>
    </font>
    <font>
      <sz val="10"/>
      <color theme="1"/>
      <name val="Verdana"/>
      <family val="2"/>
    </font>
    <font>
      <b/>
      <sz val="10"/>
      <color theme="1"/>
      <name val="Verdana"/>
      <family val="2"/>
    </font>
    <font>
      <i/>
      <sz val="11"/>
      <name val="Arial"/>
      <family val="2"/>
    </font>
    <font>
      <sz val="8"/>
      <name val="Arial"/>
      <family val="2"/>
    </font>
    <font>
      <b/>
      <sz val="8"/>
      <name val="Arial"/>
      <family val="2"/>
    </font>
  </fonts>
  <fills count="20">
    <fill>
      <patternFill patternType="none"/>
    </fill>
    <fill>
      <patternFill patternType="gray125"/>
    </fill>
    <fill>
      <patternFill patternType="solid">
        <fgColor rgb="FFFFFFFF"/>
        <bgColor indexed="64"/>
      </patternFill>
    </fill>
    <fill>
      <patternFill patternType="solid">
        <fgColor rgb="FFF2F2F2"/>
      </patternFill>
    </fill>
    <fill>
      <patternFill patternType="solid">
        <fgColor rgb="FFFFCC99"/>
      </patternFill>
    </fill>
    <fill>
      <patternFill patternType="solid">
        <fgColor theme="0" tint="-0.249977111117893"/>
        <bgColor indexed="64"/>
      </patternFill>
    </fill>
    <fill>
      <patternFill patternType="solid">
        <fgColor rgb="FFD8E6C5"/>
        <bgColor indexed="64"/>
      </patternFill>
    </fill>
    <fill>
      <patternFill patternType="solid">
        <fgColor rgb="FF1A4222"/>
        <bgColor indexed="64"/>
      </patternFill>
    </fill>
    <fill>
      <patternFill patternType="solid">
        <fgColor rgb="FF006E9A"/>
        <bgColor indexed="64"/>
      </patternFill>
    </fill>
    <fill>
      <patternFill patternType="solid">
        <fgColor rgb="FFA5D1F2"/>
        <bgColor indexed="64"/>
      </patternFill>
    </fill>
    <fill>
      <patternFill patternType="solid">
        <fgColor rgb="FFF3D696"/>
        <bgColor indexed="64"/>
      </patternFill>
    </fill>
    <fill>
      <patternFill patternType="solid">
        <fgColor rgb="FFBFBFB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D8E6C5"/>
        <bgColor rgb="FF000000"/>
      </patternFill>
    </fill>
    <fill>
      <patternFill patternType="solid">
        <fgColor rgb="FFF3D696"/>
        <bgColor rgb="FF000000"/>
      </patternFill>
    </fill>
    <fill>
      <patternFill patternType="solid">
        <fgColor theme="7" tint="0.59999389629810485"/>
        <bgColor indexed="64"/>
      </patternFill>
    </fill>
  </fills>
  <borders count="39">
    <border>
      <left/>
      <right/>
      <top/>
      <bottom/>
      <diagonal/>
    </border>
    <border>
      <left/>
      <right style="thin">
        <color theme="0"/>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theme="0"/>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theme="0"/>
      </top>
      <bottom style="thin">
        <color theme="0"/>
      </bottom>
      <diagonal/>
    </border>
    <border>
      <left/>
      <right style="medium">
        <color indexed="64"/>
      </right>
      <top/>
      <bottom style="thin">
        <color rgb="FFCCCCCC"/>
      </bottom>
      <diagonal/>
    </border>
    <border>
      <left/>
      <right style="medium">
        <color indexed="64"/>
      </right>
      <top style="thin">
        <color rgb="FFCCCCCC"/>
      </top>
      <bottom style="thin">
        <color rgb="FFCCCCCC"/>
      </bottom>
      <diagonal/>
    </border>
    <border>
      <left style="medium">
        <color indexed="64"/>
      </left>
      <right/>
      <top style="thin">
        <color theme="0"/>
      </top>
      <bottom style="medium">
        <color indexed="64"/>
      </bottom>
      <diagonal/>
    </border>
    <border>
      <left/>
      <right style="medium">
        <color indexed="64"/>
      </right>
      <top style="thin">
        <color rgb="FFCCCCCC"/>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15">
    <xf numFmtId="0" fontId="0" fillId="0" borderId="0"/>
    <xf numFmtId="0" fontId="2" fillId="0" borderId="0"/>
    <xf numFmtId="9" fontId="2" fillId="0" borderId="0" applyFont="0" applyFill="0" applyBorder="0" applyAlignment="0" applyProtection="0"/>
    <xf numFmtId="168" fontId="2" fillId="0" borderId="0" applyFont="0" applyFill="0" applyBorder="0" applyAlignment="0" applyProtection="0"/>
    <xf numFmtId="0" fontId="2" fillId="0" borderId="0"/>
    <xf numFmtId="43" fontId="1" fillId="0" borderId="0" applyFont="0" applyFill="0" applyBorder="0" applyAlignment="0" applyProtection="0"/>
    <xf numFmtId="0" fontId="7" fillId="0" borderId="0" applyNumberFormat="0" applyFill="0" applyBorder="0" applyAlignment="0" applyProtection="0"/>
    <xf numFmtId="0" fontId="8" fillId="3" borderId="8" applyNumberFormat="0" applyAlignment="0" applyProtection="0"/>
    <xf numFmtId="0" fontId="9" fillId="4" borderId="8" applyNumberFormat="0" applyAlignment="0" applyProtection="0"/>
    <xf numFmtId="9" fontId="1" fillId="0" borderId="0"/>
    <xf numFmtId="9" fontId="2" fillId="0" borderId="0"/>
    <xf numFmtId="168" fontId="2" fillId="0" borderId="0"/>
    <xf numFmtId="43" fontId="1" fillId="0" borderId="0"/>
    <xf numFmtId="0" fontId="9" fillId="4" borderId="8"/>
    <xf numFmtId="0" fontId="8" fillId="3" borderId="8"/>
  </cellStyleXfs>
  <cellXfs count="435">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169" fontId="12" fillId="0" borderId="0" xfId="6" applyNumberFormat="1" applyFont="1" applyFill="1" applyBorder="1" applyAlignment="1">
      <alignment horizontal="center" vertical="center"/>
    </xf>
    <xf numFmtId="1" fontId="12" fillId="0" borderId="0" xfId="6" applyNumberFormat="1" applyFont="1" applyFill="1" applyBorder="1" applyAlignment="1">
      <alignment horizontal="center" vertical="center"/>
    </xf>
    <xf numFmtId="169" fontId="2" fillId="0" borderId="0" xfId="7" applyNumberFormat="1" applyFont="1" applyFill="1" applyBorder="1" applyAlignment="1">
      <alignment horizontal="center" vertical="center"/>
    </xf>
    <xf numFmtId="0" fontId="12" fillId="0" borderId="0" xfId="0" applyFont="1" applyAlignment="1">
      <alignment horizontal="center"/>
    </xf>
    <xf numFmtId="0" fontId="12" fillId="0" borderId="0" xfId="0" applyFont="1"/>
    <xf numFmtId="169" fontId="12" fillId="0" borderId="0" xfId="0" applyNumberFormat="1" applyFont="1" applyAlignment="1">
      <alignment horizontal="center"/>
    </xf>
    <xf numFmtId="169" fontId="12" fillId="0" borderId="0" xfId="0" applyNumberFormat="1" applyFont="1"/>
    <xf numFmtId="169" fontId="2" fillId="0" borderId="0" xfId="0" applyNumberFormat="1" applyFont="1" applyAlignment="1">
      <alignment horizontal="center"/>
    </xf>
    <xf numFmtId="174" fontId="12" fillId="0" borderId="0" xfId="0" applyNumberFormat="1" applyFont="1" applyAlignment="1">
      <alignment horizontal="center"/>
    </xf>
    <xf numFmtId="1" fontId="12" fillId="0" borderId="0" xfId="0" applyNumberFormat="1" applyFont="1" applyAlignment="1">
      <alignment horizontal="center"/>
    </xf>
    <xf numFmtId="0" fontId="2" fillId="0" borderId="0" xfId="1"/>
    <xf numFmtId="0" fontId="2" fillId="0" borderId="3" xfId="1" applyBorder="1"/>
    <xf numFmtId="0" fontId="2" fillId="0" borderId="5" xfId="1" applyBorder="1"/>
    <xf numFmtId="0" fontId="2" fillId="0" borderId="6" xfId="1" applyBorder="1"/>
    <xf numFmtId="0" fontId="2" fillId="0" borderId="7" xfId="1" applyBorder="1"/>
    <xf numFmtId="0" fontId="3" fillId="0" borderId="6" xfId="1" applyFont="1" applyBorder="1" applyAlignment="1">
      <alignment vertical="center"/>
    </xf>
    <xf numFmtId="0" fontId="3" fillId="0" borderId="7" xfId="1" applyFont="1" applyBorder="1" applyAlignment="1">
      <alignment vertical="center"/>
    </xf>
    <xf numFmtId="0" fontId="2" fillId="0" borderId="0" xfId="1" applyAlignment="1">
      <alignment horizontal="left" vertical="center"/>
    </xf>
    <xf numFmtId="0" fontId="2" fillId="0" borderId="10" xfId="1" applyBorder="1" applyAlignment="1">
      <alignment horizontal="center"/>
    </xf>
    <xf numFmtId="0" fontId="2" fillId="5" borderId="10" xfId="1" applyFill="1" applyBorder="1"/>
    <xf numFmtId="0" fontId="18" fillId="0" borderId="0" xfId="1" applyFont="1"/>
    <xf numFmtId="0" fontId="2" fillId="0" borderId="0" xfId="1" applyAlignment="1">
      <alignment horizontal="center"/>
    </xf>
    <xf numFmtId="0" fontId="19" fillId="0" borderId="0" xfId="1" applyFont="1"/>
    <xf numFmtId="0" fontId="20" fillId="0" borderId="0" xfId="1" applyFont="1"/>
    <xf numFmtId="0" fontId="20" fillId="0" borderId="0" xfId="1" applyFont="1" applyAlignment="1">
      <alignment horizontal="center"/>
    </xf>
    <xf numFmtId="9" fontId="20" fillId="0" borderId="0" xfId="1" applyNumberFormat="1" applyFont="1"/>
    <xf numFmtId="0" fontId="23" fillId="2" borderId="0" xfId="1" applyFont="1" applyFill="1" applyAlignment="1">
      <alignment horizontal="left"/>
    </xf>
    <xf numFmtId="0" fontId="24" fillId="0" borderId="0" xfId="1" applyFont="1"/>
    <xf numFmtId="0" fontId="24" fillId="2" borderId="0" xfId="1" applyFont="1" applyFill="1" applyAlignment="1">
      <alignment horizontal="left"/>
    </xf>
    <xf numFmtId="2" fontId="25" fillId="0" borderId="0" xfId="1" applyNumberFormat="1" applyFont="1" applyAlignment="1">
      <alignment horizontal="center"/>
    </xf>
    <xf numFmtId="0" fontId="2" fillId="0" borderId="0" xfId="1" applyAlignment="1" applyProtection="1">
      <alignment horizontal="center"/>
      <protection locked="0"/>
    </xf>
    <xf numFmtId="0" fontId="2" fillId="0" borderId="0" xfId="1" applyAlignment="1">
      <alignment horizontal="left"/>
    </xf>
    <xf numFmtId="170" fontId="2" fillId="5" borderId="0" xfId="1" applyNumberFormat="1" applyFill="1" applyAlignment="1" applyProtection="1">
      <alignment horizontal="center"/>
      <protection locked="0"/>
    </xf>
    <xf numFmtId="0" fontId="2" fillId="5" borderId="0" xfId="1" applyFill="1" applyAlignment="1">
      <alignment horizontal="right"/>
    </xf>
    <xf numFmtId="0" fontId="2" fillId="5" borderId="9" xfId="1" applyFill="1" applyBorder="1" applyAlignment="1">
      <alignment horizontal="right"/>
    </xf>
    <xf numFmtId="171" fontId="2" fillId="0" borderId="0" xfId="1" applyNumberFormat="1"/>
    <xf numFmtId="0" fontId="10" fillId="0" borderId="0" xfId="1" applyFont="1"/>
    <xf numFmtId="164" fontId="2" fillId="0" borderId="0" xfId="1" applyNumberFormat="1" applyAlignment="1">
      <alignment vertical="center"/>
    </xf>
    <xf numFmtId="0" fontId="17" fillId="0" borderId="0" xfId="1" applyFont="1"/>
    <xf numFmtId="0" fontId="13" fillId="0" borderId="0" xfId="0" applyFont="1" applyAlignment="1">
      <alignment vertical="center"/>
    </xf>
    <xf numFmtId="173" fontId="2" fillId="0" borderId="0" xfId="1" applyNumberFormat="1"/>
    <xf numFmtId="9" fontId="2" fillId="0" borderId="0" xfId="1" applyNumberFormat="1"/>
    <xf numFmtId="171" fontId="24" fillId="0" borderId="0" xfId="1" applyNumberFormat="1" applyFont="1"/>
    <xf numFmtId="1" fontId="2" fillId="0" borderId="0" xfId="1" applyNumberFormat="1" applyAlignment="1">
      <alignment horizontal="center"/>
    </xf>
    <xf numFmtId="0" fontId="12" fillId="0" borderId="0" xfId="0" quotePrefix="1" applyFont="1" applyAlignment="1">
      <alignment wrapText="1"/>
    </xf>
    <xf numFmtId="2" fontId="2" fillId="5" borderId="0" xfId="1" applyNumberFormat="1" applyFill="1" applyAlignment="1" applyProtection="1">
      <alignment horizontal="center"/>
      <protection locked="0"/>
    </xf>
    <xf numFmtId="165" fontId="2" fillId="5" borderId="9" xfId="1" applyNumberFormat="1" applyFill="1" applyBorder="1" applyAlignment="1" applyProtection="1">
      <alignment horizontal="center"/>
      <protection locked="0"/>
    </xf>
    <xf numFmtId="0" fontId="12" fillId="0" borderId="0" xfId="0" quotePrefix="1" applyFont="1"/>
    <xf numFmtId="0" fontId="26" fillId="0" borderId="0" xfId="0" applyFont="1"/>
    <xf numFmtId="0" fontId="28" fillId="0" borderId="0" xfId="0" applyFont="1"/>
    <xf numFmtId="0" fontId="3" fillId="0" borderId="0" xfId="0" applyFont="1"/>
    <xf numFmtId="164" fontId="3" fillId="0" borderId="0" xfId="0" applyNumberFormat="1" applyFont="1"/>
    <xf numFmtId="169" fontId="3" fillId="0" borderId="0" xfId="0" applyNumberFormat="1" applyFont="1" applyAlignment="1">
      <alignment horizontal="center"/>
    </xf>
    <xf numFmtId="49" fontId="3" fillId="0" borderId="0" xfId="0" quotePrefix="1" applyNumberFormat="1" applyFont="1"/>
    <xf numFmtId="169" fontId="3" fillId="0" borderId="0" xfId="0" quotePrefix="1" applyNumberFormat="1" applyFont="1" applyAlignment="1">
      <alignment horizontal="center"/>
    </xf>
    <xf numFmtId="0" fontId="30" fillId="0" borderId="0" xfId="0" applyFont="1" applyAlignment="1">
      <alignment horizontal="center"/>
    </xf>
    <xf numFmtId="0" fontId="30" fillId="0" borderId="0" xfId="0" applyFont="1"/>
    <xf numFmtId="0" fontId="3" fillId="0" borderId="0" xfId="0" applyFont="1" applyAlignment="1">
      <alignment horizontal="center"/>
    </xf>
    <xf numFmtId="49" fontId="3" fillId="0" borderId="0" xfId="0" applyNumberFormat="1" applyFont="1"/>
    <xf numFmtId="169" fontId="28" fillId="0" borderId="0" xfId="0" applyNumberFormat="1" applyFont="1" applyAlignment="1">
      <alignment horizontal="center"/>
    </xf>
    <xf numFmtId="0" fontId="3" fillId="0" borderId="0" xfId="0" applyFont="1" applyAlignment="1">
      <alignment horizontal="left"/>
    </xf>
    <xf numFmtId="0" fontId="30" fillId="0" borderId="0" xfId="0" applyFont="1" applyAlignment="1">
      <alignment horizontal="right"/>
    </xf>
    <xf numFmtId="0" fontId="30" fillId="0" borderId="0" xfId="0" applyFont="1" applyAlignment="1">
      <alignment horizontal="left"/>
    </xf>
    <xf numFmtId="169" fontId="30" fillId="0" borderId="0" xfId="0" applyNumberFormat="1" applyFont="1" applyAlignment="1">
      <alignment horizontal="center"/>
    </xf>
    <xf numFmtId="0" fontId="12" fillId="0" borderId="0" xfId="0" applyFont="1" applyAlignment="1">
      <alignment horizontal="left"/>
    </xf>
    <xf numFmtId="0" fontId="31" fillId="0" borderId="0" xfId="6" applyFont="1" applyFill="1" applyBorder="1"/>
    <xf numFmtId="0" fontId="2" fillId="6" borderId="18" xfId="1" applyFill="1" applyBorder="1"/>
    <xf numFmtId="0" fontId="2" fillId="6" borderId="19" xfId="1" applyFill="1" applyBorder="1"/>
    <xf numFmtId="1" fontId="2" fillId="6" borderId="0" xfId="1" applyNumberFormat="1" applyFill="1" applyAlignment="1">
      <alignment horizontal="center"/>
    </xf>
    <xf numFmtId="0" fontId="2" fillId="6" borderId="0" xfId="1" applyFill="1" applyAlignment="1">
      <alignment horizontal="center"/>
    </xf>
    <xf numFmtId="0" fontId="22" fillId="6" borderId="0" xfId="1" applyFont="1" applyFill="1" applyAlignment="1">
      <alignment horizontal="left"/>
    </xf>
    <xf numFmtId="0" fontId="22" fillId="6" borderId="9" xfId="1" applyFont="1" applyFill="1" applyBorder="1" applyAlignment="1">
      <alignment horizontal="left"/>
    </xf>
    <xf numFmtId="0" fontId="10" fillId="7" borderId="16" xfId="1" applyFont="1" applyFill="1" applyBorder="1" applyAlignment="1">
      <alignment horizontal="left"/>
    </xf>
    <xf numFmtId="0" fontId="10" fillId="7" borderId="26" xfId="1" applyFont="1" applyFill="1" applyBorder="1" applyAlignment="1">
      <alignment horizontal="center"/>
    </xf>
    <xf numFmtId="0" fontId="2" fillId="6" borderId="16" xfId="1" applyFill="1" applyBorder="1"/>
    <xf numFmtId="0" fontId="22" fillId="6" borderId="0" xfId="1" applyFont="1" applyFill="1" applyAlignment="1">
      <alignment horizontal="center"/>
    </xf>
    <xf numFmtId="0" fontId="2" fillId="6" borderId="9" xfId="1" applyFill="1" applyBorder="1" applyAlignment="1">
      <alignment horizontal="center"/>
    </xf>
    <xf numFmtId="0" fontId="2" fillId="6" borderId="18" xfId="1" applyFill="1" applyBorder="1" applyAlignment="1">
      <alignment horizontal="left"/>
    </xf>
    <xf numFmtId="0" fontId="2" fillId="6" borderId="18" xfId="1" applyFill="1" applyBorder="1" applyAlignment="1">
      <alignment vertical="center"/>
    </xf>
    <xf numFmtId="0" fontId="10" fillId="7" borderId="16" xfId="1" applyFont="1" applyFill="1" applyBorder="1"/>
    <xf numFmtId="0" fontId="2" fillId="6" borderId="19" xfId="1" applyFill="1" applyBorder="1" applyAlignment="1">
      <alignment horizontal="left" wrapText="1"/>
    </xf>
    <xf numFmtId="0" fontId="2" fillId="6" borderId="18" xfId="4" applyFill="1" applyBorder="1"/>
    <xf numFmtId="0" fontId="2" fillId="6" borderId="18" xfId="1" applyFill="1" applyBorder="1" applyAlignment="1">
      <alignment horizontal="left" wrapText="1"/>
    </xf>
    <xf numFmtId="0" fontId="2" fillId="6" borderId="19" xfId="1" applyFill="1" applyBorder="1" applyAlignment="1">
      <alignment horizontal="left"/>
    </xf>
    <xf numFmtId="0" fontId="2" fillId="6" borderId="19" xfId="4" applyFill="1" applyBorder="1"/>
    <xf numFmtId="0" fontId="10" fillId="7" borderId="17" xfId="1" applyFont="1" applyFill="1" applyBorder="1" applyAlignment="1">
      <alignment horizontal="center"/>
    </xf>
    <xf numFmtId="0" fontId="10" fillId="7" borderId="16" xfId="0" applyFont="1" applyFill="1" applyBorder="1" applyAlignment="1">
      <alignment vertical="center"/>
    </xf>
    <xf numFmtId="1" fontId="14" fillId="8" borderId="0" xfId="1" applyNumberFormat="1" applyFont="1" applyFill="1" applyAlignment="1">
      <alignment horizontal="center"/>
    </xf>
    <xf numFmtId="1" fontId="2" fillId="9" borderId="0" xfId="1" applyNumberFormat="1" applyFill="1" applyAlignment="1" applyProtection="1">
      <alignment horizontal="center"/>
      <protection locked="0"/>
    </xf>
    <xf numFmtId="166" fontId="2" fillId="9" borderId="0" xfId="1" applyNumberFormat="1" applyFill="1" applyAlignment="1" applyProtection="1">
      <alignment horizontal="center"/>
      <protection locked="0"/>
    </xf>
    <xf numFmtId="165" fontId="12" fillId="9" borderId="9" xfId="0" applyNumberFormat="1" applyFont="1" applyFill="1" applyBorder="1" applyAlignment="1">
      <alignment horizontal="center"/>
    </xf>
    <xf numFmtId="2" fontId="2" fillId="9" borderId="9" xfId="1" applyNumberFormat="1" applyFill="1" applyBorder="1" applyAlignment="1">
      <alignment horizontal="right"/>
    </xf>
    <xf numFmtId="2" fontId="2" fillId="9" borderId="20" xfId="1" applyNumberFormat="1" applyFill="1" applyBorder="1" applyAlignment="1">
      <alignment horizontal="right"/>
    </xf>
    <xf numFmtId="1" fontId="2" fillId="10" borderId="0" xfId="1" applyNumberFormat="1" applyFill="1" applyAlignment="1" applyProtection="1">
      <alignment horizontal="center"/>
      <protection locked="0"/>
    </xf>
    <xf numFmtId="1" fontId="2" fillId="10" borderId="9" xfId="1" applyNumberFormat="1" applyFill="1" applyBorder="1" applyAlignment="1" applyProtection="1">
      <alignment horizontal="center"/>
      <protection locked="0"/>
    </xf>
    <xf numFmtId="2" fontId="2" fillId="10" borderId="0" xfId="1" applyNumberFormat="1" applyFill="1" applyAlignment="1" applyProtection="1">
      <alignment horizontal="center"/>
      <protection locked="0"/>
    </xf>
    <xf numFmtId="2" fontId="2" fillId="10" borderId="9" xfId="1" applyNumberFormat="1" applyFill="1" applyBorder="1" applyAlignment="1" applyProtection="1">
      <alignment horizontal="center"/>
      <protection locked="0"/>
    </xf>
    <xf numFmtId="165" fontId="2" fillId="10" borderId="0" xfId="1" applyNumberFormat="1" applyFill="1" applyAlignment="1" applyProtection="1">
      <alignment horizontal="center"/>
      <protection locked="0"/>
    </xf>
    <xf numFmtId="0" fontId="2" fillId="10" borderId="0" xfId="1" applyFill="1" applyAlignment="1" applyProtection="1">
      <alignment horizontal="center"/>
      <protection locked="0"/>
    </xf>
    <xf numFmtId="0" fontId="2" fillId="10" borderId="9" xfId="1" applyFill="1" applyBorder="1" applyAlignment="1" applyProtection="1">
      <alignment horizontal="center"/>
      <protection locked="0"/>
    </xf>
    <xf numFmtId="0" fontId="2" fillId="11" borderId="0" xfId="1" applyFill="1" applyAlignment="1" applyProtection="1">
      <alignment horizontal="center"/>
      <protection locked="0"/>
    </xf>
    <xf numFmtId="0" fontId="2" fillId="8" borderId="10" xfId="1" applyFill="1" applyBorder="1"/>
    <xf numFmtId="0" fontId="2" fillId="9" borderId="10" xfId="1" applyFill="1" applyBorder="1"/>
    <xf numFmtId="0" fontId="2" fillId="10" borderId="10" xfId="1" applyFill="1" applyBorder="1"/>
    <xf numFmtId="0" fontId="3" fillId="10" borderId="2" xfId="8" applyFont="1" applyFill="1" applyBorder="1" applyAlignment="1">
      <alignment horizontal="center"/>
    </xf>
    <xf numFmtId="0" fontId="3" fillId="10" borderId="20" xfId="8" applyFont="1" applyFill="1" applyBorder="1" applyAlignment="1">
      <alignment horizontal="center"/>
    </xf>
    <xf numFmtId="0" fontId="2" fillId="6" borderId="21" xfId="1" applyFill="1" applyBorder="1" applyAlignment="1">
      <alignment horizontal="left" vertical="center"/>
    </xf>
    <xf numFmtId="0" fontId="2" fillId="6" borderId="22" xfId="1" applyFill="1" applyBorder="1" applyAlignment="1">
      <alignment horizontal="left" vertical="center" wrapText="1"/>
    </xf>
    <xf numFmtId="176" fontId="2" fillId="6" borderId="23" xfId="1" applyNumberFormat="1" applyFill="1" applyBorder="1" applyAlignment="1">
      <alignment horizontal="left" vertical="center" wrapText="1"/>
    </xf>
    <xf numFmtId="0" fontId="17" fillId="6" borderId="23" xfId="1" applyFont="1" applyFill="1" applyBorder="1" applyAlignment="1">
      <alignment horizontal="left" vertical="center" wrapText="1"/>
    </xf>
    <xf numFmtId="0" fontId="2" fillId="6" borderId="24" xfId="1" applyFill="1" applyBorder="1" applyAlignment="1">
      <alignment horizontal="left" vertical="center"/>
    </xf>
    <xf numFmtId="0" fontId="2" fillId="6" borderId="25" xfId="1" applyFill="1" applyBorder="1" applyAlignment="1">
      <alignment horizontal="left" vertical="center" wrapText="1"/>
    </xf>
    <xf numFmtId="0" fontId="14" fillId="7" borderId="29" xfId="0" applyFont="1" applyFill="1" applyBorder="1" applyAlignment="1">
      <alignment horizontal="left"/>
    </xf>
    <xf numFmtId="0" fontId="12" fillId="7" borderId="30" xfId="0" applyFont="1" applyFill="1" applyBorder="1" applyAlignment="1">
      <alignment horizontal="left"/>
    </xf>
    <xf numFmtId="0" fontId="12" fillId="7" borderId="30" xfId="0" applyFont="1" applyFill="1" applyBorder="1"/>
    <xf numFmtId="169" fontId="12" fillId="7" borderId="30" xfId="0" applyNumberFormat="1" applyFont="1" applyFill="1" applyBorder="1" applyAlignment="1">
      <alignment horizontal="center"/>
    </xf>
    <xf numFmtId="169" fontId="12" fillId="7" borderId="30" xfId="0" applyNumberFormat="1" applyFont="1" applyFill="1" applyBorder="1"/>
    <xf numFmtId="169" fontId="2" fillId="7" borderId="30" xfId="0" applyNumberFormat="1" applyFont="1" applyFill="1" applyBorder="1" applyAlignment="1">
      <alignment horizontal="center"/>
    </xf>
    <xf numFmtId="174" fontId="12" fillId="7" borderId="30" xfId="0" applyNumberFormat="1" applyFont="1" applyFill="1" applyBorder="1" applyAlignment="1">
      <alignment horizontal="center"/>
    </xf>
    <xf numFmtId="1" fontId="12" fillId="7" borderId="30" xfId="0" applyNumberFormat="1" applyFont="1" applyFill="1" applyBorder="1" applyAlignment="1">
      <alignment horizontal="center"/>
    </xf>
    <xf numFmtId="0" fontId="12" fillId="7" borderId="30" xfId="0" applyFont="1" applyFill="1" applyBorder="1" applyAlignment="1">
      <alignment horizontal="center"/>
    </xf>
    <xf numFmtId="165" fontId="10" fillId="7" borderId="0" xfId="0" applyNumberFormat="1" applyFont="1" applyFill="1" applyAlignment="1">
      <alignment horizontal="left" vertical="center"/>
    </xf>
    <xf numFmtId="165" fontId="10" fillId="7" borderId="0" xfId="0" applyNumberFormat="1" applyFont="1" applyFill="1" applyAlignment="1">
      <alignment horizontal="center" vertical="center" wrapText="1"/>
    </xf>
    <xf numFmtId="1" fontId="10" fillId="7" borderId="0" xfId="0" applyNumberFormat="1" applyFont="1" applyFill="1" applyAlignment="1">
      <alignment horizontal="center" vertical="center" wrapText="1"/>
    </xf>
    <xf numFmtId="169" fontId="10" fillId="7" borderId="0" xfId="0" applyNumberFormat="1" applyFont="1" applyFill="1" applyAlignment="1">
      <alignment horizontal="center" vertical="center" wrapText="1"/>
    </xf>
    <xf numFmtId="164" fontId="10" fillId="7" borderId="0" xfId="0" applyNumberFormat="1" applyFont="1" applyFill="1" applyAlignment="1">
      <alignment horizontal="center" vertical="center" wrapText="1"/>
    </xf>
    <xf numFmtId="1" fontId="10" fillId="7" borderId="0" xfId="0" applyNumberFormat="1" applyFont="1" applyFill="1" applyAlignment="1">
      <alignment horizontal="center" vertical="center"/>
    </xf>
    <xf numFmtId="0" fontId="10" fillId="7" borderId="0" xfId="0" applyFont="1" applyFill="1" applyAlignment="1">
      <alignment horizontal="center" vertical="center" wrapText="1"/>
    </xf>
    <xf numFmtId="1" fontId="10" fillId="7" borderId="0" xfId="0" applyNumberFormat="1" applyFont="1" applyFill="1" applyAlignment="1">
      <alignment horizontal="center"/>
    </xf>
    <xf numFmtId="0" fontId="10" fillId="7" borderId="0" xfId="0" applyFont="1" applyFill="1" applyAlignment="1">
      <alignment horizontal="center"/>
    </xf>
    <xf numFmtId="165" fontId="10" fillId="7" borderId="0" xfId="0" applyNumberFormat="1" applyFont="1" applyFill="1" applyAlignment="1">
      <alignment horizontal="center" vertical="center"/>
    </xf>
    <xf numFmtId="1" fontId="10" fillId="7" borderId="0" xfId="0" applyNumberFormat="1" applyFont="1" applyFill="1" applyAlignment="1">
      <alignment horizontal="left" vertical="center"/>
    </xf>
    <xf numFmtId="169" fontId="10" fillId="7" borderId="0" xfId="0" applyNumberFormat="1" applyFont="1" applyFill="1" applyAlignment="1">
      <alignment horizontal="center"/>
    </xf>
    <xf numFmtId="0" fontId="10" fillId="0" borderId="0" xfId="0" applyFont="1"/>
    <xf numFmtId="1" fontId="10" fillId="0" borderId="0" xfId="0" applyNumberFormat="1" applyFont="1"/>
    <xf numFmtId="0" fontId="12" fillId="0" borderId="0" xfId="0" applyFont="1" applyAlignment="1">
      <alignment vertical="center"/>
    </xf>
    <xf numFmtId="0" fontId="26" fillId="7" borderId="3" xfId="0" applyFont="1" applyFill="1" applyBorder="1" applyAlignment="1">
      <alignment horizontal="left"/>
    </xf>
    <xf numFmtId="0" fontId="27" fillId="7" borderId="4" xfId="0" applyFont="1" applyFill="1" applyBorder="1"/>
    <xf numFmtId="0" fontId="27" fillId="7" borderId="15" xfId="0" applyFont="1" applyFill="1" applyBorder="1"/>
    <xf numFmtId="0" fontId="28" fillId="7" borderId="6" xfId="0" applyFont="1" applyFill="1" applyBorder="1" applyAlignment="1">
      <alignment horizontal="center"/>
    </xf>
    <xf numFmtId="0" fontId="29" fillId="7" borderId="0" xfId="0" applyFont="1" applyFill="1"/>
    <xf numFmtId="0" fontId="29" fillId="7" borderId="1" xfId="0" applyFont="1" applyFill="1" applyBorder="1" applyAlignment="1">
      <alignment horizontal="center"/>
    </xf>
    <xf numFmtId="0" fontId="29" fillId="7" borderId="0" xfId="0" applyFont="1" applyFill="1" applyAlignment="1">
      <alignment horizontal="center"/>
    </xf>
    <xf numFmtId="0" fontId="29" fillId="7" borderId="1" xfId="0" applyFont="1" applyFill="1" applyBorder="1"/>
    <xf numFmtId="0" fontId="29" fillId="7" borderId="7" xfId="0" applyFont="1" applyFill="1" applyBorder="1"/>
    <xf numFmtId="0" fontId="3" fillId="7" borderId="4" xfId="0" applyFont="1" applyFill="1" applyBorder="1"/>
    <xf numFmtId="49" fontId="28" fillId="7" borderId="15" xfId="0" quotePrefix="1" applyNumberFormat="1" applyFont="1" applyFill="1" applyBorder="1"/>
    <xf numFmtId="49" fontId="28" fillId="7" borderId="1" xfId="0" quotePrefix="1" applyNumberFormat="1" applyFont="1" applyFill="1" applyBorder="1"/>
    <xf numFmtId="164" fontId="26" fillId="7" borderId="3" xfId="0" applyNumberFormat="1" applyFont="1" applyFill="1" applyBorder="1"/>
    <xf numFmtId="0" fontId="28" fillId="7" borderId="4" xfId="0" applyFont="1" applyFill="1" applyBorder="1"/>
    <xf numFmtId="169" fontId="28" fillId="7" borderId="4" xfId="0" applyNumberFormat="1" applyFont="1" applyFill="1" applyBorder="1" applyAlignment="1">
      <alignment horizontal="center"/>
    </xf>
    <xf numFmtId="169" fontId="28" fillId="7" borderId="4" xfId="0" quotePrefix="1" applyNumberFormat="1" applyFont="1" applyFill="1" applyBorder="1" applyAlignment="1">
      <alignment horizontal="center"/>
    </xf>
    <xf numFmtId="49" fontId="28" fillId="7" borderId="4" xfId="0" quotePrefix="1" applyNumberFormat="1" applyFont="1" applyFill="1" applyBorder="1"/>
    <xf numFmtId="49" fontId="28" fillId="7" borderId="5" xfId="0" quotePrefix="1" applyNumberFormat="1" applyFont="1" applyFill="1" applyBorder="1"/>
    <xf numFmtId="0" fontId="28" fillId="7" borderId="6" xfId="0" applyFont="1" applyFill="1" applyBorder="1"/>
    <xf numFmtId="49" fontId="28" fillId="7" borderId="0" xfId="0" applyNumberFormat="1" applyFont="1" applyFill="1"/>
    <xf numFmtId="0" fontId="28" fillId="7" borderId="0" xfId="0" applyFont="1" applyFill="1" applyAlignment="1">
      <alignment horizontal="center"/>
    </xf>
    <xf numFmtId="49" fontId="28" fillId="7" borderId="1" xfId="0" applyNumberFormat="1" applyFont="1" applyFill="1" applyBorder="1"/>
    <xf numFmtId="0" fontId="28" fillId="7" borderId="0" xfId="0" applyFont="1" applyFill="1"/>
    <xf numFmtId="49" fontId="28" fillId="7" borderId="7" xfId="0" applyNumberFormat="1" applyFont="1" applyFill="1" applyBorder="1"/>
    <xf numFmtId="0" fontId="3" fillId="6" borderId="6" xfId="0" applyFont="1" applyFill="1" applyBorder="1" applyAlignment="1">
      <alignment horizontal="center"/>
    </xf>
    <xf numFmtId="49" fontId="3" fillId="6" borderId="0" xfId="0" applyNumberFormat="1" applyFont="1" applyFill="1"/>
    <xf numFmtId="0" fontId="3" fillId="6" borderId="0" xfId="0" applyFont="1" applyFill="1"/>
    <xf numFmtId="49" fontId="3" fillId="6" borderId="2" xfId="0" quotePrefix="1" applyNumberFormat="1" applyFont="1" applyFill="1" applyBorder="1"/>
    <xf numFmtId="0" fontId="3" fillId="6" borderId="7" xfId="0" applyFont="1" applyFill="1" applyBorder="1"/>
    <xf numFmtId="0" fontId="3" fillId="6" borderId="0" xfId="0" applyFont="1" applyFill="1" applyAlignment="1">
      <alignment horizontal="center"/>
    </xf>
    <xf numFmtId="49" fontId="3" fillId="6" borderId="12" xfId="0" applyNumberFormat="1" applyFont="1" applyFill="1" applyBorder="1"/>
    <xf numFmtId="0" fontId="3" fillId="6" borderId="12" xfId="0" applyFont="1" applyFill="1" applyBorder="1" applyAlignment="1">
      <alignment horizontal="center"/>
    </xf>
    <xf numFmtId="0" fontId="3" fillId="6" borderId="0" xfId="0" applyFont="1" applyFill="1" applyAlignment="1">
      <alignment horizontal="left"/>
    </xf>
    <xf numFmtId="0" fontId="3" fillId="6" borderId="12" xfId="0" applyFont="1" applyFill="1" applyBorder="1" applyAlignment="1">
      <alignment horizontal="left"/>
    </xf>
    <xf numFmtId="0" fontId="3" fillId="6" borderId="13" xfId="0" applyFont="1" applyFill="1" applyBorder="1"/>
    <xf numFmtId="0" fontId="3" fillId="6" borderId="7" xfId="0" applyFont="1" applyFill="1" applyBorder="1" applyAlignment="1">
      <alignment horizontal="left"/>
    </xf>
    <xf numFmtId="0" fontId="3" fillId="6" borderId="13" xfId="0" applyFont="1" applyFill="1" applyBorder="1" applyAlignment="1">
      <alignment horizontal="left"/>
    </xf>
    <xf numFmtId="0" fontId="3" fillId="6" borderId="6" xfId="0" applyFont="1" applyFill="1" applyBorder="1"/>
    <xf numFmtId="0" fontId="3" fillId="6" borderId="0" xfId="0" quotePrefix="1" applyFont="1" applyFill="1" applyAlignment="1">
      <alignment horizontal="center"/>
    </xf>
    <xf numFmtId="0" fontId="3" fillId="6" borderId="0" xfId="0" applyFont="1" applyFill="1" applyAlignment="1">
      <alignment horizontal="center" vertical="center"/>
    </xf>
    <xf numFmtId="0" fontId="3" fillId="6" borderId="6" xfId="0" applyFont="1" applyFill="1" applyBorder="1" applyAlignment="1">
      <alignment horizontal="left"/>
    </xf>
    <xf numFmtId="0" fontId="3" fillId="6" borderId="11" xfId="0" applyFont="1" applyFill="1" applyBorder="1" applyAlignment="1">
      <alignment horizontal="left"/>
    </xf>
    <xf numFmtId="0" fontId="3" fillId="6" borderId="2" xfId="0" applyFont="1" applyFill="1" applyBorder="1" applyAlignment="1">
      <alignment horizontal="left"/>
    </xf>
    <xf numFmtId="0" fontId="3" fillId="6" borderId="14" xfId="0" applyFont="1" applyFill="1" applyBorder="1" applyAlignment="1">
      <alignment horizontal="left"/>
    </xf>
    <xf numFmtId="169" fontId="28" fillId="8" borderId="0" xfId="0" applyNumberFormat="1" applyFont="1" applyFill="1" applyAlignment="1">
      <alignment horizontal="center"/>
    </xf>
    <xf numFmtId="169" fontId="28" fillId="8" borderId="12" xfId="0" applyNumberFormat="1" applyFont="1" applyFill="1" applyBorder="1" applyAlignment="1">
      <alignment horizontal="center"/>
    </xf>
    <xf numFmtId="177" fontId="3" fillId="9" borderId="0" xfId="0" applyNumberFormat="1" applyFont="1" applyFill="1"/>
    <xf numFmtId="0" fontId="3" fillId="6" borderId="0" xfId="0" quotePrefix="1" applyFont="1" applyFill="1" applyAlignment="1">
      <alignment horizontal="right"/>
    </xf>
    <xf numFmtId="0" fontId="3" fillId="10" borderId="0" xfId="0" applyFont="1" applyFill="1"/>
    <xf numFmtId="9" fontId="3" fillId="10" borderId="0" xfId="0" applyNumberFormat="1" applyFont="1" applyFill="1"/>
    <xf numFmtId="0" fontId="3" fillId="10" borderId="12" xfId="0" applyFont="1" applyFill="1" applyBorder="1"/>
    <xf numFmtId="0" fontId="2" fillId="6" borderId="0" xfId="1" applyFill="1" applyAlignment="1">
      <alignment horizontal="left"/>
    </xf>
    <xf numFmtId="0" fontId="2" fillId="6" borderId="2" xfId="1" applyFill="1" applyBorder="1" applyAlignment="1">
      <alignment horizontal="left"/>
    </xf>
    <xf numFmtId="0" fontId="2" fillId="6" borderId="9" xfId="1" applyFill="1" applyBorder="1" applyAlignment="1">
      <alignment horizontal="left"/>
    </xf>
    <xf numFmtId="0" fontId="2" fillId="6" borderId="20" xfId="1" applyFill="1" applyBorder="1" applyAlignment="1">
      <alignment horizontal="left"/>
    </xf>
    <xf numFmtId="0" fontId="12" fillId="12" borderId="32" xfId="0" applyFont="1" applyFill="1" applyBorder="1" applyAlignment="1">
      <alignment horizontal="center"/>
    </xf>
    <xf numFmtId="1" fontId="13" fillId="12" borderId="26" xfId="6" applyNumberFormat="1" applyFont="1" applyFill="1" applyBorder="1" applyAlignment="1">
      <alignment horizontal="left" vertical="center"/>
    </xf>
    <xf numFmtId="169" fontId="12" fillId="12" borderId="26" xfId="6" applyNumberFormat="1" applyFont="1" applyFill="1" applyBorder="1" applyAlignment="1">
      <alignment horizontal="center" vertical="center"/>
    </xf>
    <xf numFmtId="1" fontId="12" fillId="12" borderId="26" xfId="6" applyNumberFormat="1" applyFont="1" applyFill="1" applyBorder="1" applyAlignment="1">
      <alignment horizontal="center" vertical="center"/>
    </xf>
    <xf numFmtId="169" fontId="2" fillId="12" borderId="26" xfId="7" applyNumberFormat="1" applyFont="1" applyFill="1" applyBorder="1" applyAlignment="1">
      <alignment horizontal="center" vertical="center"/>
    </xf>
    <xf numFmtId="1" fontId="12" fillId="12" borderId="26" xfId="0" applyNumberFormat="1" applyFont="1" applyFill="1" applyBorder="1" applyAlignment="1">
      <alignment horizontal="center" vertical="center"/>
    </xf>
    <xf numFmtId="175" fontId="12" fillId="12" borderId="26" xfId="0" applyNumberFormat="1" applyFont="1" applyFill="1" applyBorder="1" applyAlignment="1">
      <alignment horizontal="center" vertical="center"/>
    </xf>
    <xf numFmtId="0" fontId="12" fillId="12" borderId="0" xfId="0" applyFont="1" applyFill="1" applyAlignment="1">
      <alignment vertical="center"/>
    </xf>
    <xf numFmtId="0" fontId="12" fillId="13" borderId="0" xfId="0" applyFont="1" applyFill="1" applyAlignment="1">
      <alignment vertical="center"/>
    </xf>
    <xf numFmtId="0" fontId="12" fillId="14" borderId="0" xfId="0" applyFont="1" applyFill="1" applyAlignment="1">
      <alignment vertical="center"/>
    </xf>
    <xf numFmtId="164" fontId="12" fillId="0" borderId="0" xfId="6" applyNumberFormat="1" applyFont="1" applyFill="1" applyBorder="1" applyAlignment="1">
      <alignment horizontal="center" vertical="center"/>
    </xf>
    <xf numFmtId="0" fontId="10" fillId="7" borderId="0" xfId="0" applyFont="1" applyFill="1"/>
    <xf numFmtId="1" fontId="10" fillId="7" borderId="0" xfId="0" applyNumberFormat="1" applyFont="1" applyFill="1"/>
    <xf numFmtId="0" fontId="10" fillId="7" borderId="0" xfId="0" applyFont="1" applyFill="1" applyAlignment="1">
      <alignment wrapText="1"/>
    </xf>
    <xf numFmtId="0" fontId="10" fillId="16" borderId="0" xfId="1" applyFont="1" applyFill="1" applyAlignment="1">
      <alignment horizontal="center"/>
    </xf>
    <xf numFmtId="0" fontId="2" fillId="16" borderId="0" xfId="1" applyFill="1" applyAlignment="1">
      <alignment horizontal="center"/>
    </xf>
    <xf numFmtId="0" fontId="10" fillId="7" borderId="33" xfId="1" applyFont="1" applyFill="1" applyBorder="1"/>
    <xf numFmtId="0" fontId="2" fillId="6" borderId="34" xfId="1" applyFill="1" applyBorder="1"/>
    <xf numFmtId="0" fontId="2" fillId="6" borderId="35" xfId="1" applyFill="1" applyBorder="1"/>
    <xf numFmtId="0" fontId="10" fillId="7" borderId="0" xfId="0" applyFont="1" applyFill="1" applyAlignment="1">
      <alignment vertical="top" wrapText="1"/>
    </xf>
    <xf numFmtId="164" fontId="2" fillId="0" borderId="0" xfId="7" applyNumberFormat="1" applyFont="1" applyFill="1" applyBorder="1" applyAlignment="1">
      <alignment horizontal="center" vertical="center"/>
    </xf>
    <xf numFmtId="49" fontId="3" fillId="6" borderId="0" xfId="0" applyNumberFormat="1" applyFont="1" applyFill="1" applyAlignment="1">
      <alignment horizontal="center"/>
    </xf>
    <xf numFmtId="49" fontId="3" fillId="6" borderId="0" xfId="0" quotePrefix="1" applyNumberFormat="1" applyFont="1" applyFill="1"/>
    <xf numFmtId="0" fontId="14" fillId="7" borderId="0" xfId="1" applyFont="1" applyFill="1" applyAlignment="1">
      <alignment horizontal="right"/>
    </xf>
    <xf numFmtId="0" fontId="14" fillId="7" borderId="0" xfId="1" applyFont="1" applyFill="1" applyAlignment="1">
      <alignment horizontal="center"/>
    </xf>
    <xf numFmtId="0" fontId="2" fillId="6" borderId="0" xfId="1" applyFill="1"/>
    <xf numFmtId="0" fontId="17" fillId="7" borderId="0" xfId="1" applyFont="1" applyFill="1" applyAlignment="1">
      <alignment horizontal="right"/>
    </xf>
    <xf numFmtId="1" fontId="2" fillId="6" borderId="0" xfId="1" applyNumberFormat="1" applyFill="1"/>
    <xf numFmtId="1" fontId="2" fillId="9" borderId="0" xfId="1" applyNumberFormat="1" applyFill="1"/>
    <xf numFmtId="0" fontId="2" fillId="9" borderId="0" xfId="1" applyFill="1"/>
    <xf numFmtId="0" fontId="2" fillId="10" borderId="0" xfId="1" applyFill="1" applyAlignment="1">
      <alignment horizontal="right" vertical="center"/>
    </xf>
    <xf numFmtId="178" fontId="2" fillId="6" borderId="0" xfId="1" applyNumberFormat="1" applyFill="1" applyAlignment="1" applyProtection="1">
      <alignment horizontal="center" vertical="center"/>
      <protection locked="0"/>
    </xf>
    <xf numFmtId="49" fontId="2" fillId="10" borderId="0" xfId="1" applyNumberFormat="1" applyFill="1" applyAlignment="1" applyProtection="1">
      <alignment horizontal="center"/>
      <protection locked="0"/>
    </xf>
    <xf numFmtId="49" fontId="3" fillId="6" borderId="6" xfId="0" applyNumberFormat="1" applyFont="1" applyFill="1" applyBorder="1" applyAlignment="1">
      <alignment horizontal="center"/>
    </xf>
    <xf numFmtId="49" fontId="3" fillId="6" borderId="11" xfId="0" applyNumberFormat="1" applyFont="1" applyFill="1" applyBorder="1" applyAlignment="1">
      <alignment horizontal="center"/>
    </xf>
    <xf numFmtId="49" fontId="12" fillId="0" borderId="0" xfId="6" applyNumberFormat="1" applyFont="1" applyFill="1" applyBorder="1" applyAlignment="1">
      <alignment horizontal="center" vertical="center"/>
    </xf>
    <xf numFmtId="9" fontId="2" fillId="10" borderId="0" xfId="9" applyFont="1" applyFill="1" applyAlignment="1" applyProtection="1">
      <alignment horizontal="center"/>
      <protection locked="0"/>
    </xf>
    <xf numFmtId="167" fontId="2" fillId="9" borderId="0" xfId="10" applyNumberFormat="1" applyFill="1" applyAlignment="1">
      <alignment horizontal="center"/>
    </xf>
    <xf numFmtId="9" fontId="2" fillId="9" borderId="0" xfId="10" applyFill="1" applyAlignment="1">
      <alignment horizontal="center"/>
    </xf>
    <xf numFmtId="13" fontId="2" fillId="10" borderId="9" xfId="10" applyNumberFormat="1" applyFill="1" applyBorder="1" applyAlignment="1" applyProtection="1">
      <alignment horizontal="center"/>
      <protection locked="0"/>
    </xf>
    <xf numFmtId="13" fontId="2" fillId="0" borderId="0" xfId="10" applyNumberFormat="1" applyAlignment="1" applyProtection="1">
      <alignment horizontal="center"/>
      <protection locked="0"/>
    </xf>
    <xf numFmtId="164" fontId="2" fillId="9" borderId="0" xfId="1" applyNumberFormat="1" applyFill="1" applyAlignment="1">
      <alignment horizontal="center" wrapText="1"/>
    </xf>
    <xf numFmtId="3" fontId="2" fillId="9" borderId="0" xfId="11" applyNumberFormat="1" applyFill="1" applyAlignment="1">
      <alignment horizontal="center"/>
    </xf>
    <xf numFmtId="0" fontId="2" fillId="10" borderId="0" xfId="10" applyNumberFormat="1" applyFill="1" applyAlignment="1" applyProtection="1">
      <alignment horizontal="center"/>
      <protection locked="0"/>
    </xf>
    <xf numFmtId="0" fontId="2" fillId="11" borderId="0" xfId="10" applyNumberFormat="1" applyFill="1" applyAlignment="1" applyProtection="1">
      <alignment horizontal="center"/>
      <protection locked="0"/>
    </xf>
    <xf numFmtId="164" fontId="2" fillId="11" borderId="0" xfId="10" applyNumberFormat="1" applyFill="1" applyAlignment="1" applyProtection="1">
      <alignment horizontal="center"/>
      <protection locked="0"/>
    </xf>
    <xf numFmtId="0" fontId="12" fillId="9" borderId="9" xfId="12" applyNumberFormat="1" applyFont="1" applyFill="1" applyBorder="1" applyAlignment="1">
      <alignment horizontal="center"/>
    </xf>
    <xf numFmtId="1" fontId="2" fillId="10" borderId="0" xfId="10" applyNumberFormat="1" applyFill="1" applyAlignment="1" applyProtection="1">
      <alignment horizontal="center"/>
      <protection locked="0"/>
    </xf>
    <xf numFmtId="0" fontId="2" fillId="5" borderId="0" xfId="10" applyNumberFormat="1" applyFill="1" applyAlignment="1" applyProtection="1">
      <alignment horizontal="center"/>
      <protection locked="0"/>
    </xf>
    <xf numFmtId="0" fontId="12" fillId="9" borderId="0" xfId="12" applyNumberFormat="1" applyFont="1" applyFill="1" applyAlignment="1">
      <alignment horizontal="center"/>
    </xf>
    <xf numFmtId="170" fontId="2" fillId="5" borderId="0" xfId="10" applyNumberFormat="1" applyFill="1" applyAlignment="1" applyProtection="1">
      <alignment horizontal="center"/>
      <protection locked="0"/>
    </xf>
    <xf numFmtId="9" fontId="2" fillId="5" borderId="0" xfId="10" applyFill="1" applyAlignment="1" applyProtection="1">
      <alignment horizontal="center"/>
      <protection locked="0"/>
    </xf>
    <xf numFmtId="170" fontId="2" fillId="5" borderId="9" xfId="10" applyNumberFormat="1" applyFill="1" applyBorder="1" applyAlignment="1" applyProtection="1">
      <alignment horizontal="center"/>
      <protection locked="0"/>
    </xf>
    <xf numFmtId="0" fontId="2" fillId="10" borderId="0" xfId="9" applyNumberFormat="1" applyFont="1" applyFill="1" applyAlignment="1" applyProtection="1">
      <alignment horizontal="center"/>
      <protection locked="0"/>
    </xf>
    <xf numFmtId="3" fontId="2" fillId="10" borderId="0" xfId="12" applyNumberFormat="1" applyFont="1" applyFill="1" applyAlignment="1" applyProtection="1">
      <alignment horizontal="center"/>
      <protection locked="0"/>
    </xf>
    <xf numFmtId="0" fontId="2" fillId="10" borderId="9" xfId="9" applyNumberFormat="1" applyFont="1" applyFill="1" applyBorder="1" applyAlignment="1">
      <alignment horizontal="center"/>
    </xf>
    <xf numFmtId="3" fontId="2" fillId="10" borderId="9" xfId="12" applyNumberFormat="1" applyFont="1" applyFill="1" applyBorder="1" applyAlignment="1" applyProtection="1">
      <alignment horizontal="center"/>
      <protection locked="0"/>
    </xf>
    <xf numFmtId="0" fontId="2" fillId="17" borderId="18" xfId="0" applyFont="1" applyFill="1" applyBorder="1" applyAlignment="1">
      <alignment horizontal="left"/>
    </xf>
    <xf numFmtId="0" fontId="2" fillId="18" borderId="0" xfId="0" applyFont="1" applyFill="1" applyAlignment="1">
      <alignment horizontal="center"/>
    </xf>
    <xf numFmtId="0" fontId="2" fillId="17" borderId="0" xfId="0" applyFont="1" applyFill="1" applyAlignment="1">
      <alignment horizontal="center"/>
    </xf>
    <xf numFmtId="0" fontId="2" fillId="5" borderId="9" xfId="9" applyNumberFormat="1" applyFont="1" applyFill="1" applyBorder="1" applyAlignment="1" applyProtection="1">
      <alignment horizontal="center"/>
      <protection locked="0"/>
    </xf>
    <xf numFmtId="9" fontId="2" fillId="5" borderId="9" xfId="9" applyFont="1" applyFill="1" applyBorder="1" applyAlignment="1" applyProtection="1">
      <alignment horizontal="center"/>
      <protection locked="0"/>
    </xf>
    <xf numFmtId="164" fontId="2" fillId="6" borderId="0" xfId="10" applyNumberFormat="1" applyFill="1" applyAlignment="1">
      <alignment horizontal="center" vertical="center"/>
    </xf>
    <xf numFmtId="164" fontId="2" fillId="6" borderId="9" xfId="10" applyNumberFormat="1" applyFill="1" applyBorder="1" applyAlignment="1">
      <alignment horizontal="center"/>
    </xf>
    <xf numFmtId="0" fontId="2" fillId="7" borderId="26" xfId="1" applyFill="1" applyBorder="1"/>
    <xf numFmtId="0" fontId="2" fillId="7" borderId="17" xfId="1" applyFill="1" applyBorder="1"/>
    <xf numFmtId="0" fontId="10" fillId="7" borderId="18" xfId="1" applyFont="1" applyFill="1" applyBorder="1" applyAlignment="1">
      <alignment horizontal="left"/>
    </xf>
    <xf numFmtId="0" fontId="14" fillId="7" borderId="2" xfId="1" applyFont="1" applyFill="1" applyBorder="1" applyAlignment="1">
      <alignment horizontal="center"/>
    </xf>
    <xf numFmtId="0" fontId="2" fillId="9" borderId="18" xfId="1" applyFill="1" applyBorder="1"/>
    <xf numFmtId="0" fontId="2" fillId="6" borderId="18" xfId="12" applyNumberFormat="1" applyFont="1" applyFill="1" applyBorder="1" applyAlignment="1">
      <alignment horizontal="left"/>
    </xf>
    <xf numFmtId="0" fontId="2" fillId="6" borderId="19" xfId="12" applyNumberFormat="1" applyFont="1" applyFill="1" applyBorder="1"/>
    <xf numFmtId="173" fontId="2" fillId="6" borderId="9" xfId="12" applyNumberFormat="1" applyFont="1" applyFill="1" applyBorder="1"/>
    <xf numFmtId="173" fontId="17" fillId="0" borderId="0" xfId="12" applyNumberFormat="1" applyFont="1"/>
    <xf numFmtId="4" fontId="2" fillId="9" borderId="0" xfId="1" applyNumberFormat="1" applyFill="1" applyAlignment="1" applyProtection="1">
      <alignment horizontal="center"/>
      <protection locked="0"/>
    </xf>
    <xf numFmtId="0" fontId="2" fillId="6" borderId="2" xfId="1" applyFill="1" applyBorder="1" applyAlignment="1">
      <alignment horizontal="center"/>
    </xf>
    <xf numFmtId="179" fontId="2" fillId="9" borderId="0" xfId="1" applyNumberFormat="1" applyFill="1" applyAlignment="1" applyProtection="1">
      <alignment horizontal="center"/>
      <protection locked="0"/>
    </xf>
    <xf numFmtId="173" fontId="2" fillId="0" borderId="0" xfId="12" applyNumberFormat="1" applyFont="1"/>
    <xf numFmtId="174" fontId="2" fillId="9" borderId="0" xfId="1" applyNumberFormat="1" applyFill="1" applyAlignment="1" applyProtection="1">
      <alignment horizontal="center"/>
      <protection locked="0"/>
    </xf>
    <xf numFmtId="0" fontId="2" fillId="6" borderId="17" xfId="1" applyFill="1" applyBorder="1" applyAlignment="1">
      <alignment horizontal="center"/>
    </xf>
    <xf numFmtId="0" fontId="2" fillId="6" borderId="20" xfId="1" applyFill="1" applyBorder="1" applyAlignment="1">
      <alignment horizontal="center"/>
    </xf>
    <xf numFmtId="169" fontId="28" fillId="8" borderId="0" xfId="0" quotePrefix="1" applyNumberFormat="1" applyFont="1" applyFill="1" applyAlignment="1">
      <alignment horizontal="center"/>
    </xf>
    <xf numFmtId="49" fontId="3" fillId="6" borderId="7" xfId="0" quotePrefix="1" applyNumberFormat="1" applyFont="1" applyFill="1" applyBorder="1"/>
    <xf numFmtId="49" fontId="3" fillId="6" borderId="2" xfId="0" applyNumberFormat="1" applyFont="1" applyFill="1" applyBorder="1" applyAlignment="1">
      <alignment horizontal="center"/>
    </xf>
    <xf numFmtId="3" fontId="3" fillId="0" borderId="0" xfId="0" applyNumberFormat="1" applyFont="1"/>
    <xf numFmtId="49" fontId="3" fillId="6" borderId="2" xfId="0" applyNumberFormat="1" applyFont="1" applyFill="1" applyBorder="1"/>
    <xf numFmtId="49" fontId="3" fillId="6" borderId="7" xfId="0" applyNumberFormat="1" applyFont="1" applyFill="1" applyBorder="1"/>
    <xf numFmtId="164" fontId="3" fillId="6" borderId="2" xfId="0" quotePrefix="1" applyNumberFormat="1" applyFont="1" applyFill="1" applyBorder="1"/>
    <xf numFmtId="164" fontId="3" fillId="6" borderId="7" xfId="0" quotePrefix="1" applyNumberFormat="1" applyFont="1" applyFill="1" applyBorder="1"/>
    <xf numFmtId="0" fontId="3" fillId="6" borderId="2" xfId="0" applyFont="1" applyFill="1" applyBorder="1" applyAlignment="1">
      <alignment horizontal="center"/>
    </xf>
    <xf numFmtId="49" fontId="34" fillId="6" borderId="7" xfId="0" quotePrefix="1" applyNumberFormat="1" applyFont="1" applyFill="1" applyBorder="1"/>
    <xf numFmtId="49" fontId="3" fillId="6" borderId="14" xfId="0" applyNumberFormat="1" applyFont="1" applyFill="1" applyBorder="1" applyAlignment="1">
      <alignment horizontal="center"/>
    </xf>
    <xf numFmtId="0" fontId="27" fillId="7" borderId="36" xfId="0" applyFont="1" applyFill="1" applyBorder="1"/>
    <xf numFmtId="49" fontId="28" fillId="7" borderId="36" xfId="0" quotePrefix="1" applyNumberFormat="1" applyFont="1" applyFill="1" applyBorder="1"/>
    <xf numFmtId="169" fontId="28" fillId="7" borderId="2" xfId="0" applyNumberFormat="1" applyFont="1" applyFill="1" applyBorder="1" applyAlignment="1">
      <alignment horizontal="center"/>
    </xf>
    <xf numFmtId="49" fontId="28" fillId="7" borderId="2" xfId="0" quotePrefix="1" applyNumberFormat="1" applyFont="1" applyFill="1" applyBorder="1"/>
    <xf numFmtId="169" fontId="3" fillId="6" borderId="2" xfId="0" applyNumberFormat="1" applyFont="1" applyFill="1" applyBorder="1" applyAlignment="1">
      <alignment horizontal="center"/>
    </xf>
    <xf numFmtId="0" fontId="3" fillId="6" borderId="2" xfId="0" applyFont="1" applyFill="1" applyBorder="1"/>
    <xf numFmtId="169" fontId="3" fillId="6" borderId="14" xfId="0" applyNumberFormat="1" applyFont="1" applyFill="1" applyBorder="1" applyAlignment="1">
      <alignment horizontal="center"/>
    </xf>
    <xf numFmtId="0" fontId="3" fillId="6" borderId="14" xfId="0" applyFont="1" applyFill="1" applyBorder="1"/>
    <xf numFmtId="0" fontId="3" fillId="6" borderId="14" xfId="0" applyFont="1" applyFill="1" applyBorder="1" applyAlignment="1">
      <alignment horizontal="center"/>
    </xf>
    <xf numFmtId="0" fontId="3" fillId="0" borderId="0" xfId="0" quotePrefix="1" applyFont="1"/>
    <xf numFmtId="169" fontId="3" fillId="10" borderId="0" xfId="13" applyNumberFormat="1" applyFont="1" applyFill="1" applyBorder="1" applyAlignment="1">
      <alignment horizontal="right"/>
    </xf>
    <xf numFmtId="164" fontId="3" fillId="10" borderId="0" xfId="13" applyNumberFormat="1" applyFont="1" applyFill="1" applyBorder="1" applyAlignment="1">
      <alignment horizontal="right"/>
    </xf>
    <xf numFmtId="169" fontId="3" fillId="10" borderId="0" xfId="13" applyNumberFormat="1" applyFont="1" applyFill="1" applyBorder="1"/>
    <xf numFmtId="169" fontId="3" fillId="9" borderId="0" xfId="13" applyNumberFormat="1" applyFont="1" applyFill="1" applyBorder="1"/>
    <xf numFmtId="2" fontId="3" fillId="9" borderId="0" xfId="13" applyNumberFormat="1" applyFont="1" applyFill="1" applyBorder="1"/>
    <xf numFmtId="169" fontId="3" fillId="10" borderId="0" xfId="13" applyNumberFormat="1" applyFont="1" applyFill="1" applyBorder="1" applyAlignment="1">
      <alignment vertical="center"/>
    </xf>
    <xf numFmtId="169" fontId="3" fillId="9" borderId="0" xfId="14" applyNumberFormat="1" applyFont="1" applyFill="1" applyBorder="1" applyAlignment="1">
      <alignment horizontal="right"/>
    </xf>
    <xf numFmtId="0" fontId="3" fillId="10" borderId="0" xfId="13" applyFont="1" applyFill="1" applyBorder="1" applyAlignment="1">
      <alignment horizontal="right"/>
    </xf>
    <xf numFmtId="3" fontId="35" fillId="6" borderId="0" xfId="1" applyNumberFormat="1" applyFont="1" applyFill="1" applyAlignment="1">
      <alignment horizontal="center"/>
    </xf>
    <xf numFmtId="0" fontId="36" fillId="6" borderId="0" xfId="1" applyFont="1" applyFill="1" applyAlignment="1">
      <alignment horizontal="center"/>
    </xf>
    <xf numFmtId="0" fontId="36" fillId="6" borderId="2" xfId="1" applyFont="1" applyFill="1" applyBorder="1" applyAlignment="1">
      <alignment horizontal="center"/>
    </xf>
    <xf numFmtId="0" fontId="36" fillId="7" borderId="0" xfId="1" applyFont="1" applyFill="1" applyAlignment="1">
      <alignment horizontal="center"/>
    </xf>
    <xf numFmtId="0" fontId="36" fillId="7" borderId="2" xfId="1" applyFont="1" applyFill="1" applyBorder="1" applyAlignment="1">
      <alignment horizontal="center"/>
    </xf>
    <xf numFmtId="0" fontId="35" fillId="6" borderId="0" xfId="1" applyFont="1" applyFill="1"/>
    <xf numFmtId="171" fontId="35" fillId="6" borderId="0" xfId="1" applyNumberFormat="1" applyFont="1" applyFill="1"/>
    <xf numFmtId="171" fontId="35" fillId="6" borderId="2" xfId="1" applyNumberFormat="1" applyFont="1" applyFill="1" applyBorder="1"/>
    <xf numFmtId="0" fontId="35" fillId="9" borderId="0" xfId="1" applyFont="1" applyFill="1"/>
    <xf numFmtId="171" fontId="35" fillId="9" borderId="0" xfId="11" applyNumberFormat="1" applyFont="1" applyFill="1"/>
    <xf numFmtId="171" fontId="35" fillId="9" borderId="2" xfId="11" applyNumberFormat="1" applyFont="1" applyFill="1" applyBorder="1"/>
    <xf numFmtId="172" fontId="35" fillId="6" borderId="0" xfId="1" applyNumberFormat="1" applyFont="1" applyFill="1"/>
    <xf numFmtId="172" fontId="35" fillId="6" borderId="2" xfId="1" applyNumberFormat="1" applyFont="1" applyFill="1" applyBorder="1"/>
    <xf numFmtId="3" fontId="35" fillId="6" borderId="0" xfId="1" applyNumberFormat="1" applyFont="1" applyFill="1"/>
    <xf numFmtId="3" fontId="35" fillId="9" borderId="0" xfId="1" applyNumberFormat="1" applyFont="1" applyFill="1"/>
    <xf numFmtId="171" fontId="35" fillId="9" borderId="0" xfId="1" applyNumberFormat="1" applyFont="1" applyFill="1"/>
    <xf numFmtId="171" fontId="35" fillId="9" borderId="2" xfId="1" applyNumberFormat="1" applyFont="1" applyFill="1" applyBorder="1"/>
    <xf numFmtId="173" fontId="35" fillId="6" borderId="0" xfId="12" applyNumberFormat="1" applyFont="1" applyFill="1"/>
    <xf numFmtId="173" fontId="35" fillId="6" borderId="2" xfId="12" applyNumberFormat="1" applyFont="1" applyFill="1" applyBorder="1"/>
    <xf numFmtId="173" fontId="35" fillId="6" borderId="9" xfId="12" applyNumberFormat="1" applyFont="1" applyFill="1" applyBorder="1"/>
    <xf numFmtId="43" fontId="35" fillId="6" borderId="9" xfId="12" applyFont="1" applyFill="1" applyBorder="1"/>
    <xf numFmtId="43" fontId="35" fillId="6" borderId="20" xfId="12" applyFont="1" applyFill="1" applyBorder="1"/>
    <xf numFmtId="0" fontId="21" fillId="7" borderId="16" xfId="0" applyFont="1" applyFill="1" applyBorder="1" applyAlignment="1">
      <alignment vertical="center"/>
    </xf>
    <xf numFmtId="166" fontId="2" fillId="9" borderId="0" xfId="1" applyNumberFormat="1" applyFill="1" applyAlignment="1">
      <alignment horizontal="center"/>
    </xf>
    <xf numFmtId="169" fontId="2" fillId="10" borderId="0" xfId="1" applyNumberFormat="1" applyFill="1" applyAlignment="1" applyProtection="1">
      <alignment horizontal="center"/>
      <protection locked="0"/>
    </xf>
    <xf numFmtId="169" fontId="2" fillId="9" borderId="9" xfId="1" applyNumberFormat="1" applyFill="1" applyBorder="1" applyAlignment="1">
      <alignment horizontal="center"/>
    </xf>
    <xf numFmtId="166" fontId="2" fillId="9" borderId="9" xfId="1" applyNumberFormat="1" applyFill="1" applyBorder="1" applyAlignment="1">
      <alignment horizontal="center"/>
    </xf>
    <xf numFmtId="169" fontId="28" fillId="8" borderId="18" xfId="0" quotePrefix="1" applyNumberFormat="1" applyFont="1" applyFill="1" applyBorder="1" applyAlignment="1">
      <alignment horizontal="center"/>
    </xf>
    <xf numFmtId="169" fontId="28" fillId="8" borderId="18" xfId="0" applyNumberFormat="1" applyFont="1" applyFill="1" applyBorder="1" applyAlignment="1">
      <alignment horizontal="center"/>
    </xf>
    <xf numFmtId="49" fontId="34" fillId="6" borderId="0" xfId="0" quotePrefix="1" applyNumberFormat="1" applyFont="1" applyFill="1"/>
    <xf numFmtId="164" fontId="3" fillId="6" borderId="0" xfId="0" quotePrefix="1" applyNumberFormat="1" applyFont="1" applyFill="1"/>
    <xf numFmtId="49" fontId="3" fillId="6" borderId="14" xfId="0" quotePrefix="1" applyNumberFormat="1" applyFont="1" applyFill="1" applyBorder="1"/>
    <xf numFmtId="49" fontId="3" fillId="6" borderId="13" xfId="0" quotePrefix="1" applyNumberFormat="1" applyFont="1" applyFill="1" applyBorder="1"/>
    <xf numFmtId="164" fontId="21" fillId="8" borderId="0" xfId="1" applyNumberFormat="1" applyFont="1" applyFill="1" applyAlignment="1">
      <alignment horizontal="center"/>
    </xf>
    <xf numFmtId="164" fontId="2" fillId="6" borderId="0" xfId="1" applyNumberFormat="1" applyFill="1"/>
    <xf numFmtId="164" fontId="12" fillId="9" borderId="0" xfId="0" applyNumberFormat="1" applyFont="1" applyFill="1" applyAlignment="1">
      <alignment horizontal="center"/>
    </xf>
    <xf numFmtId="164" fontId="2" fillId="9" borderId="0" xfId="1" applyNumberFormat="1" applyFill="1" applyAlignment="1">
      <alignment horizontal="center"/>
    </xf>
    <xf numFmtId="164" fontId="2" fillId="9" borderId="9" xfId="1" applyNumberFormat="1" applyFill="1" applyBorder="1" applyAlignment="1">
      <alignment horizontal="center"/>
    </xf>
    <xf numFmtId="164" fontId="2" fillId="9" borderId="26" xfId="1" applyNumberFormat="1" applyFill="1" applyBorder="1" applyAlignment="1">
      <alignment horizontal="center"/>
    </xf>
    <xf numFmtId="164" fontId="12" fillId="9" borderId="9" xfId="0" applyNumberFormat="1" applyFont="1" applyFill="1" applyBorder="1" applyAlignment="1">
      <alignment horizontal="center"/>
    </xf>
    <xf numFmtId="164" fontId="12" fillId="9" borderId="26" xfId="0" applyNumberFormat="1" applyFont="1" applyFill="1" applyBorder="1" applyAlignment="1">
      <alignment horizontal="center"/>
    </xf>
    <xf numFmtId="49" fontId="32" fillId="0" borderId="0" xfId="6" applyNumberFormat="1" applyFont="1" applyFill="1" applyBorder="1" applyAlignment="1">
      <alignment horizontal="center" vertical="center"/>
    </xf>
    <xf numFmtId="164" fontId="32" fillId="0" borderId="0" xfId="6" applyNumberFormat="1" applyFont="1" applyFill="1" applyBorder="1" applyAlignment="1">
      <alignment horizontal="center" vertical="center"/>
    </xf>
    <xf numFmtId="164" fontId="32" fillId="0" borderId="0" xfId="6" applyNumberFormat="1" applyFont="1" applyBorder="1" applyAlignment="1">
      <alignment horizontal="center" vertical="center"/>
    </xf>
    <xf numFmtId="1" fontId="32" fillId="0" borderId="0" xfId="6" applyNumberFormat="1" applyFont="1" applyFill="1" applyBorder="1" applyAlignment="1">
      <alignment horizontal="center" vertical="center"/>
    </xf>
    <xf numFmtId="164" fontId="3" fillId="19" borderId="0" xfId="13" applyNumberFormat="1" applyFont="1" applyFill="1" applyBorder="1" applyAlignment="1">
      <alignment horizontal="right"/>
    </xf>
    <xf numFmtId="169" fontId="28" fillId="7" borderId="37" xfId="0" applyNumberFormat="1" applyFont="1" applyFill="1" applyBorder="1" applyAlignment="1">
      <alignment horizontal="center"/>
    </xf>
    <xf numFmtId="49" fontId="28" fillId="7" borderId="18" xfId="0" applyNumberFormat="1" applyFont="1" applyFill="1" applyBorder="1"/>
    <xf numFmtId="169" fontId="3" fillId="10" borderId="18" xfId="13" applyNumberFormat="1" applyFont="1" applyFill="1" applyBorder="1" applyAlignment="1">
      <alignment horizontal="right"/>
    </xf>
    <xf numFmtId="164" fontId="3" fillId="10" borderId="18" xfId="13" applyNumberFormat="1" applyFont="1" applyFill="1" applyBorder="1" applyAlignment="1">
      <alignment horizontal="right"/>
    </xf>
    <xf numFmtId="169" fontId="3" fillId="9" borderId="18" xfId="13" applyNumberFormat="1" applyFont="1" applyFill="1" applyBorder="1"/>
    <xf numFmtId="2" fontId="3" fillId="9" borderId="18" xfId="0" applyNumberFormat="1" applyFont="1" applyFill="1" applyBorder="1"/>
    <xf numFmtId="169" fontId="3" fillId="9" borderId="18" xfId="0" applyNumberFormat="1" applyFont="1" applyFill="1" applyBorder="1"/>
    <xf numFmtId="0" fontId="3" fillId="6" borderId="18" xfId="0" quotePrefix="1" applyFont="1" applyFill="1" applyBorder="1" applyAlignment="1">
      <alignment horizontal="left"/>
    </xf>
    <xf numFmtId="0" fontId="3" fillId="6" borderId="18" xfId="0" applyFont="1" applyFill="1" applyBorder="1" applyAlignment="1">
      <alignment horizontal="left"/>
    </xf>
    <xf numFmtId="1" fontId="3" fillId="9" borderId="18" xfId="0" applyNumberFormat="1" applyFont="1" applyFill="1" applyBorder="1"/>
    <xf numFmtId="0" fontId="3" fillId="10" borderId="18" xfId="0" applyFont="1" applyFill="1" applyBorder="1"/>
    <xf numFmtId="9" fontId="3" fillId="9" borderId="18" xfId="0" applyNumberFormat="1" applyFont="1" applyFill="1" applyBorder="1"/>
    <xf numFmtId="177" fontId="3" fillId="9" borderId="18" xfId="0" applyNumberFormat="1" applyFont="1" applyFill="1" applyBorder="1"/>
    <xf numFmtId="0" fontId="3" fillId="6" borderId="18" xfId="0" quotePrefix="1" applyFont="1" applyFill="1" applyBorder="1" applyAlignment="1">
      <alignment horizontal="right"/>
    </xf>
    <xf numFmtId="0" fontId="3" fillId="9" borderId="18" xfId="0" applyFont="1" applyFill="1" applyBorder="1"/>
    <xf numFmtId="0" fontId="3" fillId="9" borderId="38" xfId="0" applyFont="1" applyFill="1" applyBorder="1"/>
    <xf numFmtId="1" fontId="12" fillId="0" borderId="0" xfId="0" applyNumberFormat="1" applyFont="1" applyAlignment="1">
      <alignment horizontal="center" vertical="center"/>
    </xf>
    <xf numFmtId="175" fontId="12" fillId="0" borderId="0" xfId="0" applyNumberFormat="1" applyFont="1" applyAlignment="1">
      <alignment horizontal="center" vertical="center"/>
    </xf>
    <xf numFmtId="164" fontId="32" fillId="0" borderId="0" xfId="0" applyNumberFormat="1" applyFont="1" applyAlignment="1">
      <alignment horizontal="center" vertical="center"/>
    </xf>
    <xf numFmtId="169" fontId="12" fillId="0" borderId="0" xfId="6" applyNumberFormat="1" applyFont="1" applyBorder="1" applyAlignment="1">
      <alignment horizontal="center" vertical="center"/>
    </xf>
    <xf numFmtId="164" fontId="12" fillId="0" borderId="0" xfId="6" applyNumberFormat="1" applyFont="1" applyBorder="1" applyAlignment="1">
      <alignment horizontal="center" vertical="center"/>
    </xf>
    <xf numFmtId="49" fontId="12" fillId="0" borderId="0" xfId="6" applyNumberFormat="1" applyFont="1" applyBorder="1" applyAlignment="1">
      <alignment horizontal="center" vertical="center"/>
    </xf>
    <xf numFmtId="1" fontId="12" fillId="0" borderId="0" xfId="6" applyNumberFormat="1" applyFont="1" applyBorder="1" applyAlignment="1">
      <alignment horizontal="center" vertical="center"/>
    </xf>
    <xf numFmtId="49" fontId="32" fillId="0" borderId="0" xfId="6" applyNumberFormat="1" applyFont="1" applyBorder="1" applyAlignment="1">
      <alignment horizontal="center" vertical="center"/>
    </xf>
    <xf numFmtId="0" fontId="31" fillId="0" borderId="0" xfId="6" applyFont="1" applyFill="1" applyBorder="1" applyAlignment="1">
      <alignment horizontal="center"/>
    </xf>
    <xf numFmtId="0" fontId="12" fillId="13" borderId="0" xfId="0" applyFont="1" applyFill="1" applyAlignment="1">
      <alignment horizontal="center"/>
    </xf>
    <xf numFmtId="1" fontId="13" fillId="13" borderId="0" xfId="6" applyNumberFormat="1" applyFont="1" applyFill="1" applyBorder="1" applyAlignment="1">
      <alignment horizontal="left" vertical="center"/>
    </xf>
    <xf numFmtId="169" fontId="12" fillId="13" borderId="0" xfId="6" applyNumberFormat="1" applyFont="1" applyFill="1" applyBorder="1" applyAlignment="1">
      <alignment horizontal="center" vertical="center"/>
    </xf>
    <xf numFmtId="49" fontId="12" fillId="13" borderId="0" xfId="6" applyNumberFormat="1" applyFont="1" applyFill="1" applyBorder="1" applyAlignment="1">
      <alignment horizontal="center" vertical="center"/>
    </xf>
    <xf numFmtId="169" fontId="2" fillId="13" borderId="0" xfId="7" applyNumberFormat="1" applyFont="1" applyFill="1" applyBorder="1" applyAlignment="1">
      <alignment horizontal="center" vertical="center"/>
    </xf>
    <xf numFmtId="1" fontId="12" fillId="13" borderId="0" xfId="0" applyNumberFormat="1" applyFont="1" applyFill="1" applyAlignment="1">
      <alignment horizontal="center" vertical="center"/>
    </xf>
    <xf numFmtId="175" fontId="12" fillId="13" borderId="0" xfId="0" applyNumberFormat="1" applyFont="1" applyFill="1" applyAlignment="1">
      <alignment horizontal="center" vertical="center"/>
    </xf>
    <xf numFmtId="1" fontId="12" fillId="13" borderId="0" xfId="6" applyNumberFormat="1" applyFont="1" applyFill="1" applyBorder="1" applyAlignment="1">
      <alignment horizontal="center" vertical="center"/>
    </xf>
    <xf numFmtId="0" fontId="32" fillId="13" borderId="0" xfId="0" applyFont="1" applyFill="1" applyAlignment="1">
      <alignment horizontal="center"/>
    </xf>
    <xf numFmtId="169" fontId="32" fillId="13" borderId="0" xfId="0" applyNumberFormat="1" applyFont="1" applyFill="1" applyAlignment="1">
      <alignment horizontal="center"/>
    </xf>
    <xf numFmtId="169" fontId="33" fillId="13" borderId="0" xfId="6" applyNumberFormat="1" applyFont="1" applyFill="1" applyBorder="1" applyAlignment="1">
      <alignment horizontal="center" vertical="center"/>
    </xf>
    <xf numFmtId="0" fontId="32" fillId="0" borderId="0" xfId="0" applyFont="1" applyAlignment="1">
      <alignment horizontal="center" vertical="center"/>
    </xf>
    <xf numFmtId="0" fontId="12" fillId="14" borderId="0" xfId="0" applyFont="1" applyFill="1" applyAlignment="1">
      <alignment horizontal="center"/>
    </xf>
    <xf numFmtId="1" fontId="13" fillId="14" borderId="0" xfId="6" applyNumberFormat="1" applyFont="1" applyFill="1" applyBorder="1" applyAlignment="1">
      <alignment horizontal="left" vertical="center"/>
    </xf>
    <xf numFmtId="169" fontId="12" fillId="14" borderId="0" xfId="6" applyNumberFormat="1" applyFont="1" applyFill="1" applyBorder="1" applyAlignment="1">
      <alignment horizontal="center" vertical="center"/>
    </xf>
    <xf numFmtId="1" fontId="12" fillId="14" borderId="0" xfId="6" applyNumberFormat="1" applyFont="1" applyFill="1" applyBorder="1" applyAlignment="1">
      <alignment horizontal="center" vertical="center"/>
    </xf>
    <xf numFmtId="169" fontId="2" fillId="14" borderId="0" xfId="7" applyNumberFormat="1" applyFont="1" applyFill="1" applyBorder="1" applyAlignment="1">
      <alignment horizontal="center" vertical="center"/>
    </xf>
    <xf numFmtId="1" fontId="12" fillId="14" borderId="0" xfId="0" applyNumberFormat="1" applyFont="1" applyFill="1" applyAlignment="1">
      <alignment horizontal="center" vertical="center"/>
    </xf>
    <xf numFmtId="175" fontId="12" fillId="14" borderId="0" xfId="0" applyNumberFormat="1" applyFont="1" applyFill="1" applyAlignment="1">
      <alignment horizontal="center" vertical="center"/>
    </xf>
    <xf numFmtId="0" fontId="32" fillId="15" borderId="0" xfId="0" applyFont="1" applyFill="1" applyAlignment="1">
      <alignment horizontal="center"/>
    </xf>
    <xf numFmtId="169" fontId="32" fillId="15" borderId="0" xfId="0" applyNumberFormat="1" applyFont="1" applyFill="1" applyAlignment="1">
      <alignment horizontal="center"/>
    </xf>
    <xf numFmtId="169" fontId="33" fillId="15" borderId="0" xfId="6" applyNumberFormat="1" applyFont="1" applyFill="1" applyBorder="1" applyAlignment="1">
      <alignment horizontal="center" vertical="center"/>
    </xf>
    <xf numFmtId="164" fontId="28" fillId="8" borderId="18" xfId="0" applyNumberFormat="1" applyFont="1" applyFill="1" applyBorder="1" applyAlignment="1">
      <alignment horizontal="center"/>
    </xf>
    <xf numFmtId="164" fontId="28" fillId="8" borderId="0" xfId="0" applyNumberFormat="1" applyFont="1" applyFill="1" applyAlignment="1">
      <alignment horizontal="center"/>
    </xf>
    <xf numFmtId="164" fontId="28" fillId="8" borderId="12" xfId="0" applyNumberFormat="1" applyFont="1" applyFill="1" applyBorder="1" applyAlignment="1">
      <alignment horizontal="center"/>
    </xf>
    <xf numFmtId="164" fontId="28" fillId="8" borderId="0" xfId="0" quotePrefix="1" applyNumberFormat="1" applyFont="1" applyFill="1" applyAlignment="1">
      <alignment horizontal="center"/>
    </xf>
    <xf numFmtId="164" fontId="28" fillId="8" borderId="18" xfId="0" quotePrefix="1" applyNumberFormat="1" applyFont="1" applyFill="1" applyBorder="1" applyAlignment="1">
      <alignment horizontal="center"/>
    </xf>
    <xf numFmtId="164" fontId="28" fillId="8" borderId="12" xfId="0" quotePrefix="1" applyNumberFormat="1" applyFont="1" applyFill="1" applyBorder="1" applyAlignment="1">
      <alignment horizontal="center"/>
    </xf>
    <xf numFmtId="0" fontId="22" fillId="0" borderId="27" xfId="1" applyFont="1" applyBorder="1" applyAlignment="1">
      <alignment horizontal="center"/>
    </xf>
    <xf numFmtId="0" fontId="22" fillId="0" borderId="28" xfId="1" applyFont="1" applyBorder="1" applyAlignment="1">
      <alignment horizontal="center"/>
    </xf>
    <xf numFmtId="1" fontId="16" fillId="6" borderId="6" xfId="1" applyNumberFormat="1" applyFont="1" applyFill="1" applyBorder="1" applyAlignment="1" applyProtection="1">
      <alignment horizontal="center" vertical="center"/>
      <protection locked="0"/>
    </xf>
    <xf numFmtId="1" fontId="16" fillId="6" borderId="7" xfId="1" applyNumberFormat="1" applyFont="1" applyFill="1" applyBorder="1" applyAlignment="1" applyProtection="1">
      <alignment horizontal="center" vertical="center"/>
      <protection locked="0"/>
    </xf>
    <xf numFmtId="0" fontId="10" fillId="7" borderId="16" xfId="1" applyFont="1" applyFill="1" applyBorder="1" applyAlignment="1">
      <alignment horizontal="center"/>
    </xf>
    <xf numFmtId="0" fontId="10" fillId="7" borderId="17" xfId="1" applyFont="1" applyFill="1" applyBorder="1" applyAlignment="1">
      <alignment horizontal="center"/>
    </xf>
    <xf numFmtId="0" fontId="15" fillId="7" borderId="6" xfId="1" applyFont="1" applyFill="1" applyBorder="1" applyAlignment="1">
      <alignment horizontal="center" vertical="center"/>
    </xf>
    <xf numFmtId="0" fontId="15" fillId="7" borderId="7" xfId="1" applyFont="1" applyFill="1" applyBorder="1" applyAlignment="1">
      <alignment horizontal="center" vertical="center"/>
    </xf>
    <xf numFmtId="0" fontId="10" fillId="7" borderId="31" xfId="0" applyFont="1" applyFill="1" applyBorder="1" applyAlignment="1">
      <alignment horizontal="center" textRotation="180"/>
    </xf>
    <xf numFmtId="0" fontId="27" fillId="7" borderId="5" xfId="0" applyFont="1" applyFill="1" applyBorder="1" applyAlignment="1">
      <alignment horizontal="left"/>
    </xf>
    <xf numFmtId="0" fontId="27" fillId="7" borderId="15" xfId="0" applyFont="1" applyFill="1" applyBorder="1" applyAlignment="1">
      <alignment horizontal="left"/>
    </xf>
    <xf numFmtId="0" fontId="10" fillId="7" borderId="17" xfId="1" applyFont="1" applyFill="1" applyBorder="1" applyAlignment="1">
      <alignment horizontal="left"/>
    </xf>
    <xf numFmtId="0" fontId="2" fillId="6" borderId="2" xfId="1" applyFill="1" applyBorder="1" applyAlignment="1">
      <alignment horizontal="left"/>
    </xf>
    <xf numFmtId="0" fontId="2" fillId="6" borderId="20" xfId="1" applyFill="1" applyBorder="1" applyAlignment="1">
      <alignment horizontal="left"/>
    </xf>
    <xf numFmtId="0" fontId="2" fillId="6" borderId="2" xfId="1" quotePrefix="1" applyFill="1" applyBorder="1" applyAlignment="1">
      <alignment horizontal="left"/>
    </xf>
    <xf numFmtId="0" fontId="2" fillId="6" borderId="20" xfId="1" quotePrefix="1" applyFill="1" applyBorder="1" applyAlignment="1">
      <alignment horizontal="left"/>
    </xf>
    <xf numFmtId="0" fontId="24" fillId="6" borderId="2" xfId="1" applyFont="1" applyFill="1" applyBorder="1" applyAlignment="1">
      <alignment horizontal="left"/>
    </xf>
    <xf numFmtId="0" fontId="2" fillId="17" borderId="17" xfId="0" applyFont="1" applyFill="1" applyBorder="1" applyAlignment="1">
      <alignment horizontal="left"/>
    </xf>
    <xf numFmtId="0" fontId="2" fillId="6" borderId="18" xfId="4" applyFill="1" applyBorder="1" applyAlignment="1">
      <alignment horizontal="left" vertical="center" wrapText="1"/>
    </xf>
    <xf numFmtId="164" fontId="2" fillId="0" borderId="0" xfId="1" applyNumberFormat="1" applyAlignment="1">
      <alignment vertical="center"/>
    </xf>
    <xf numFmtId="0" fontId="2" fillId="6" borderId="18" xfId="4" applyFill="1" applyBorder="1" applyAlignment="1">
      <alignment horizontal="left" vertical="top" wrapText="1"/>
    </xf>
    <xf numFmtId="1" fontId="2" fillId="9" borderId="20" xfId="1" applyNumberFormat="1" applyFill="1" applyBorder="1" applyAlignment="1">
      <alignment horizontal="center"/>
    </xf>
    <xf numFmtId="0" fontId="0" fillId="0" borderId="15" xfId="0" applyBorder="1" applyAlignment="1"/>
    <xf numFmtId="0" fontId="0" fillId="0" borderId="5" xfId="0" applyBorder="1" applyAlignment="1"/>
    <xf numFmtId="0" fontId="0" fillId="0" borderId="26" xfId="0" applyBorder="1" applyAlignment="1"/>
    <xf numFmtId="0" fontId="0" fillId="0" borderId="17" xfId="0" applyBorder="1" applyAlignment="1"/>
    <xf numFmtId="0" fontId="2" fillId="0" borderId="0" xfId="1" applyAlignment="1"/>
    <xf numFmtId="0" fontId="0" fillId="0" borderId="2" xfId="0" applyBorder="1" applyAlignment="1"/>
    <xf numFmtId="0" fontId="0" fillId="0" borderId="9" xfId="0" applyBorder="1" applyAlignment="1"/>
    <xf numFmtId="0" fontId="0" fillId="0" borderId="20" xfId="0" applyBorder="1" applyAlignment="1"/>
  </cellXfs>
  <cellStyles count="15">
    <cellStyle name="Calculation" xfId="7" builtinId="22"/>
    <cellStyle name="Calculation 2" xfId="14" xr:uid="{52FD9270-3ED2-4857-B479-916363C0416F}"/>
    <cellStyle name="Comma 2" xfId="12" xr:uid="{B09AED24-1A3D-4BDF-952C-B1FBCF5C27A3}"/>
    <cellStyle name="Comma 2 2" xfId="3" xr:uid="{A07AA011-667A-4DC4-95C2-A60C555DCE24}"/>
    <cellStyle name="Comma 2 2 2" xfId="11" xr:uid="{9A98DFCD-53D5-4BAA-8A33-02882315FC4B}"/>
    <cellStyle name="Comma 2 4" xfId="5" xr:uid="{2CC97DCB-6EFE-4717-B200-BF457FBC7330}"/>
    <cellStyle name="Hyperlink" xfId="6" builtinId="8"/>
    <cellStyle name="Input" xfId="8" builtinId="20"/>
    <cellStyle name="Input 2" xfId="13" xr:uid="{38132EC7-D939-4C6C-92CB-B4CF6DB75681}"/>
    <cellStyle name="Normal" xfId="0" builtinId="0"/>
    <cellStyle name="Normal 2" xfId="1" xr:uid="{B1FEEBDC-1FEB-468C-BE82-EA5A0D54099B}"/>
    <cellStyle name="Normal_factsheet01" xfId="4" xr:uid="{3D688832-FCE4-4CC2-9757-3804BC7F65D7}"/>
    <cellStyle name="Percent 2" xfId="2" xr:uid="{33EE1709-9B5A-456B-B725-D361286CC9A4}"/>
    <cellStyle name="Percent 2 2" xfId="10" xr:uid="{B0C22635-F307-40BF-A43B-1CF1B2BF1A6A}"/>
    <cellStyle name="Percent 3" xfId="9" xr:uid="{4081EBDF-2445-45F5-B34E-6305F26FB426}"/>
  </cellStyles>
  <dxfs count="63">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
      <font>
        <b/>
        <color rgb="FFFF0000"/>
      </font>
    </dxf>
  </dxfs>
  <tableStyles count="0" defaultTableStyle="TableStyleMedium2" defaultPivotStyle="PivotStyleLight16"/>
  <colors>
    <mruColors>
      <color rgb="FFA5D1F2"/>
      <color rgb="FF1A4222"/>
      <color rgb="FFF3D696"/>
      <color rgb="FFD8E6C5"/>
      <color rgb="FF006E9A"/>
      <color rgb="FFBFBFBF"/>
      <color rgb="FF808080"/>
      <color rgb="FFF8E6C1"/>
      <color rgb="FFBCD49B"/>
      <color rgb="FF9AB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323850"/>
          <a:ext cx="4953000" cy="1790700"/>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4C90-7A0B-4717-BDBA-593465F06B50}">
  <sheetPr codeName="Sheet5">
    <tabColor theme="9"/>
  </sheetPr>
  <dimension ref="A1:L39"/>
  <sheetViews>
    <sheetView showGridLines="0" zoomScaleNormal="100" workbookViewId="0">
      <selection activeCell="C16" sqref="C16"/>
    </sheetView>
  </sheetViews>
  <sheetFormatPr defaultColWidth="9.28515625" defaultRowHeight="12.75"/>
  <cols>
    <col min="1" max="1" width="0.7109375" style="16" customWidth="1"/>
    <col min="2" max="3" width="37.28515625" style="16" customWidth="1"/>
    <col min="4" max="16384" width="9.28515625" style="16"/>
  </cols>
  <sheetData>
    <row r="1" spans="2:12" ht="3.75" customHeight="1" thickBot="1"/>
    <row r="2" spans="2:12">
      <c r="B2" s="17"/>
      <c r="C2" s="18"/>
    </row>
    <row r="3" spans="2:12">
      <c r="B3" s="19"/>
      <c r="C3" s="20"/>
    </row>
    <row r="4" spans="2:12">
      <c r="B4" s="19"/>
      <c r="C4" s="20"/>
    </row>
    <row r="5" spans="2:12">
      <c r="B5" s="19"/>
      <c r="C5" s="20"/>
    </row>
    <row r="6" spans="2:12">
      <c r="B6" s="19"/>
      <c r="C6" s="20"/>
    </row>
    <row r="7" spans="2:12">
      <c r="B7" s="19"/>
      <c r="C7" s="20"/>
    </row>
    <row r="8" spans="2:12">
      <c r="B8" s="19"/>
      <c r="C8" s="20"/>
    </row>
    <row r="9" spans="2:12">
      <c r="B9" s="19"/>
      <c r="C9" s="20"/>
    </row>
    <row r="10" spans="2:12">
      <c r="B10" s="19"/>
      <c r="C10" s="20"/>
    </row>
    <row r="11" spans="2:12" s="1" customFormat="1" ht="26.25" customHeight="1">
      <c r="B11" s="21"/>
      <c r="C11" s="22"/>
    </row>
    <row r="12" spans="2:12" s="1" customFormat="1" ht="17.25" customHeight="1">
      <c r="B12" s="411" t="s">
        <v>0</v>
      </c>
      <c r="C12" s="412"/>
    </row>
    <row r="13" spans="2:12" s="2" customFormat="1" ht="33.75" customHeight="1">
      <c r="B13" s="407" t="str">
        <f>C30&amp;" "&amp;C29</f>
        <v>SCE 2026</v>
      </c>
      <c r="C13" s="408"/>
      <c r="G13" s="4"/>
      <c r="H13" s="3"/>
      <c r="I13" s="3"/>
      <c r="J13" s="5"/>
      <c r="K13" s="3"/>
      <c r="L13" s="3"/>
    </row>
    <row r="14" spans="2:12" s="23" customFormat="1" ht="33.75" customHeight="1">
      <c r="B14" s="112" t="s">
        <v>1</v>
      </c>
      <c r="C14" s="113" t="s">
        <v>2</v>
      </c>
    </row>
    <row r="15" spans="2:12" s="23" customFormat="1" ht="33.75" customHeight="1">
      <c r="B15" s="112" t="s">
        <v>3</v>
      </c>
      <c r="C15" s="114">
        <v>45975</v>
      </c>
    </row>
    <row r="16" spans="2:12" s="23" customFormat="1" ht="33.75" customHeight="1">
      <c r="B16" s="112" t="s">
        <v>4</v>
      </c>
      <c r="C16" s="115" t="str">
        <f>"Eindadvies "&amp; C30&amp;" "&amp;C29</f>
        <v>Eindadvies SCE 2026</v>
      </c>
    </row>
    <row r="17" spans="1:4" s="23" customFormat="1" ht="26.25" thickBot="1">
      <c r="B17" s="116" t="s">
        <v>5</v>
      </c>
      <c r="C17" s="117" t="s">
        <v>6</v>
      </c>
    </row>
    <row r="18" spans="1:4" ht="14.25">
      <c r="A18" s="2"/>
      <c r="B18" s="2"/>
      <c r="C18" s="2"/>
      <c r="D18" s="2"/>
    </row>
    <row r="19" spans="1:4" ht="14.25">
      <c r="A19" s="2"/>
      <c r="B19" s="2"/>
      <c r="C19" s="2"/>
      <c r="D19" s="2"/>
    </row>
    <row r="20" spans="1:4" ht="14.25">
      <c r="A20" s="2"/>
      <c r="B20" s="405" t="s">
        <v>7</v>
      </c>
      <c r="C20" s="406"/>
      <c r="D20" s="2"/>
    </row>
    <row r="21" spans="1:4" ht="14.25">
      <c r="A21" s="2"/>
      <c r="B21" s="78"/>
      <c r="C21" s="24" t="s">
        <v>8</v>
      </c>
      <c r="D21" s="2"/>
    </row>
    <row r="22" spans="1:4" ht="14.25">
      <c r="A22" s="2"/>
      <c r="B22" s="72"/>
      <c r="C22" s="24" t="s">
        <v>9</v>
      </c>
      <c r="D22" s="2"/>
    </row>
    <row r="23" spans="1:4" ht="14.25">
      <c r="A23" s="2"/>
      <c r="B23" s="107"/>
      <c r="C23" s="24" t="s">
        <v>10</v>
      </c>
      <c r="D23" s="2"/>
    </row>
    <row r="24" spans="1:4" ht="14.25">
      <c r="A24" s="2"/>
      <c r="B24" s="108"/>
      <c r="C24" s="24" t="s">
        <v>11</v>
      </c>
      <c r="D24" s="2"/>
    </row>
    <row r="25" spans="1:4" ht="14.25">
      <c r="A25" s="2"/>
      <c r="B25" s="25"/>
      <c r="C25" s="24" t="s">
        <v>12</v>
      </c>
      <c r="D25" s="2"/>
    </row>
    <row r="26" spans="1:4" ht="14.25">
      <c r="A26" s="2"/>
      <c r="B26" s="109"/>
      <c r="C26" s="24" t="s">
        <v>13</v>
      </c>
      <c r="D26" s="2"/>
    </row>
    <row r="27" spans="1:4" ht="14.25">
      <c r="A27" s="2"/>
      <c r="B27" s="2"/>
      <c r="C27" s="2"/>
      <c r="D27" s="2"/>
    </row>
    <row r="28" spans="1:4" ht="15" customHeight="1">
      <c r="A28" s="2"/>
      <c r="B28" s="409" t="s">
        <v>14</v>
      </c>
      <c r="C28" s="410"/>
      <c r="D28" s="2"/>
    </row>
    <row r="29" spans="1:4" ht="14.25">
      <c r="A29" s="2"/>
      <c r="B29" s="72" t="s">
        <v>15</v>
      </c>
      <c r="C29" s="110">
        <v>2026</v>
      </c>
      <c r="D29" s="2"/>
    </row>
    <row r="30" spans="1:4" ht="14.25">
      <c r="A30" s="2"/>
      <c r="B30" s="72" t="s">
        <v>16</v>
      </c>
      <c r="C30" s="110" t="s">
        <v>17</v>
      </c>
      <c r="D30" s="2"/>
    </row>
    <row r="31" spans="1:4" ht="14.25">
      <c r="A31" s="2"/>
      <c r="B31" s="73" t="s">
        <v>18</v>
      </c>
      <c r="C31" s="111">
        <v>3</v>
      </c>
      <c r="D31" s="2"/>
    </row>
    <row r="32" spans="1:4" ht="14.25">
      <c r="A32" s="2"/>
      <c r="B32" s="2"/>
      <c r="C32" s="2"/>
      <c r="D32" s="2"/>
    </row>
    <row r="33" spans="2:3">
      <c r="B33" s="213" t="s">
        <v>19</v>
      </c>
      <c r="C33" s="211"/>
    </row>
    <row r="34" spans="2:3">
      <c r="B34" s="214" t="s">
        <v>20</v>
      </c>
      <c r="C34" s="212"/>
    </row>
    <row r="35" spans="2:3">
      <c r="B35" s="214" t="s">
        <v>21</v>
      </c>
      <c r="C35" s="212"/>
    </row>
    <row r="36" spans="2:3">
      <c r="B36" s="214" t="s">
        <v>22</v>
      </c>
      <c r="C36" s="212"/>
    </row>
    <row r="37" spans="2:3">
      <c r="B37" s="214" t="s">
        <v>23</v>
      </c>
      <c r="C37" s="212"/>
    </row>
    <row r="38" spans="2:3">
      <c r="B38" s="214" t="s">
        <v>24</v>
      </c>
      <c r="C38" s="212"/>
    </row>
    <row r="39" spans="2:3" ht="12.75" customHeight="1">
      <c r="B39" s="215" t="s">
        <v>25</v>
      </c>
      <c r="C39" s="212"/>
    </row>
  </sheetData>
  <mergeCells count="4">
    <mergeCell ref="B20:C20"/>
    <mergeCell ref="B13:C13"/>
    <mergeCell ref="B28:C28"/>
    <mergeCell ref="B12:C12"/>
  </mergeCells>
  <dataValidations count="1">
    <dataValidation type="list" allowBlank="1" showInputMessage="1" showErrorMessage="1" sqref="C30" xr:uid="{F7A7816F-43AC-47D5-B8FF-227559A81BC5}">
      <formula1>"SDE++,SCE"</formula1>
    </dataValidation>
  </dataValidations>
  <pageMargins left="0.75" right="0.75" top="1" bottom="1" header="0.5" footer="0.5"/>
  <pageSetup paperSize="9" orientation="portrait" r:id="rId1"/>
  <headerFooter alignWithMargins="0"/>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B6DE-DC45-4371-97AF-637E987816FA}">
  <sheetPr codeName="Sheet99">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612</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0.106</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407.40740740740745</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IFERROR(INDEX(Correcties!$A$1:$I$334,MATCH('7'!C12,Correcties!$A$1:$A$334,0),5),"")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230</v>
      </c>
      <c r="D16" s="75" t="str">
        <f>_xlfn.XLOOKUP(C16,Correcties!A4:A37,Correcties!B4:B37,"")</f>
        <v>Elektricteit-ZonPV-niet-netlevering, groot</v>
      </c>
      <c r="E16" s="417" t="str">
        <f>"Enkel relevant voor zon-pv. "&amp;_xlfn.XLOOKUP(C16,Correcties!A4:A37,Correcties!E4:E37,"")</f>
        <v>Enkel relevant voor zon-pv. EPEX3 x PF_PV3 + EB3_e + ODE3_e</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10000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740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517</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5.2061899999999994</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20.8</v>
      </c>
      <c r="D43" s="75" t="str">
        <f>CONCATENATE("Euro/",$C$8,"/jaar")</f>
        <v>Euro/kW/jaar</v>
      </c>
      <c r="E43" s="417" t="s">
        <v>463</v>
      </c>
      <c r="F43" s="431"/>
      <c r="G43" s="431"/>
      <c r="H43" s="431"/>
      <c r="I43" s="431"/>
      <c r="J43" s="431"/>
      <c r="K43" s="431"/>
      <c r="L43" s="431"/>
      <c r="M43" s="432"/>
    </row>
    <row r="44" spans="2:13" ht="15" customHeight="1">
      <c r="B44" s="72" t="s">
        <v>465</v>
      </c>
      <c r="C44" s="239">
        <f>(C42*C21+C43*SUM(C26,C28))/1000</f>
        <v>208</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8.1299999999999997E-2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7.46E-2</v>
      </c>
      <c r="D80" s="75" t="s">
        <v>511</v>
      </c>
      <c r="E80" s="417" t="s">
        <v>512</v>
      </c>
      <c r="F80" s="431"/>
      <c r="G80" s="431"/>
      <c r="H80" s="431"/>
      <c r="I80" s="431"/>
      <c r="J80" s="431"/>
      <c r="K80" s="431"/>
      <c r="L80" s="431"/>
      <c r="M80" s="432"/>
    </row>
    <row r="81" spans="2:13" ht="15" customHeight="1">
      <c r="B81" s="72" t="s">
        <v>513</v>
      </c>
      <c r="C81" s="240">
        <v>690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111000000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145500000</v>
      </c>
      <c r="D85" s="74" t="str">
        <f>C7</f>
        <v>kWh</v>
      </c>
      <c r="E85" s="417"/>
      <c r="F85" s="431"/>
      <c r="G85" s="431"/>
      <c r="H85" s="431"/>
      <c r="I85" s="431"/>
      <c r="J85" s="431"/>
      <c r="K85" s="431"/>
      <c r="L85" s="431"/>
      <c r="M85" s="432"/>
    </row>
    <row r="86" spans="2:13" ht="15" customHeight="1">
      <c r="B86" s="89" t="s">
        <v>518</v>
      </c>
      <c r="C86" s="96">
        <f ca="1">C85/C84</f>
        <v>1.3108108108108107</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-120000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-5206189.9999999991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7400000</v>
      </c>
      <c r="F115" s="312">
        <f t="shared" si="4"/>
        <v>7400000</v>
      </c>
      <c r="G115" s="312">
        <f t="shared" si="4"/>
        <v>7400000</v>
      </c>
      <c r="H115" s="312">
        <f t="shared" si="4"/>
        <v>7400000</v>
      </c>
      <c r="I115" s="312">
        <f t="shared" si="4"/>
        <v>7400000</v>
      </c>
      <c r="J115" s="312">
        <f t="shared" si="4"/>
        <v>7400000</v>
      </c>
      <c r="K115" s="312">
        <f t="shared" si="4"/>
        <v>7400000</v>
      </c>
      <c r="L115" s="312">
        <f t="shared" si="4"/>
        <v>7400000</v>
      </c>
      <c r="M115" s="312">
        <f t="shared" si="4"/>
        <v>7400000</v>
      </c>
      <c r="N115" s="312">
        <f t="shared" si="4"/>
        <v>7400000</v>
      </c>
      <c r="O115" s="312">
        <f t="shared" si="4"/>
        <v>7400000</v>
      </c>
      <c r="P115" s="312">
        <f t="shared" si="4"/>
        <v>7400000</v>
      </c>
      <c r="Q115" s="312">
        <f t="shared" si="4"/>
        <v>7400000</v>
      </c>
      <c r="R115" s="312">
        <f t="shared" si="4"/>
        <v>7400000</v>
      </c>
      <c r="S115" s="312">
        <f t="shared" si="4"/>
        <v>7400000</v>
      </c>
      <c r="T115" s="312">
        <f t="shared" si="4"/>
        <v>6900000</v>
      </c>
      <c r="U115" s="312">
        <f t="shared" si="4"/>
        <v>6900000</v>
      </c>
      <c r="V115" s="312">
        <f t="shared" si="4"/>
        <v>6900000</v>
      </c>
      <c r="W115" s="312">
        <f t="shared" si="4"/>
        <v>6900000</v>
      </c>
      <c r="X115" s="312">
        <f t="shared" si="4"/>
        <v>6900000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7400000</v>
      </c>
      <c r="F118" s="315">
        <f t="shared" si="7"/>
        <v>7400000</v>
      </c>
      <c r="G118" s="315">
        <f t="shared" si="7"/>
        <v>7400000</v>
      </c>
      <c r="H118" s="315">
        <f t="shared" si="7"/>
        <v>7400000</v>
      </c>
      <c r="I118" s="315">
        <f t="shared" si="7"/>
        <v>7400000</v>
      </c>
      <c r="J118" s="315">
        <f t="shared" si="7"/>
        <v>7400000</v>
      </c>
      <c r="K118" s="315">
        <f t="shared" si="7"/>
        <v>7400000</v>
      </c>
      <c r="L118" s="315">
        <f t="shared" si="7"/>
        <v>7400000</v>
      </c>
      <c r="M118" s="315">
        <f t="shared" si="7"/>
        <v>7400000</v>
      </c>
      <c r="N118" s="315">
        <f t="shared" si="7"/>
        <v>7400000</v>
      </c>
      <c r="O118" s="315">
        <f t="shared" si="7"/>
        <v>7400000</v>
      </c>
      <c r="P118" s="315">
        <f t="shared" si="7"/>
        <v>7400000</v>
      </c>
      <c r="Q118" s="315">
        <f t="shared" si="7"/>
        <v>7400000</v>
      </c>
      <c r="R118" s="315">
        <f t="shared" si="7"/>
        <v>7400000</v>
      </c>
      <c r="S118" s="315">
        <f t="shared" si="7"/>
        <v>7400000</v>
      </c>
      <c r="T118" s="315">
        <f t="shared" si="7"/>
        <v>6900000</v>
      </c>
      <c r="U118" s="315">
        <f t="shared" si="7"/>
        <v>6900000</v>
      </c>
      <c r="V118" s="315">
        <f t="shared" si="7"/>
        <v>6900000</v>
      </c>
      <c r="W118" s="315">
        <f t="shared" si="7"/>
        <v>6900000</v>
      </c>
      <c r="X118" s="315">
        <f t="shared" si="7"/>
        <v>6900000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-281260</v>
      </c>
      <c r="F120" s="312">
        <f t="shared" si="8"/>
        <v>-286885.2</v>
      </c>
      <c r="G120" s="312">
        <f t="shared" si="8"/>
        <v>-292622.90399999998</v>
      </c>
      <c r="H120" s="312">
        <f t="shared" si="8"/>
        <v>-298475.36207999999</v>
      </c>
      <c r="I120" s="312">
        <f t="shared" si="8"/>
        <v>-304444.86932160001</v>
      </c>
      <c r="J120" s="312">
        <f t="shared" si="8"/>
        <v>-310533.766708032</v>
      </c>
      <c r="K120" s="312">
        <f t="shared" si="8"/>
        <v>-316744.44204219268</v>
      </c>
      <c r="L120" s="312">
        <f t="shared" si="8"/>
        <v>-323079.33088303643</v>
      </c>
      <c r="M120" s="312">
        <f t="shared" si="8"/>
        <v>-329540.91750069719</v>
      </c>
      <c r="N120" s="312">
        <f t="shared" si="8"/>
        <v>-336131.73585071112</v>
      </c>
      <c r="O120" s="312">
        <f t="shared" si="8"/>
        <v>-342854.37056772539</v>
      </c>
      <c r="P120" s="312">
        <f t="shared" si="8"/>
        <v>-349711.4579790798</v>
      </c>
      <c r="Q120" s="312">
        <f t="shared" si="8"/>
        <v>-508894.70248616696</v>
      </c>
      <c r="R120" s="312">
        <f t="shared" si="8"/>
        <v>-363839.8008814347</v>
      </c>
      <c r="S120" s="312">
        <f t="shared" si="8"/>
        <v>-371116.59689906344</v>
      </c>
      <c r="T120" s="312">
        <f t="shared" si="8"/>
        <v>-371876.88056234014</v>
      </c>
      <c r="U120" s="312">
        <f t="shared" si="8"/>
        <v>-379314.41817358701</v>
      </c>
      <c r="V120" s="312">
        <f t="shared" si="8"/>
        <v>-386900.70653705881</v>
      </c>
      <c r="W120" s="312">
        <f t="shared" si="8"/>
        <v>-394638.72066779993</v>
      </c>
      <c r="X120" s="312">
        <f t="shared" si="8"/>
        <v>-402531.49508115591</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0.10040177803898004</v>
      </c>
      <c r="U122" s="317">
        <f t="shared" si="10"/>
        <v>0.10240981359975966</v>
      </c>
      <c r="V122" s="317">
        <f t="shared" si="10"/>
        <v>0.10445800987175485</v>
      </c>
      <c r="W122" s="317">
        <f t="shared" si="10"/>
        <v>0.10654717006918994</v>
      </c>
      <c r="X122" s="317">
        <f t="shared" si="10"/>
        <v>0.10867811347057374</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692772.26846896228</v>
      </c>
      <c r="U127" s="312">
        <f t="shared" si="15"/>
        <v>706627.71383834165</v>
      </c>
      <c r="V127" s="312">
        <f t="shared" si="15"/>
        <v>720760.26811510848</v>
      </c>
      <c r="W127" s="312">
        <f t="shared" si="15"/>
        <v>735175.47347741062</v>
      </c>
      <c r="X127" s="312">
        <f t="shared" si="15"/>
        <v>749878.98294695886</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692772.26846896228</v>
      </c>
      <c r="U130" s="312">
        <f t="shared" si="17"/>
        <v>706627.71383834165</v>
      </c>
      <c r="V130" s="312">
        <f t="shared" si="17"/>
        <v>720760.26811510848</v>
      </c>
      <c r="W130" s="312">
        <f t="shared" si="17"/>
        <v>735175.47347741062</v>
      </c>
      <c r="X130" s="312">
        <f t="shared" si="17"/>
        <v>749878.98294695886</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-281260</v>
      </c>
      <c r="F131" s="312">
        <f t="shared" si="18"/>
        <v>-286885.2</v>
      </c>
      <c r="G131" s="312">
        <f t="shared" si="18"/>
        <v>-292622.90399999998</v>
      </c>
      <c r="H131" s="312">
        <f t="shared" si="18"/>
        <v>-298475.36207999999</v>
      </c>
      <c r="I131" s="312">
        <f t="shared" si="18"/>
        <v>-304444.86932160001</v>
      </c>
      <c r="J131" s="312">
        <f t="shared" si="18"/>
        <v>-310533.766708032</v>
      </c>
      <c r="K131" s="312">
        <f t="shared" si="18"/>
        <v>-316744.44204219268</v>
      </c>
      <c r="L131" s="312">
        <f t="shared" si="18"/>
        <v>-323079.33088303643</v>
      </c>
      <c r="M131" s="312">
        <f t="shared" si="18"/>
        <v>-329540.91750069719</v>
      </c>
      <c r="N131" s="312">
        <f t="shared" si="18"/>
        <v>-336131.73585071112</v>
      </c>
      <c r="O131" s="312">
        <f t="shared" si="18"/>
        <v>-342854.37056772539</v>
      </c>
      <c r="P131" s="312">
        <f t="shared" si="18"/>
        <v>-349711.4579790798</v>
      </c>
      <c r="Q131" s="312">
        <f t="shared" si="18"/>
        <v>-508894.70248616696</v>
      </c>
      <c r="R131" s="312">
        <f t="shared" si="18"/>
        <v>-363839.8008814347</v>
      </c>
      <c r="S131" s="312">
        <f t="shared" si="18"/>
        <v>-371116.59689906344</v>
      </c>
      <c r="T131" s="312">
        <f t="shared" si="18"/>
        <v>-371876.88056234014</v>
      </c>
      <c r="U131" s="312">
        <f t="shared" si="18"/>
        <v>-379314.41817358701</v>
      </c>
      <c r="V131" s="312">
        <f t="shared" si="18"/>
        <v>-386900.70653705881</v>
      </c>
      <c r="W131" s="312">
        <f t="shared" si="18"/>
        <v>-394638.72066779993</v>
      </c>
      <c r="X131" s="312">
        <f t="shared" si="18"/>
        <v>-402531.49508115591</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-281260</v>
      </c>
      <c r="F132" s="321">
        <f t="shared" si="19"/>
        <v>-286885.2</v>
      </c>
      <c r="G132" s="321">
        <f t="shared" si="19"/>
        <v>-292622.90399999998</v>
      </c>
      <c r="H132" s="321">
        <f t="shared" si="19"/>
        <v>-298475.36207999999</v>
      </c>
      <c r="I132" s="321">
        <f t="shared" si="19"/>
        <v>-304444.86932160001</v>
      </c>
      <c r="J132" s="321">
        <f t="shared" si="19"/>
        <v>-310533.766708032</v>
      </c>
      <c r="K132" s="321">
        <f t="shared" si="19"/>
        <v>-316744.44204219268</v>
      </c>
      <c r="L132" s="321">
        <f t="shared" si="19"/>
        <v>-323079.33088303643</v>
      </c>
      <c r="M132" s="321">
        <f t="shared" si="19"/>
        <v>-329540.91750069719</v>
      </c>
      <c r="N132" s="321">
        <f t="shared" si="19"/>
        <v>-336131.73585071112</v>
      </c>
      <c r="O132" s="321">
        <f t="shared" si="19"/>
        <v>-342854.37056772539</v>
      </c>
      <c r="P132" s="321">
        <f t="shared" si="19"/>
        <v>-349711.4579790798</v>
      </c>
      <c r="Q132" s="321">
        <f t="shared" si="19"/>
        <v>-508894.70248616696</v>
      </c>
      <c r="R132" s="321">
        <f t="shared" si="19"/>
        <v>-363839.8008814347</v>
      </c>
      <c r="S132" s="321">
        <f t="shared" si="19"/>
        <v>-371116.59689906344</v>
      </c>
      <c r="T132" s="321">
        <f t="shared" si="19"/>
        <v>320895.38790662214</v>
      </c>
      <c r="U132" s="321">
        <f t="shared" si="19"/>
        <v>327313.29566475464</v>
      </c>
      <c r="V132" s="321">
        <f t="shared" si="19"/>
        <v>333859.56157804967</v>
      </c>
      <c r="W132" s="321">
        <f t="shared" si="19"/>
        <v>340536.75280961068</v>
      </c>
      <c r="X132" s="321">
        <f t="shared" si="19"/>
        <v>347347.48786580295</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-260309.49999999994</v>
      </c>
      <c r="F134" s="312">
        <f t="shared" si="20"/>
        <v>-260309.49999999994</v>
      </c>
      <c r="G134" s="312">
        <f t="shared" si="20"/>
        <v>-260309.49999999994</v>
      </c>
      <c r="H134" s="312">
        <f t="shared" si="20"/>
        <v>-260309.49999999994</v>
      </c>
      <c r="I134" s="312">
        <f t="shared" si="20"/>
        <v>-260309.49999999994</v>
      </c>
      <c r="J134" s="312">
        <f t="shared" si="20"/>
        <v>-260309.49999999994</v>
      </c>
      <c r="K134" s="312">
        <f t="shared" si="20"/>
        <v>-260309.49999999994</v>
      </c>
      <c r="L134" s="312">
        <f t="shared" si="20"/>
        <v>-260309.49999999994</v>
      </c>
      <c r="M134" s="312">
        <f t="shared" si="20"/>
        <v>-260309.49999999994</v>
      </c>
      <c r="N134" s="312">
        <f t="shared" si="20"/>
        <v>-260309.49999999994</v>
      </c>
      <c r="O134" s="312">
        <f t="shared" si="20"/>
        <v>-260309.49999999994</v>
      </c>
      <c r="P134" s="312">
        <f t="shared" si="20"/>
        <v>-260309.49999999994</v>
      </c>
      <c r="Q134" s="312">
        <f t="shared" si="20"/>
        <v>-260309.49999999994</v>
      </c>
      <c r="R134" s="312">
        <f t="shared" si="20"/>
        <v>-260309.49999999994</v>
      </c>
      <c r="S134" s="312">
        <f t="shared" si="20"/>
        <v>-260309.49999999994</v>
      </c>
      <c r="T134" s="312">
        <f t="shared" si="20"/>
        <v>-260309.49999999994</v>
      </c>
      <c r="U134" s="312">
        <f t="shared" si="20"/>
        <v>-260309.49999999994</v>
      </c>
      <c r="V134" s="312">
        <f t="shared" si="20"/>
        <v>-260309.49999999994</v>
      </c>
      <c r="W134" s="312">
        <f t="shared" si="20"/>
        <v>-260309.49999999994</v>
      </c>
      <c r="X134" s="312">
        <f t="shared" si="20"/>
        <v>-260309.49999999994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-154884.15249999997</v>
      </c>
      <c r="F135" s="312">
        <f t="shared" si="21"/>
        <v>-147291.66546866947</v>
      </c>
      <c r="G135" s="312">
        <f t="shared" si="21"/>
        <v>-139376.4977385074</v>
      </c>
      <c r="H135" s="312">
        <f t="shared" si="21"/>
        <v>-131124.93537981348</v>
      </c>
      <c r="I135" s="312">
        <f t="shared" si="21"/>
        <v>-122522.68162087505</v>
      </c>
      <c r="J135" s="312">
        <f t="shared" si="21"/>
        <v>-113554.83207718172</v>
      </c>
      <c r="K135" s="312">
        <f t="shared" si="21"/>
        <v>-104205.84892788144</v>
      </c>
      <c r="L135" s="312">
        <f t="shared" si="21"/>
        <v>-94459.533994735917</v>
      </c>
      <c r="M135" s="312">
        <f t="shared" si="21"/>
        <v>-84299.000676931668</v>
      </c>
      <c r="N135" s="312">
        <f t="shared" si="21"/>
        <v>-73706.644693120776</v>
      </c>
      <c r="O135" s="312">
        <f t="shared" si="21"/>
        <v>-62664.113579997887</v>
      </c>
      <c r="P135" s="312">
        <f t="shared" si="21"/>
        <v>-51152.274894567301</v>
      </c>
      <c r="Q135" s="312">
        <f t="shared" si="21"/>
        <v>-39151.183065005906</v>
      </c>
      <c r="R135" s="312">
        <f t="shared" si="21"/>
        <v>-26640.044832688145</v>
      </c>
      <c r="S135" s="312">
        <f t="shared" si="21"/>
        <v>-13597.183225496887</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-178646.7536783648</v>
      </c>
      <c r="F136" s="312">
        <f t="shared" si="22"/>
        <v>-186239.2407096953</v>
      </c>
      <c r="G136" s="312">
        <f t="shared" si="22"/>
        <v>-194154.40843985736</v>
      </c>
      <c r="H136" s="312">
        <f t="shared" si="22"/>
        <v>-202405.97079855131</v>
      </c>
      <c r="I136" s="312">
        <f t="shared" si="22"/>
        <v>-211008.22455748977</v>
      </c>
      <c r="J136" s="312">
        <f t="shared" si="22"/>
        <v>-219976.07410118304</v>
      </c>
      <c r="K136" s="312">
        <f t="shared" si="22"/>
        <v>-229325.05725048331</v>
      </c>
      <c r="L136" s="312">
        <f t="shared" si="22"/>
        <v>-239071.37218362888</v>
      </c>
      <c r="M136" s="312">
        <f t="shared" si="22"/>
        <v>-249231.9055014331</v>
      </c>
      <c r="N136" s="312">
        <f t="shared" si="22"/>
        <v>-259824.261485244</v>
      </c>
      <c r="O136" s="312">
        <f t="shared" si="22"/>
        <v>-270866.79259836691</v>
      </c>
      <c r="P136" s="312">
        <f t="shared" si="22"/>
        <v>-282378.6312837975</v>
      </c>
      <c r="Q136" s="312">
        <f t="shared" si="22"/>
        <v>-294379.72311335889</v>
      </c>
      <c r="R136" s="312">
        <f t="shared" si="22"/>
        <v>-306890.86134567665</v>
      </c>
      <c r="S136" s="312">
        <f t="shared" si="22"/>
        <v>-319933.72295286786</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-333530.90617836476</v>
      </c>
      <c r="F137" s="321">
        <f t="shared" si="23"/>
        <v>-333530.90617836476</v>
      </c>
      <c r="G137" s="321">
        <f t="shared" si="23"/>
        <v>-333530.90617836476</v>
      </c>
      <c r="H137" s="321">
        <f t="shared" si="23"/>
        <v>-333530.90617836476</v>
      </c>
      <c r="I137" s="321">
        <f t="shared" si="23"/>
        <v>-333530.90617836482</v>
      </c>
      <c r="J137" s="321">
        <f t="shared" si="23"/>
        <v>-333530.90617836476</v>
      </c>
      <c r="K137" s="321">
        <f t="shared" si="23"/>
        <v>-333530.90617836476</v>
      </c>
      <c r="L137" s="321">
        <f t="shared" si="23"/>
        <v>-333530.90617836476</v>
      </c>
      <c r="M137" s="321">
        <f t="shared" si="23"/>
        <v>-333530.90617836476</v>
      </c>
      <c r="N137" s="321">
        <f t="shared" si="23"/>
        <v>-333530.90617836476</v>
      </c>
      <c r="O137" s="321">
        <f t="shared" si="23"/>
        <v>-333530.90617836482</v>
      </c>
      <c r="P137" s="321">
        <f t="shared" si="23"/>
        <v>-333530.90617836482</v>
      </c>
      <c r="Q137" s="321">
        <f t="shared" si="23"/>
        <v>-333530.90617836482</v>
      </c>
      <c r="R137" s="321">
        <f t="shared" si="23"/>
        <v>-333530.90617836476</v>
      </c>
      <c r="S137" s="321">
        <f t="shared" si="23"/>
        <v>-333530.90617836476</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-696453.65249999997</v>
      </c>
      <c r="F139" s="312">
        <f t="shared" si="24"/>
        <v>-694486.36546866945</v>
      </c>
      <c r="G139" s="312">
        <f t="shared" si="24"/>
        <v>-692308.90173850721</v>
      </c>
      <c r="H139" s="312">
        <f t="shared" si="24"/>
        <v>-689909.7974598133</v>
      </c>
      <c r="I139" s="312">
        <f t="shared" si="24"/>
        <v>-687277.05094247498</v>
      </c>
      <c r="J139" s="312">
        <f t="shared" si="24"/>
        <v>-684398.09878521366</v>
      </c>
      <c r="K139" s="312">
        <f t="shared" si="24"/>
        <v>-681259.79097007413</v>
      </c>
      <c r="L139" s="312">
        <f t="shared" si="24"/>
        <v>-677848.36487777228</v>
      </c>
      <c r="M139" s="312">
        <f t="shared" si="24"/>
        <v>-674149.41817762877</v>
      </c>
      <c r="N139" s="312">
        <f t="shared" si="24"/>
        <v>-670147.88054383185</v>
      </c>
      <c r="O139" s="312">
        <f t="shared" si="24"/>
        <v>-665827.98414772318</v>
      </c>
      <c r="P139" s="312">
        <f t="shared" si="24"/>
        <v>-661173.23287364712</v>
      </c>
      <c r="Q139" s="312">
        <f t="shared" si="24"/>
        <v>-808355.38555117289</v>
      </c>
      <c r="R139" s="312">
        <f t="shared" si="24"/>
        <v>-650789.34571412287</v>
      </c>
      <c r="S139" s="312">
        <f t="shared" si="24"/>
        <v>-645023.28012456023</v>
      </c>
      <c r="T139" s="312">
        <f t="shared" si="24"/>
        <v>60585.8879066222</v>
      </c>
      <c r="U139" s="312">
        <f t="shared" si="24"/>
        <v>67003.795664754696</v>
      </c>
      <c r="V139" s="312">
        <f t="shared" si="24"/>
        <v>73550.061578049732</v>
      </c>
      <c r="W139" s="312">
        <f t="shared" si="24"/>
        <v>80227.252809610742</v>
      </c>
      <c r="X139" s="312">
        <f t="shared" si="24"/>
        <v>87037.987865803007</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132326.193975</v>
      </c>
      <c r="F140" s="312">
        <f t="shared" si="25"/>
        <v>131952.40943904719</v>
      </c>
      <c r="G140" s="312">
        <f t="shared" si="25"/>
        <v>131538.69133031636</v>
      </c>
      <c r="H140" s="312">
        <f t="shared" si="25"/>
        <v>131082.86151736454</v>
      </c>
      <c r="I140" s="312">
        <f t="shared" si="25"/>
        <v>130582.63967907024</v>
      </c>
      <c r="J140" s="312">
        <f t="shared" si="25"/>
        <v>130035.6387691906</v>
      </c>
      <c r="K140" s="312">
        <f t="shared" si="25"/>
        <v>129439.36028431408</v>
      </c>
      <c r="L140" s="312">
        <f t="shared" si="25"/>
        <v>128791.18932677673</v>
      </c>
      <c r="M140" s="312">
        <f t="shared" si="25"/>
        <v>128088.38945374946</v>
      </c>
      <c r="N140" s="312">
        <f t="shared" si="25"/>
        <v>127328.09730332806</v>
      </c>
      <c r="O140" s="312">
        <f t="shared" si="25"/>
        <v>126507.31698806741</v>
      </c>
      <c r="P140" s="312">
        <f t="shared" si="25"/>
        <v>125622.91424599296</v>
      </c>
      <c r="Q140" s="312">
        <f t="shared" si="25"/>
        <v>153587.52325472285</v>
      </c>
      <c r="R140" s="312">
        <f t="shared" si="25"/>
        <v>123649.97568568334</v>
      </c>
      <c r="S140" s="312">
        <f t="shared" si="25"/>
        <v>122554.42322366644</v>
      </c>
      <c r="T140" s="312">
        <f t="shared" si="25"/>
        <v>-11511.318702258219</v>
      </c>
      <c r="U140" s="312">
        <f t="shared" si="25"/>
        <v>-12730.721176303392</v>
      </c>
      <c r="V140" s="312">
        <f t="shared" si="25"/>
        <v>-13974.511699829449</v>
      </c>
      <c r="W140" s="312">
        <f t="shared" si="25"/>
        <v>-15243.178033826041</v>
      </c>
      <c r="X140" s="312">
        <f t="shared" si="25"/>
        <v>-16537.217694502571</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-482464.71220336476</v>
      </c>
      <c r="F142" s="321">
        <f t="shared" si="26"/>
        <v>-488463.6967393175</v>
      </c>
      <c r="G142" s="321">
        <f t="shared" si="26"/>
        <v>-494615.11884804838</v>
      </c>
      <c r="H142" s="321">
        <f t="shared" si="26"/>
        <v>-500923.40674100025</v>
      </c>
      <c r="I142" s="321">
        <f t="shared" si="26"/>
        <v>-507393.13582089462</v>
      </c>
      <c r="J142" s="321">
        <f t="shared" si="26"/>
        <v>-514029.03411720617</v>
      </c>
      <c r="K142" s="321">
        <f t="shared" si="26"/>
        <v>-520835.98793624336</v>
      </c>
      <c r="L142" s="321">
        <f t="shared" si="26"/>
        <v>-527819.04773462436</v>
      </c>
      <c r="M142" s="321">
        <f t="shared" si="26"/>
        <v>-534983.43422531243</v>
      </c>
      <c r="N142" s="321">
        <f t="shared" si="26"/>
        <v>-542334.54472574778</v>
      </c>
      <c r="O142" s="321">
        <f t="shared" si="26"/>
        <v>-549877.9597580228</v>
      </c>
      <c r="P142" s="321">
        <f t="shared" si="26"/>
        <v>-557619.44991145167</v>
      </c>
      <c r="Q142" s="321">
        <f t="shared" si="26"/>
        <v>-688838.0854098089</v>
      </c>
      <c r="R142" s="321">
        <f t="shared" si="26"/>
        <v>-573720.73137411615</v>
      </c>
      <c r="S142" s="321">
        <f t="shared" si="26"/>
        <v>-582093.07985376171</v>
      </c>
      <c r="T142" s="321">
        <f t="shared" si="26"/>
        <v>309384.06920436391</v>
      </c>
      <c r="U142" s="321">
        <f t="shared" si="26"/>
        <v>314582.57448845124</v>
      </c>
      <c r="V142" s="321">
        <f t="shared" si="26"/>
        <v>319885.04987822025</v>
      </c>
      <c r="W142" s="321">
        <f t="shared" si="26"/>
        <v>325293.57477578463</v>
      </c>
      <c r="X142" s="321">
        <f t="shared" si="26"/>
        <v>330810.27017130039</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-5206189.9999999991</v>
      </c>
      <c r="E143" s="312">
        <f t="shared" ref="E143:AR143" si="27">E132+E140</f>
        <v>-148933.806025</v>
      </c>
      <c r="F143" s="312">
        <f t="shared" si="27"/>
        <v>-154932.79056095282</v>
      </c>
      <c r="G143" s="312">
        <f t="shared" si="27"/>
        <v>-161084.21266968362</v>
      </c>
      <c r="H143" s="312">
        <f t="shared" si="27"/>
        <v>-167392.50056263545</v>
      </c>
      <c r="I143" s="312">
        <f t="shared" si="27"/>
        <v>-173862.22964252977</v>
      </c>
      <c r="J143" s="312">
        <f t="shared" si="27"/>
        <v>-180498.12793884141</v>
      </c>
      <c r="K143" s="312">
        <f t="shared" si="27"/>
        <v>-187305.08175787859</v>
      </c>
      <c r="L143" s="312">
        <f t="shared" si="27"/>
        <v>-194288.14155625971</v>
      </c>
      <c r="M143" s="312">
        <f t="shared" si="27"/>
        <v>-201452.52804694773</v>
      </c>
      <c r="N143" s="312">
        <f t="shared" si="27"/>
        <v>-208803.63854738307</v>
      </c>
      <c r="O143" s="312">
        <f t="shared" si="27"/>
        <v>-216347.05357965798</v>
      </c>
      <c r="P143" s="312">
        <f t="shared" si="27"/>
        <v>-224088.54373308684</v>
      </c>
      <c r="Q143" s="312">
        <f t="shared" si="27"/>
        <v>-355307.17923144414</v>
      </c>
      <c r="R143" s="312">
        <f t="shared" si="27"/>
        <v>-240189.82519575136</v>
      </c>
      <c r="S143" s="312">
        <f t="shared" si="27"/>
        <v>-248562.173675397</v>
      </c>
      <c r="T143" s="312">
        <f t="shared" si="27"/>
        <v>309384.06920436391</v>
      </c>
      <c r="U143" s="312">
        <f t="shared" si="27"/>
        <v>314582.57448845124</v>
      </c>
      <c r="V143" s="312">
        <f t="shared" si="27"/>
        <v>319885.04987822025</v>
      </c>
      <c r="W143" s="312">
        <f t="shared" si="27"/>
        <v>325293.57477578463</v>
      </c>
      <c r="X143" s="312">
        <f t="shared" si="27"/>
        <v>330810.27017130039</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-1561856.9999999998</v>
      </c>
      <c r="E144" s="312">
        <f t="shared" ref="E144:AR144" si="28">E142</f>
        <v>-482464.71220336476</v>
      </c>
      <c r="F144" s="312">
        <f t="shared" si="28"/>
        <v>-488463.6967393175</v>
      </c>
      <c r="G144" s="312">
        <f t="shared" si="28"/>
        <v>-494615.11884804838</v>
      </c>
      <c r="H144" s="312">
        <f t="shared" si="28"/>
        <v>-500923.40674100025</v>
      </c>
      <c r="I144" s="312">
        <f t="shared" si="28"/>
        <v>-507393.13582089462</v>
      </c>
      <c r="J144" s="312">
        <f t="shared" si="28"/>
        <v>-514029.03411720617</v>
      </c>
      <c r="K144" s="312">
        <f t="shared" si="28"/>
        <v>-520835.98793624336</v>
      </c>
      <c r="L144" s="312">
        <f t="shared" si="28"/>
        <v>-527819.04773462436</v>
      </c>
      <c r="M144" s="312">
        <f t="shared" si="28"/>
        <v>-534983.43422531243</v>
      </c>
      <c r="N144" s="312">
        <f t="shared" si="28"/>
        <v>-542334.54472574778</v>
      </c>
      <c r="O144" s="312">
        <f t="shared" si="28"/>
        <v>-549877.9597580228</v>
      </c>
      <c r="P144" s="312">
        <f t="shared" si="28"/>
        <v>-557619.44991145167</v>
      </c>
      <c r="Q144" s="312">
        <f t="shared" si="28"/>
        <v>-688838.0854098089</v>
      </c>
      <c r="R144" s="312">
        <f t="shared" si="28"/>
        <v>-573720.73137411615</v>
      </c>
      <c r="S144" s="312">
        <f t="shared" si="28"/>
        <v>-582093.07985376171</v>
      </c>
      <c r="T144" s="312">
        <f t="shared" si="28"/>
        <v>309384.06920436391</v>
      </c>
      <c r="U144" s="312">
        <f t="shared" si="28"/>
        <v>314582.57448845124</v>
      </c>
      <c r="V144" s="312">
        <f t="shared" si="28"/>
        <v>319885.04987822025</v>
      </c>
      <c r="W144" s="312">
        <f t="shared" si="28"/>
        <v>325293.57477578463</v>
      </c>
      <c r="X144" s="312">
        <f t="shared" si="28"/>
        <v>330810.27017130039</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7400000</v>
      </c>
      <c r="F145" s="312">
        <f t="shared" si="29"/>
        <v>7400000</v>
      </c>
      <c r="G145" s="312">
        <f t="shared" si="29"/>
        <v>7400000</v>
      </c>
      <c r="H145" s="312">
        <f t="shared" si="29"/>
        <v>7400000</v>
      </c>
      <c r="I145" s="312">
        <f t="shared" si="29"/>
        <v>7400000</v>
      </c>
      <c r="J145" s="312">
        <f t="shared" si="29"/>
        <v>7400000</v>
      </c>
      <c r="K145" s="312">
        <f t="shared" si="29"/>
        <v>7400000</v>
      </c>
      <c r="L145" s="312">
        <f t="shared" si="29"/>
        <v>7400000</v>
      </c>
      <c r="M145" s="312">
        <f t="shared" si="29"/>
        <v>7400000</v>
      </c>
      <c r="N145" s="312">
        <f t="shared" si="29"/>
        <v>7400000</v>
      </c>
      <c r="O145" s="312">
        <f t="shared" si="29"/>
        <v>7400000</v>
      </c>
      <c r="P145" s="312">
        <f t="shared" si="29"/>
        <v>7400000</v>
      </c>
      <c r="Q145" s="312">
        <f t="shared" si="29"/>
        <v>7400000</v>
      </c>
      <c r="R145" s="312">
        <f t="shared" si="29"/>
        <v>7400000</v>
      </c>
      <c r="S145" s="312">
        <f t="shared" si="29"/>
        <v>7400000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5206189.9999999991</v>
      </c>
      <c r="E146" s="323">
        <f t="shared" ref="E146:AR146" si="30">IF(E112&lt;=$C76,D146-($C$5*E118+E132+E135),D146-(E132+E135))</f>
        <v>4857934.1524999989</v>
      </c>
      <c r="F146" s="323">
        <f t="shared" si="30"/>
        <v>4507711.0179686686</v>
      </c>
      <c r="G146" s="323">
        <f t="shared" si="30"/>
        <v>4155310.4197071758</v>
      </c>
      <c r="H146" s="323">
        <f t="shared" si="30"/>
        <v>3800510.7171669891</v>
      </c>
      <c r="I146" s="323">
        <f t="shared" si="30"/>
        <v>3443078.2681094641</v>
      </c>
      <c r="J146" s="323">
        <f t="shared" si="30"/>
        <v>3082766.8668946777</v>
      </c>
      <c r="K146" s="323">
        <f t="shared" si="30"/>
        <v>2719317.1578647518</v>
      </c>
      <c r="L146" s="323">
        <f t="shared" si="30"/>
        <v>2352456.0227425243</v>
      </c>
      <c r="M146" s="323">
        <f t="shared" si="30"/>
        <v>1981895.9409201532</v>
      </c>
      <c r="N146" s="323">
        <f t="shared" si="30"/>
        <v>1607334.3214639851</v>
      </c>
      <c r="O146" s="323">
        <f t="shared" si="30"/>
        <v>1228452.8056117084</v>
      </c>
      <c r="P146" s="323">
        <f t="shared" si="30"/>
        <v>844916.53848535556</v>
      </c>
      <c r="Q146" s="323">
        <f t="shared" si="30"/>
        <v>608562.42403652845</v>
      </c>
      <c r="R146" s="323">
        <f t="shared" si="30"/>
        <v>214642.26975065132</v>
      </c>
      <c r="S146" s="323">
        <f t="shared" si="30"/>
        <v>-185043.95012478833</v>
      </c>
      <c r="T146" s="323">
        <f t="shared" si="30"/>
        <v>-505939.33803141047</v>
      </c>
      <c r="U146" s="323">
        <f t="shared" si="30"/>
        <v>-833252.63369616517</v>
      </c>
      <c r="V146" s="323">
        <f t="shared" si="30"/>
        <v>-1167112.1952742147</v>
      </c>
      <c r="W146" s="323">
        <f t="shared" si="30"/>
        <v>-1507648.9480838254</v>
      </c>
      <c r="X146" s="323">
        <f t="shared" si="30"/>
        <v>-1854996.4359496282</v>
      </c>
      <c r="Y146" s="323">
        <f t="shared" si="30"/>
        <v>-1854996.4359496282</v>
      </c>
      <c r="Z146" s="323">
        <f t="shared" si="30"/>
        <v>-1854996.4359496282</v>
      </c>
      <c r="AA146" s="323">
        <f t="shared" si="30"/>
        <v>-1854996.4359496282</v>
      </c>
      <c r="AB146" s="323">
        <f t="shared" si="30"/>
        <v>-1854996.4359496282</v>
      </c>
      <c r="AC146" s="323">
        <f t="shared" si="30"/>
        <v>-1854996.4359496282</v>
      </c>
      <c r="AD146" s="323">
        <f t="shared" si="30"/>
        <v>-1854996.4359496282</v>
      </c>
      <c r="AE146" s="323">
        <f t="shared" si="30"/>
        <v>-1854996.4359496282</v>
      </c>
      <c r="AF146" s="323">
        <f t="shared" si="30"/>
        <v>-1854996.4359496282</v>
      </c>
      <c r="AG146" s="323">
        <f t="shared" si="30"/>
        <v>-1854996.4359496282</v>
      </c>
      <c r="AH146" s="323">
        <f t="shared" si="30"/>
        <v>-1854996.4359496282</v>
      </c>
      <c r="AI146" s="323">
        <f t="shared" si="30"/>
        <v>-1854996.4359496282</v>
      </c>
      <c r="AJ146" s="323">
        <f t="shared" si="30"/>
        <v>-1854996.4359496282</v>
      </c>
      <c r="AK146" s="323">
        <f t="shared" si="30"/>
        <v>-1854996.4359496282</v>
      </c>
      <c r="AL146" s="323">
        <f t="shared" si="30"/>
        <v>-1854996.4359496282</v>
      </c>
      <c r="AM146" s="323">
        <f t="shared" si="30"/>
        <v>-1854996.4359496282</v>
      </c>
      <c r="AN146" s="323">
        <f t="shared" si="30"/>
        <v>-1854996.4359496282</v>
      </c>
      <c r="AO146" s="323">
        <f t="shared" si="30"/>
        <v>-1854996.4359496282</v>
      </c>
      <c r="AP146" s="323">
        <f t="shared" si="30"/>
        <v>-1854996.4359496282</v>
      </c>
      <c r="AQ146" s="323">
        <f t="shared" si="30"/>
        <v>-1854996.4359496282</v>
      </c>
      <c r="AR146" s="324">
        <f t="shared" si="30"/>
        <v>-1854996.4359496282</v>
      </c>
    </row>
    <row r="147" spans="1:44" ht="12.95" customHeight="1">
      <c r="B147" s="267" t="s">
        <v>577</v>
      </c>
      <c r="C147" s="268"/>
      <c r="D147" s="325"/>
      <c r="E147" s="326">
        <f t="shared" ref="E147:AR147" si="31">IF(E112&gt;$C$74,"",(-$C$94*(E139+$C$5*E118)+E132+$C$5*E118)/-E137)</f>
        <v>1.4584261457163679</v>
      </c>
      <c r="F147" s="326">
        <f t="shared" si="31"/>
        <v>1.4404398529176288</v>
      </c>
      <c r="G147" s="326">
        <f t="shared" si="31"/>
        <v>1.4219965182977146</v>
      </c>
      <c r="H147" s="326">
        <f t="shared" si="31"/>
        <v>1.4030828650916805</v>
      </c>
      <c r="I147" s="326">
        <f t="shared" si="31"/>
        <v>1.3836851752223212</v>
      </c>
      <c r="J147" s="326">
        <f t="shared" si="31"/>
        <v>1.3637892730034038</v>
      </c>
      <c r="K147" s="326">
        <f t="shared" si="31"/>
        <v>1.3433805081994701</v>
      </c>
      <c r="L147" s="326">
        <f t="shared" si="31"/>
        <v>1.3224437384158425</v>
      </c>
      <c r="M147" s="326">
        <f t="shared" si="31"/>
        <v>1.3009633107913732</v>
      </c>
      <c r="N147" s="326">
        <f t="shared" si="31"/>
        <v>1.278923042965326</v>
      </c>
      <c r="O147" s="326">
        <f t="shared" si="31"/>
        <v>1.2563062032885828</v>
      </c>
      <c r="P147" s="326">
        <f t="shared" si="31"/>
        <v>1.2330954902481279</v>
      </c>
      <c r="Q147" s="326">
        <f t="shared" si="31"/>
        <v>0.83967277268988016</v>
      </c>
      <c r="R147" s="326">
        <f t="shared" si="31"/>
        <v>1.1848202594841946</v>
      </c>
      <c r="S147" s="326">
        <f t="shared" si="31"/>
        <v>1.1597180925648616</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-4440361.5483070202</v>
      </c>
      <c r="D150" s="271" t="s">
        <v>580</v>
      </c>
    </row>
    <row r="151" spans="1:44">
      <c r="B151" s="72" t="s">
        <v>581</v>
      </c>
      <c r="C151" s="272">
        <f>(1-$C$94)*NPV($C$91,E145:AR145)</f>
        <v>56359597.115282513</v>
      </c>
      <c r="D151" s="271" t="str">
        <f>$C$7</f>
        <v>kWh</v>
      </c>
      <c r="F151" s="273"/>
    </row>
    <row r="152" spans="1:44">
      <c r="B152" s="72" t="s">
        <v>582</v>
      </c>
      <c r="C152" s="272">
        <f>$C$41*1000000</f>
        <v>5206189.9999999991</v>
      </c>
      <c r="D152" s="271" t="s">
        <v>528</v>
      </c>
      <c r="F152" s="46"/>
    </row>
    <row r="153" spans="1:44">
      <c r="B153" s="72" t="s">
        <v>583</v>
      </c>
      <c r="C153" s="274">
        <f>AVERAGE(E147:AR147)</f>
        <v>1.2927162165931183</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-0.11906248261238805</v>
      </c>
      <c r="D155" s="271"/>
      <c r="F155" s="46"/>
      <c r="G155" s="47"/>
    </row>
    <row r="156" spans="1:44">
      <c r="B156" s="72" t="s">
        <v>586</v>
      </c>
      <c r="C156" s="95" t="str">
        <f>IFERROR(IRR(D144:AR144),"n.v.t.")</f>
        <v>n.v.t.</v>
      </c>
      <c r="D156" s="271"/>
      <c r="G156" s="47"/>
    </row>
    <row r="157" spans="1:44">
      <c r="B157" s="72" t="s">
        <v>587</v>
      </c>
      <c r="C157" s="272">
        <f>$C$92*C152-C97</f>
        <v>3644332.9999999991</v>
      </c>
      <c r="D157" s="271" t="s">
        <v>528</v>
      </c>
      <c r="F157" s="33"/>
    </row>
    <row r="158" spans="1:44">
      <c r="B158" s="72" t="s">
        <v>588</v>
      </c>
      <c r="C158" s="272">
        <f>$C$93*C152-C98</f>
        <v>1561856.9999999998</v>
      </c>
      <c r="D158" s="271" t="s">
        <v>528</v>
      </c>
      <c r="F158" s="33"/>
    </row>
    <row r="159" spans="1:44">
      <c r="B159" s="72" t="s">
        <v>332</v>
      </c>
      <c r="C159" s="95">
        <f>IF(AND(E115&gt;0,E116&gt;0),ROUND(E116/E115,2),0)</f>
        <v>0</v>
      </c>
      <c r="D159" s="271" t="s">
        <v>589</v>
      </c>
      <c r="F159" s="33"/>
    </row>
    <row r="160" spans="1:44">
      <c r="B160" s="72" t="s">
        <v>590</v>
      </c>
      <c r="C160" s="95">
        <f>IF(C159=0,MAX(C29:C30),E118/SUM(C26,C28))</f>
        <v>740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0,086</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8.5999999999999993E-2</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0,110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0.11</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0,111</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44" priority="3" operator="containsText" text="Pas op">
      <formula>NOT(ISERROR(SEARCH("Pas op",G1)))</formula>
    </cfRule>
  </conditionalFormatting>
  <conditionalFormatting sqref="G188">
    <cfRule type="containsText" dxfId="43" priority="2" operator="containsText" text="Pas op">
      <formula>NOT(ISERROR(SEARCH("Pas op",G188)))</formula>
    </cfRule>
  </conditionalFormatting>
  <conditionalFormatting sqref="G105">
    <cfRule type="containsText" dxfId="42"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D782C6EA-0699-4240-97DC-1971D487644F}">
      <formula1>"ja,nee"</formula1>
    </dataValidation>
    <dataValidation type="list" allowBlank="1" showErrorMessage="1" error="Alleen de opties aangegeven in de dropdownlijst zijn toegestaan" sqref="C7" xr:uid="{2A475467-FAF3-4996-85AA-0F6E7A017D3D}">
      <formula1>"t CO2,kWh"</formula1>
    </dataValidation>
    <dataValidation type="list" allowBlank="1" showErrorMessage="1" error="Alleen de opties aangegeven in de dropdownlijst zijn toegestaan" sqref="C14" xr:uid="{9A4A3FC3-5412-4FF9-9311-25669295F566}">
      <formula1>"Nee,Ja,Geen warmte"</formula1>
    </dataValidation>
    <dataValidation type="list" allowBlank="1" showErrorMessage="1" error="Alleen de opties aangegeven in de dropdownlijst zijn toegestaan" sqref="C9" xr:uid="{770602C2-3945-4093-B28C-5F41133C8D26}">
      <formula1>"Elektriciteit,Lagetemperatuurwarmte,Hogetemperatuurwarmte,Moleculen,CCS/CCU,Generiek"</formula1>
    </dataValidation>
    <dataValidation type="decimal" allowBlank="1" showErrorMessage="1" error="Alleen getallen tussen 0 en 1.0 toegestaan. Vul in met een punt, geen comma" sqref="C17:C18" xr:uid="{CA133003-EE84-4822-BEC2-5B05BBD7312E}">
      <formula1>0</formula1>
      <formula2>1</formula2>
    </dataValidation>
    <dataValidation type="decimal" operator="notBetween" allowBlank="1" showInputMessage="1" sqref="C39:C49" xr:uid="{7ECC7D81-A862-48E9-9532-FC6BD062F844}">
      <formula1>0</formula1>
      <formula2>0</formula2>
    </dataValidation>
    <dataValidation type="decimal" operator="notBetween" allowBlank="1" showInputMessage="1" showErrorMessage="1" sqref="C52:C60 C63:C65 C67:C70" xr:uid="{6F6B5F1E-B1B0-4E7D-970F-777886E2D189}">
      <formula1>0</formula1>
      <formula2>0</formula2>
    </dataValidation>
    <dataValidation type="decimal" operator="greaterThanOrEqual" allowBlank="1" showInputMessage="1" sqref="C21 C24:C30 C33:C36" xr:uid="{F53BC498-D7FD-4DF4-8B51-8325DB09AEB6}">
      <formula1>0</formula1>
    </dataValidation>
    <dataValidation type="decimal" operator="greaterThanOrEqual" allowBlank="1" showInputMessage="1" showErrorMessage="1" sqref="C73:C77" xr:uid="{B5499C09-F9CA-4EE3-A50C-1A4EAAD35B6C}">
      <formula1>0</formula1>
    </dataValidation>
    <dataValidation type="decimal" operator="greaterThan" allowBlank="1" showInputMessage="1" showErrorMessage="1" sqref="C80:C86 C89:C94" xr:uid="{E49B69DF-46C3-4665-B6D7-B29BA10918F1}">
      <formula1>0</formula1>
    </dataValidation>
    <dataValidation type="list" operator="greaterThanOrEqual" allowBlank="1" showInputMessage="1" sqref="C23" xr:uid="{A02E6260-A595-411D-A588-C60A0D4A0F2F}">
      <formula1>"Ja"</formula1>
    </dataValidation>
    <dataValidation type="decimal" operator="greaterThan" allowBlank="1" showInputMessage="1" showErrorMessage="1" error="Alleen getallen boven de 0 toegstaan" sqref="C22" xr:uid="{378F756F-E337-40CA-B4EF-C2E3DC7F1252}">
      <formula1>0</formula1>
    </dataValidation>
    <dataValidation operator="notBetween" allowBlank="1" showInputMessage="1" showErrorMessage="1" sqref="C66" xr:uid="{2353276D-6B3F-4C56-82A8-A7410F8A8C8F}"/>
  </dataValidations>
  <pageMargins left="0.7" right="0.7" top="0.75" bottom="0.75" header="0.3" footer="0.3"/>
  <pageSetup paperSize="9" scale="1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2F45-F799-4025-A77A-F2A7258C4510}">
  <sheetPr codeName="Sheet100">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613</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0.114</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506.17283950617298</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IFERROR(INDEX(Correcties!$A$1:$I$334,MATCH('8'!C12,Correcties!$A$1:$A$334,0),5),"")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230</v>
      </c>
      <c r="D16" s="75" t="str">
        <f>_xlfn.XLOOKUP(C16,Correcties!A4:A37,Correcties!B4:B37,"")</f>
        <v>Elektricteit-ZonPV-niet-netlevering, groot</v>
      </c>
      <c r="E16" s="417" t="str">
        <f>"Enkel relevant voor zon-pv. "&amp;_xlfn.XLOOKUP(C16,Correcties!A4:A37,Correcties!E4:E37,"")</f>
        <v>Enkel relevant voor zon-pv. EPEX3 x PF_PV3 + EB3_e + ODE3_e</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10000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740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587</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5.9110899999999988</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19.600000000000001</v>
      </c>
      <c r="D43" s="75" t="str">
        <f>CONCATENATE("Euro/",$C$8,"/jaar")</f>
        <v>Euro/kW/jaar</v>
      </c>
      <c r="E43" s="417" t="s">
        <v>463</v>
      </c>
      <c r="F43" s="431"/>
      <c r="G43" s="431"/>
      <c r="H43" s="431"/>
      <c r="I43" s="431"/>
      <c r="J43" s="431"/>
      <c r="K43" s="431"/>
      <c r="L43" s="431"/>
      <c r="M43" s="432"/>
    </row>
    <row r="44" spans="2:13" ht="15" customHeight="1">
      <c r="B44" s="72" t="s">
        <v>465</v>
      </c>
      <c r="C44" s="239">
        <f>(C42*C21+C43*SUM(C26,C28))/1000</f>
        <v>196</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8.1299999999999997E-2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7.46E-2</v>
      </c>
      <c r="D80" s="75" t="s">
        <v>511</v>
      </c>
      <c r="E80" s="417" t="s">
        <v>512</v>
      </c>
      <c r="F80" s="431"/>
      <c r="G80" s="431"/>
      <c r="H80" s="431"/>
      <c r="I80" s="431"/>
      <c r="J80" s="431"/>
      <c r="K80" s="431"/>
      <c r="L80" s="431"/>
      <c r="M80" s="432"/>
    </row>
    <row r="81" spans="2:13" ht="15" customHeight="1">
      <c r="B81" s="72" t="s">
        <v>513</v>
      </c>
      <c r="C81" s="240">
        <v>690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111000000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145500000</v>
      </c>
      <c r="D85" s="74" t="str">
        <f>C7</f>
        <v>kWh</v>
      </c>
      <c r="E85" s="417"/>
      <c r="F85" s="431"/>
      <c r="G85" s="431"/>
      <c r="H85" s="431"/>
      <c r="I85" s="431"/>
      <c r="J85" s="431"/>
      <c r="K85" s="431"/>
      <c r="L85" s="431"/>
      <c r="M85" s="432"/>
    </row>
    <row r="86" spans="2:13" ht="15" customHeight="1">
      <c r="B86" s="89" t="s">
        <v>518</v>
      </c>
      <c r="C86" s="96">
        <f ca="1">C85/C84</f>
        <v>1.3108108108108107</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-120000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-5911089.9999999991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7400000</v>
      </c>
      <c r="F115" s="312">
        <f t="shared" si="4"/>
        <v>7400000</v>
      </c>
      <c r="G115" s="312">
        <f t="shared" si="4"/>
        <v>7400000</v>
      </c>
      <c r="H115" s="312">
        <f t="shared" si="4"/>
        <v>7400000</v>
      </c>
      <c r="I115" s="312">
        <f t="shared" si="4"/>
        <v>7400000</v>
      </c>
      <c r="J115" s="312">
        <f t="shared" si="4"/>
        <v>7400000</v>
      </c>
      <c r="K115" s="312">
        <f t="shared" si="4"/>
        <v>7400000</v>
      </c>
      <c r="L115" s="312">
        <f t="shared" si="4"/>
        <v>7400000</v>
      </c>
      <c r="M115" s="312">
        <f t="shared" si="4"/>
        <v>7400000</v>
      </c>
      <c r="N115" s="312">
        <f t="shared" si="4"/>
        <v>7400000</v>
      </c>
      <c r="O115" s="312">
        <f t="shared" si="4"/>
        <v>7400000</v>
      </c>
      <c r="P115" s="312">
        <f t="shared" si="4"/>
        <v>7400000</v>
      </c>
      <c r="Q115" s="312">
        <f t="shared" si="4"/>
        <v>7400000</v>
      </c>
      <c r="R115" s="312">
        <f t="shared" si="4"/>
        <v>7400000</v>
      </c>
      <c r="S115" s="312">
        <f t="shared" si="4"/>
        <v>7400000</v>
      </c>
      <c r="T115" s="312">
        <f t="shared" si="4"/>
        <v>6900000</v>
      </c>
      <c r="U115" s="312">
        <f t="shared" si="4"/>
        <v>6900000</v>
      </c>
      <c r="V115" s="312">
        <f t="shared" si="4"/>
        <v>6900000</v>
      </c>
      <c r="W115" s="312">
        <f t="shared" si="4"/>
        <v>6900000</v>
      </c>
      <c r="X115" s="312">
        <f t="shared" si="4"/>
        <v>6900000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7400000</v>
      </c>
      <c r="F118" s="315">
        <f t="shared" si="7"/>
        <v>7400000</v>
      </c>
      <c r="G118" s="315">
        <f t="shared" si="7"/>
        <v>7400000</v>
      </c>
      <c r="H118" s="315">
        <f t="shared" si="7"/>
        <v>7400000</v>
      </c>
      <c r="I118" s="315">
        <f t="shared" si="7"/>
        <v>7400000</v>
      </c>
      <c r="J118" s="315">
        <f t="shared" si="7"/>
        <v>7400000</v>
      </c>
      <c r="K118" s="315">
        <f t="shared" si="7"/>
        <v>7400000</v>
      </c>
      <c r="L118" s="315">
        <f t="shared" si="7"/>
        <v>7400000</v>
      </c>
      <c r="M118" s="315">
        <f t="shared" si="7"/>
        <v>7400000</v>
      </c>
      <c r="N118" s="315">
        <f t="shared" si="7"/>
        <v>7400000</v>
      </c>
      <c r="O118" s="315">
        <f t="shared" si="7"/>
        <v>7400000</v>
      </c>
      <c r="P118" s="315">
        <f t="shared" si="7"/>
        <v>7400000</v>
      </c>
      <c r="Q118" s="315">
        <f t="shared" si="7"/>
        <v>7400000</v>
      </c>
      <c r="R118" s="315">
        <f t="shared" si="7"/>
        <v>7400000</v>
      </c>
      <c r="S118" s="315">
        <f t="shared" si="7"/>
        <v>7400000</v>
      </c>
      <c r="T118" s="315">
        <f t="shared" si="7"/>
        <v>6900000</v>
      </c>
      <c r="U118" s="315">
        <f t="shared" si="7"/>
        <v>6900000</v>
      </c>
      <c r="V118" s="315">
        <f t="shared" si="7"/>
        <v>6900000</v>
      </c>
      <c r="W118" s="315">
        <f t="shared" si="7"/>
        <v>6900000</v>
      </c>
      <c r="X118" s="315">
        <f t="shared" si="7"/>
        <v>6900000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-269260</v>
      </c>
      <c r="F120" s="312">
        <f t="shared" si="8"/>
        <v>-274645.2</v>
      </c>
      <c r="G120" s="312">
        <f t="shared" si="8"/>
        <v>-280138.10399999999</v>
      </c>
      <c r="H120" s="312">
        <f t="shared" si="8"/>
        <v>-285740.86608000001</v>
      </c>
      <c r="I120" s="312">
        <f t="shared" si="8"/>
        <v>-291455.68340159999</v>
      </c>
      <c r="J120" s="312">
        <f t="shared" si="8"/>
        <v>-297284.79706963198</v>
      </c>
      <c r="K120" s="312">
        <f t="shared" si="8"/>
        <v>-303230.49301102466</v>
      </c>
      <c r="L120" s="312">
        <f t="shared" si="8"/>
        <v>-309295.10287124506</v>
      </c>
      <c r="M120" s="312">
        <f t="shared" si="8"/>
        <v>-315481.00492867001</v>
      </c>
      <c r="N120" s="312">
        <f t="shared" si="8"/>
        <v>-321790.6250272434</v>
      </c>
      <c r="O120" s="312">
        <f t="shared" si="8"/>
        <v>-328226.43752778828</v>
      </c>
      <c r="P120" s="312">
        <f t="shared" si="8"/>
        <v>-334790.96627834399</v>
      </c>
      <c r="Q120" s="312">
        <f t="shared" si="8"/>
        <v>-493675.80095141637</v>
      </c>
      <c r="R120" s="312">
        <f t="shared" si="8"/>
        <v>-348316.52131598914</v>
      </c>
      <c r="S120" s="312">
        <f t="shared" si="8"/>
        <v>-355282.85174230894</v>
      </c>
      <c r="T120" s="312">
        <f t="shared" si="8"/>
        <v>-355726.46050245059</v>
      </c>
      <c r="U120" s="312">
        <f t="shared" si="8"/>
        <v>-362840.98971249966</v>
      </c>
      <c r="V120" s="312">
        <f t="shared" si="8"/>
        <v>-370097.80950674968</v>
      </c>
      <c r="W120" s="312">
        <f t="shared" si="8"/>
        <v>-377499.76569688466</v>
      </c>
      <c r="X120" s="312">
        <f t="shared" si="8"/>
        <v>-385049.76101082232</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0.10040177803898004</v>
      </c>
      <c r="U122" s="317">
        <f t="shared" si="10"/>
        <v>0.10240981359975966</v>
      </c>
      <c r="V122" s="317">
        <f t="shared" si="10"/>
        <v>0.10445800987175485</v>
      </c>
      <c r="W122" s="317">
        <f t="shared" si="10"/>
        <v>0.10654717006918994</v>
      </c>
      <c r="X122" s="317">
        <f t="shared" si="10"/>
        <v>0.10867811347057374</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692772.26846896228</v>
      </c>
      <c r="U127" s="312">
        <f t="shared" si="15"/>
        <v>706627.71383834165</v>
      </c>
      <c r="V127" s="312">
        <f t="shared" si="15"/>
        <v>720760.26811510848</v>
      </c>
      <c r="W127" s="312">
        <f t="shared" si="15"/>
        <v>735175.47347741062</v>
      </c>
      <c r="X127" s="312">
        <f t="shared" si="15"/>
        <v>749878.98294695886</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692772.26846896228</v>
      </c>
      <c r="U130" s="312">
        <f t="shared" si="17"/>
        <v>706627.71383834165</v>
      </c>
      <c r="V130" s="312">
        <f t="shared" si="17"/>
        <v>720760.26811510848</v>
      </c>
      <c r="W130" s="312">
        <f t="shared" si="17"/>
        <v>735175.47347741062</v>
      </c>
      <c r="X130" s="312">
        <f t="shared" si="17"/>
        <v>749878.98294695886</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-269260</v>
      </c>
      <c r="F131" s="312">
        <f t="shared" si="18"/>
        <v>-274645.2</v>
      </c>
      <c r="G131" s="312">
        <f t="shared" si="18"/>
        <v>-280138.10399999999</v>
      </c>
      <c r="H131" s="312">
        <f t="shared" si="18"/>
        <v>-285740.86608000001</v>
      </c>
      <c r="I131" s="312">
        <f t="shared" si="18"/>
        <v>-291455.68340159999</v>
      </c>
      <c r="J131" s="312">
        <f t="shared" si="18"/>
        <v>-297284.79706963198</v>
      </c>
      <c r="K131" s="312">
        <f t="shared" si="18"/>
        <v>-303230.49301102466</v>
      </c>
      <c r="L131" s="312">
        <f t="shared" si="18"/>
        <v>-309295.10287124506</v>
      </c>
      <c r="M131" s="312">
        <f t="shared" si="18"/>
        <v>-315481.00492867001</v>
      </c>
      <c r="N131" s="312">
        <f t="shared" si="18"/>
        <v>-321790.6250272434</v>
      </c>
      <c r="O131" s="312">
        <f t="shared" si="18"/>
        <v>-328226.43752778828</v>
      </c>
      <c r="P131" s="312">
        <f t="shared" si="18"/>
        <v>-334790.96627834399</v>
      </c>
      <c r="Q131" s="312">
        <f t="shared" si="18"/>
        <v>-493675.80095141637</v>
      </c>
      <c r="R131" s="312">
        <f t="shared" si="18"/>
        <v>-348316.52131598914</v>
      </c>
      <c r="S131" s="312">
        <f t="shared" si="18"/>
        <v>-355282.85174230894</v>
      </c>
      <c r="T131" s="312">
        <f t="shared" si="18"/>
        <v>-355726.46050245059</v>
      </c>
      <c r="U131" s="312">
        <f t="shared" si="18"/>
        <v>-362840.98971249966</v>
      </c>
      <c r="V131" s="312">
        <f t="shared" si="18"/>
        <v>-370097.80950674968</v>
      </c>
      <c r="W131" s="312">
        <f t="shared" si="18"/>
        <v>-377499.76569688466</v>
      </c>
      <c r="X131" s="312">
        <f t="shared" si="18"/>
        <v>-385049.76101082232</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-269260</v>
      </c>
      <c r="F132" s="321">
        <f t="shared" si="19"/>
        <v>-274645.2</v>
      </c>
      <c r="G132" s="321">
        <f t="shared" si="19"/>
        <v>-280138.10399999999</v>
      </c>
      <c r="H132" s="321">
        <f t="shared" si="19"/>
        <v>-285740.86608000001</v>
      </c>
      <c r="I132" s="321">
        <f t="shared" si="19"/>
        <v>-291455.68340159999</v>
      </c>
      <c r="J132" s="321">
        <f t="shared" si="19"/>
        <v>-297284.79706963198</v>
      </c>
      <c r="K132" s="321">
        <f t="shared" si="19"/>
        <v>-303230.49301102466</v>
      </c>
      <c r="L132" s="321">
        <f t="shared" si="19"/>
        <v>-309295.10287124506</v>
      </c>
      <c r="M132" s="321">
        <f t="shared" si="19"/>
        <v>-315481.00492867001</v>
      </c>
      <c r="N132" s="321">
        <f t="shared" si="19"/>
        <v>-321790.6250272434</v>
      </c>
      <c r="O132" s="321">
        <f t="shared" si="19"/>
        <v>-328226.43752778828</v>
      </c>
      <c r="P132" s="321">
        <f t="shared" si="19"/>
        <v>-334790.96627834399</v>
      </c>
      <c r="Q132" s="321">
        <f t="shared" si="19"/>
        <v>-493675.80095141637</v>
      </c>
      <c r="R132" s="321">
        <f t="shared" si="19"/>
        <v>-348316.52131598914</v>
      </c>
      <c r="S132" s="321">
        <f t="shared" si="19"/>
        <v>-355282.85174230894</v>
      </c>
      <c r="T132" s="321">
        <f t="shared" si="19"/>
        <v>337045.8079665117</v>
      </c>
      <c r="U132" s="321">
        <f t="shared" si="19"/>
        <v>343786.72412584198</v>
      </c>
      <c r="V132" s="321">
        <f t="shared" si="19"/>
        <v>350662.45860835881</v>
      </c>
      <c r="W132" s="321">
        <f t="shared" si="19"/>
        <v>357675.70778052596</v>
      </c>
      <c r="X132" s="321">
        <f t="shared" si="19"/>
        <v>364829.22193613654</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-295554.49999999994</v>
      </c>
      <c r="F134" s="312">
        <f t="shared" si="20"/>
        <v>-295554.49999999994</v>
      </c>
      <c r="G134" s="312">
        <f t="shared" si="20"/>
        <v>-295554.49999999994</v>
      </c>
      <c r="H134" s="312">
        <f t="shared" si="20"/>
        <v>-295554.49999999994</v>
      </c>
      <c r="I134" s="312">
        <f t="shared" si="20"/>
        <v>-295554.49999999994</v>
      </c>
      <c r="J134" s="312">
        <f t="shared" si="20"/>
        <v>-295554.49999999994</v>
      </c>
      <c r="K134" s="312">
        <f t="shared" si="20"/>
        <v>-295554.49999999994</v>
      </c>
      <c r="L134" s="312">
        <f t="shared" si="20"/>
        <v>-295554.49999999994</v>
      </c>
      <c r="M134" s="312">
        <f t="shared" si="20"/>
        <v>-295554.49999999994</v>
      </c>
      <c r="N134" s="312">
        <f t="shared" si="20"/>
        <v>-295554.49999999994</v>
      </c>
      <c r="O134" s="312">
        <f t="shared" si="20"/>
        <v>-295554.49999999994</v>
      </c>
      <c r="P134" s="312">
        <f t="shared" si="20"/>
        <v>-295554.49999999994</v>
      </c>
      <c r="Q134" s="312">
        <f t="shared" si="20"/>
        <v>-295554.49999999994</v>
      </c>
      <c r="R134" s="312">
        <f t="shared" si="20"/>
        <v>-295554.49999999994</v>
      </c>
      <c r="S134" s="312">
        <f t="shared" si="20"/>
        <v>-295554.49999999994</v>
      </c>
      <c r="T134" s="312">
        <f t="shared" si="20"/>
        <v>-295554.49999999994</v>
      </c>
      <c r="U134" s="312">
        <f t="shared" si="20"/>
        <v>-295554.49999999994</v>
      </c>
      <c r="V134" s="312">
        <f t="shared" si="20"/>
        <v>-295554.49999999994</v>
      </c>
      <c r="W134" s="312">
        <f t="shared" si="20"/>
        <v>-295554.49999999994</v>
      </c>
      <c r="X134" s="312">
        <f t="shared" si="20"/>
        <v>-295554.49999999994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-175854.92749999999</v>
      </c>
      <c r="F135" s="312">
        <f t="shared" si="21"/>
        <v>-167234.44415881817</v>
      </c>
      <c r="G135" s="312">
        <f t="shared" si="21"/>
        <v>-158247.59027563612</v>
      </c>
      <c r="H135" s="312">
        <f t="shared" si="21"/>
        <v>-148878.79510241881</v>
      </c>
      <c r="I135" s="312">
        <f t="shared" si="21"/>
        <v>-139111.82613433976</v>
      </c>
      <c r="J135" s="312">
        <f t="shared" si="21"/>
        <v>-128929.76098511736</v>
      </c>
      <c r="K135" s="312">
        <f t="shared" si="21"/>
        <v>-118314.95806705301</v>
      </c>
      <c r="L135" s="312">
        <f t="shared" si="21"/>
        <v>-107249.02602497095</v>
      </c>
      <c r="M135" s="312">
        <f t="shared" si="21"/>
        <v>-95712.791871100373</v>
      </c>
      <c r="N135" s="312">
        <f t="shared" si="21"/>
        <v>-83686.267765690325</v>
      </c>
      <c r="O135" s="312">
        <f t="shared" si="21"/>
        <v>-71148.616385800313</v>
      </c>
      <c r="P135" s="312">
        <f t="shared" si="21"/>
        <v>-58078.114822265008</v>
      </c>
      <c r="Q135" s="312">
        <f t="shared" si="21"/>
        <v>-44452.116942279434</v>
      </c>
      <c r="R135" s="312">
        <f t="shared" si="21"/>
        <v>-30247.014152394477</v>
      </c>
      <c r="S135" s="312">
        <f t="shared" si="21"/>
        <v>-15438.194493939409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-202834.90214545483</v>
      </c>
      <c r="F136" s="312">
        <f t="shared" si="22"/>
        <v>-211455.38548663666</v>
      </c>
      <c r="G136" s="312">
        <f t="shared" si="22"/>
        <v>-220442.23936981877</v>
      </c>
      <c r="H136" s="312">
        <f t="shared" si="22"/>
        <v>-229811.03454303602</v>
      </c>
      <c r="I136" s="312">
        <f t="shared" si="22"/>
        <v>-239578.00351111506</v>
      </c>
      <c r="J136" s="312">
        <f t="shared" si="22"/>
        <v>-249760.06866033745</v>
      </c>
      <c r="K136" s="312">
        <f t="shared" si="22"/>
        <v>-260374.8715784018</v>
      </c>
      <c r="L136" s="312">
        <f t="shared" si="22"/>
        <v>-271440.8036204839</v>
      </c>
      <c r="M136" s="312">
        <f t="shared" si="22"/>
        <v>-282977.03777435445</v>
      </c>
      <c r="N136" s="312">
        <f t="shared" si="22"/>
        <v>-295003.56187976449</v>
      </c>
      <c r="O136" s="312">
        <f t="shared" si="22"/>
        <v>-307541.21325965453</v>
      </c>
      <c r="P136" s="312">
        <f t="shared" si="22"/>
        <v>-320611.71482318983</v>
      </c>
      <c r="Q136" s="312">
        <f t="shared" si="22"/>
        <v>-334237.71270317538</v>
      </c>
      <c r="R136" s="312">
        <f t="shared" si="22"/>
        <v>-348442.81549306033</v>
      </c>
      <c r="S136" s="312">
        <f t="shared" si="22"/>
        <v>-363251.63515151542</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-378689.82964545483</v>
      </c>
      <c r="F137" s="321">
        <f t="shared" si="23"/>
        <v>-378689.82964545483</v>
      </c>
      <c r="G137" s="321">
        <f t="shared" si="23"/>
        <v>-378689.82964545488</v>
      </c>
      <c r="H137" s="321">
        <f t="shared" si="23"/>
        <v>-378689.82964545483</v>
      </c>
      <c r="I137" s="321">
        <f t="shared" si="23"/>
        <v>-378689.82964545483</v>
      </c>
      <c r="J137" s="321">
        <f t="shared" si="23"/>
        <v>-378689.82964545483</v>
      </c>
      <c r="K137" s="321">
        <f t="shared" si="23"/>
        <v>-378689.82964545483</v>
      </c>
      <c r="L137" s="321">
        <f t="shared" si="23"/>
        <v>-378689.82964545488</v>
      </c>
      <c r="M137" s="321">
        <f t="shared" si="23"/>
        <v>-378689.82964545483</v>
      </c>
      <c r="N137" s="321">
        <f t="shared" si="23"/>
        <v>-378689.82964545483</v>
      </c>
      <c r="O137" s="321">
        <f t="shared" si="23"/>
        <v>-378689.82964545483</v>
      </c>
      <c r="P137" s="321">
        <f t="shared" si="23"/>
        <v>-378689.82964545483</v>
      </c>
      <c r="Q137" s="321">
        <f t="shared" si="23"/>
        <v>-378689.82964545483</v>
      </c>
      <c r="R137" s="321">
        <f t="shared" si="23"/>
        <v>-378689.82964545483</v>
      </c>
      <c r="S137" s="321">
        <f t="shared" si="23"/>
        <v>-378689.82964545483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-740669.42749999999</v>
      </c>
      <c r="F139" s="312">
        <f t="shared" si="24"/>
        <v>-737434.14415881806</v>
      </c>
      <c r="G139" s="312">
        <f t="shared" si="24"/>
        <v>-733940.19427563599</v>
      </c>
      <c r="H139" s="312">
        <f t="shared" si="24"/>
        <v>-730174.1611824187</v>
      </c>
      <c r="I139" s="312">
        <f t="shared" si="24"/>
        <v>-726122.00953593978</v>
      </c>
      <c r="J139" s="312">
        <f t="shared" si="24"/>
        <v>-721769.05805474939</v>
      </c>
      <c r="K139" s="312">
        <f t="shared" si="24"/>
        <v>-717099.95107807755</v>
      </c>
      <c r="L139" s="312">
        <f t="shared" si="24"/>
        <v>-712098.62889621593</v>
      </c>
      <c r="M139" s="312">
        <f t="shared" si="24"/>
        <v>-706748.29679977032</v>
      </c>
      <c r="N139" s="312">
        <f t="shared" si="24"/>
        <v>-701031.39279293362</v>
      </c>
      <c r="O139" s="312">
        <f t="shared" si="24"/>
        <v>-694929.55391358852</v>
      </c>
      <c r="P139" s="312">
        <f t="shared" si="24"/>
        <v>-688423.58110060892</v>
      </c>
      <c r="Q139" s="312">
        <f t="shared" si="24"/>
        <v>-833682.41789369576</v>
      </c>
      <c r="R139" s="312">
        <f t="shared" si="24"/>
        <v>-674118.03546838358</v>
      </c>
      <c r="S139" s="312">
        <f t="shared" si="24"/>
        <v>-666275.54623624822</v>
      </c>
      <c r="T139" s="312">
        <f t="shared" si="24"/>
        <v>41491.307966511755</v>
      </c>
      <c r="U139" s="312">
        <f t="shared" si="24"/>
        <v>48232.22412584204</v>
      </c>
      <c r="V139" s="312">
        <f t="shared" si="24"/>
        <v>55107.958608358866</v>
      </c>
      <c r="W139" s="312">
        <f t="shared" si="24"/>
        <v>62121.20778052602</v>
      </c>
      <c r="X139" s="312">
        <f t="shared" si="24"/>
        <v>69274.721936136601</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140727.19122499999</v>
      </c>
      <c r="F140" s="312">
        <f t="shared" si="25"/>
        <v>140112.48739017543</v>
      </c>
      <c r="G140" s="312">
        <f t="shared" si="25"/>
        <v>139448.63691237083</v>
      </c>
      <c r="H140" s="312">
        <f t="shared" si="25"/>
        <v>138733.09062465956</v>
      </c>
      <c r="I140" s="312">
        <f t="shared" si="25"/>
        <v>137963.18181182857</v>
      </c>
      <c r="J140" s="312">
        <f t="shared" si="25"/>
        <v>137136.1210304024</v>
      </c>
      <c r="K140" s="312">
        <f t="shared" si="25"/>
        <v>136248.99070483472</v>
      </c>
      <c r="L140" s="312">
        <f t="shared" si="25"/>
        <v>135298.73949028103</v>
      </c>
      <c r="M140" s="312">
        <f t="shared" si="25"/>
        <v>134282.17639195637</v>
      </c>
      <c r="N140" s="312">
        <f t="shared" si="25"/>
        <v>133195.9646306574</v>
      </c>
      <c r="O140" s="312">
        <f t="shared" si="25"/>
        <v>132036.61524358182</v>
      </c>
      <c r="P140" s="312">
        <f t="shared" si="25"/>
        <v>130800.4804091157</v>
      </c>
      <c r="Q140" s="312">
        <f t="shared" si="25"/>
        <v>158399.65939980219</v>
      </c>
      <c r="R140" s="312">
        <f t="shared" si="25"/>
        <v>128082.42673899289</v>
      </c>
      <c r="S140" s="312">
        <f t="shared" si="25"/>
        <v>126592.35378488716</v>
      </c>
      <c r="T140" s="312">
        <f t="shared" si="25"/>
        <v>-7883.3485136372337</v>
      </c>
      <c r="U140" s="312">
        <f t="shared" si="25"/>
        <v>-9164.122583909988</v>
      </c>
      <c r="V140" s="312">
        <f t="shared" si="25"/>
        <v>-10470.512135588184</v>
      </c>
      <c r="W140" s="312">
        <f t="shared" si="25"/>
        <v>-11803.029478299944</v>
      </c>
      <c r="X140" s="312">
        <f t="shared" si="25"/>
        <v>-13162.197167865954</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-507222.63842045492</v>
      </c>
      <c r="F142" s="321">
        <f t="shared" si="26"/>
        <v>-513222.54225527938</v>
      </c>
      <c r="G142" s="321">
        <f t="shared" si="26"/>
        <v>-519379.29673308413</v>
      </c>
      <c r="H142" s="321">
        <f t="shared" si="26"/>
        <v>-525697.60510079528</v>
      </c>
      <c r="I142" s="321">
        <f t="shared" si="26"/>
        <v>-532182.33123522624</v>
      </c>
      <c r="J142" s="321">
        <f t="shared" si="26"/>
        <v>-538838.5056846845</v>
      </c>
      <c r="K142" s="321">
        <f t="shared" si="26"/>
        <v>-545671.33195164474</v>
      </c>
      <c r="L142" s="321">
        <f t="shared" si="26"/>
        <v>-552686.1930264188</v>
      </c>
      <c r="M142" s="321">
        <f t="shared" si="26"/>
        <v>-559888.65818216838</v>
      </c>
      <c r="N142" s="321">
        <f t="shared" si="26"/>
        <v>-567284.49004204082</v>
      </c>
      <c r="O142" s="321">
        <f t="shared" si="26"/>
        <v>-574879.65192966128</v>
      </c>
      <c r="P142" s="321">
        <f t="shared" si="26"/>
        <v>-582680.31551468314</v>
      </c>
      <c r="Q142" s="321">
        <f t="shared" si="26"/>
        <v>-713965.97119706904</v>
      </c>
      <c r="R142" s="321">
        <f t="shared" si="26"/>
        <v>-598923.92422245105</v>
      </c>
      <c r="S142" s="321">
        <f t="shared" si="26"/>
        <v>-607380.32760287658</v>
      </c>
      <c r="T142" s="321">
        <f t="shared" si="26"/>
        <v>329162.45945287443</v>
      </c>
      <c r="U142" s="321">
        <f t="shared" si="26"/>
        <v>334622.60154193197</v>
      </c>
      <c r="V142" s="321">
        <f t="shared" si="26"/>
        <v>340191.94647277065</v>
      </c>
      <c r="W142" s="321">
        <f t="shared" si="26"/>
        <v>345872.67830222601</v>
      </c>
      <c r="X142" s="321">
        <f t="shared" si="26"/>
        <v>351667.02476827061</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-5911089.9999999991</v>
      </c>
      <c r="E143" s="312">
        <f t="shared" ref="E143:AR143" si="27">E132+E140</f>
        <v>-128532.80877500001</v>
      </c>
      <c r="F143" s="312">
        <f t="shared" si="27"/>
        <v>-134532.71260982458</v>
      </c>
      <c r="G143" s="312">
        <f t="shared" si="27"/>
        <v>-140689.46708762916</v>
      </c>
      <c r="H143" s="312">
        <f t="shared" si="27"/>
        <v>-147007.77545534045</v>
      </c>
      <c r="I143" s="312">
        <f t="shared" si="27"/>
        <v>-153492.50158977142</v>
      </c>
      <c r="J143" s="312">
        <f t="shared" si="27"/>
        <v>-160148.67603922958</v>
      </c>
      <c r="K143" s="312">
        <f t="shared" si="27"/>
        <v>-166981.50230618994</v>
      </c>
      <c r="L143" s="312">
        <f t="shared" si="27"/>
        <v>-173996.36338096403</v>
      </c>
      <c r="M143" s="312">
        <f t="shared" si="27"/>
        <v>-181198.82853671364</v>
      </c>
      <c r="N143" s="312">
        <f t="shared" si="27"/>
        <v>-188594.660396586</v>
      </c>
      <c r="O143" s="312">
        <f t="shared" si="27"/>
        <v>-196189.82228420646</v>
      </c>
      <c r="P143" s="312">
        <f t="shared" si="27"/>
        <v>-203990.48586922829</v>
      </c>
      <c r="Q143" s="312">
        <f t="shared" si="27"/>
        <v>-335276.14155161416</v>
      </c>
      <c r="R143" s="312">
        <f t="shared" si="27"/>
        <v>-220234.09457699626</v>
      </c>
      <c r="S143" s="312">
        <f t="shared" si="27"/>
        <v>-228690.49795742176</v>
      </c>
      <c r="T143" s="312">
        <f t="shared" si="27"/>
        <v>329162.45945287443</v>
      </c>
      <c r="U143" s="312">
        <f t="shared" si="27"/>
        <v>334622.60154193197</v>
      </c>
      <c r="V143" s="312">
        <f t="shared" si="27"/>
        <v>340191.94647277065</v>
      </c>
      <c r="W143" s="312">
        <f t="shared" si="27"/>
        <v>345872.67830222601</v>
      </c>
      <c r="X143" s="312">
        <f t="shared" si="27"/>
        <v>351667.02476827061</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-1773326.9999999998</v>
      </c>
      <c r="E144" s="312">
        <f t="shared" ref="E144:AR144" si="28">E142</f>
        <v>-507222.63842045492</v>
      </c>
      <c r="F144" s="312">
        <f t="shared" si="28"/>
        <v>-513222.54225527938</v>
      </c>
      <c r="G144" s="312">
        <f t="shared" si="28"/>
        <v>-519379.29673308413</v>
      </c>
      <c r="H144" s="312">
        <f t="shared" si="28"/>
        <v>-525697.60510079528</v>
      </c>
      <c r="I144" s="312">
        <f t="shared" si="28"/>
        <v>-532182.33123522624</v>
      </c>
      <c r="J144" s="312">
        <f t="shared" si="28"/>
        <v>-538838.5056846845</v>
      </c>
      <c r="K144" s="312">
        <f t="shared" si="28"/>
        <v>-545671.33195164474</v>
      </c>
      <c r="L144" s="312">
        <f t="shared" si="28"/>
        <v>-552686.1930264188</v>
      </c>
      <c r="M144" s="312">
        <f t="shared" si="28"/>
        <v>-559888.65818216838</v>
      </c>
      <c r="N144" s="312">
        <f t="shared" si="28"/>
        <v>-567284.49004204082</v>
      </c>
      <c r="O144" s="312">
        <f t="shared" si="28"/>
        <v>-574879.65192966128</v>
      </c>
      <c r="P144" s="312">
        <f t="shared" si="28"/>
        <v>-582680.31551468314</v>
      </c>
      <c r="Q144" s="312">
        <f t="shared" si="28"/>
        <v>-713965.97119706904</v>
      </c>
      <c r="R144" s="312">
        <f t="shared" si="28"/>
        <v>-598923.92422245105</v>
      </c>
      <c r="S144" s="312">
        <f t="shared" si="28"/>
        <v>-607380.32760287658</v>
      </c>
      <c r="T144" s="312">
        <f t="shared" si="28"/>
        <v>329162.45945287443</v>
      </c>
      <c r="U144" s="312">
        <f t="shared" si="28"/>
        <v>334622.60154193197</v>
      </c>
      <c r="V144" s="312">
        <f t="shared" si="28"/>
        <v>340191.94647277065</v>
      </c>
      <c r="W144" s="312">
        <f t="shared" si="28"/>
        <v>345872.67830222601</v>
      </c>
      <c r="X144" s="312">
        <f t="shared" si="28"/>
        <v>351667.02476827061</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7400000</v>
      </c>
      <c r="F145" s="312">
        <f t="shared" si="29"/>
        <v>7400000</v>
      </c>
      <c r="G145" s="312">
        <f t="shared" si="29"/>
        <v>7400000</v>
      </c>
      <c r="H145" s="312">
        <f t="shared" si="29"/>
        <v>7400000</v>
      </c>
      <c r="I145" s="312">
        <f t="shared" si="29"/>
        <v>7400000</v>
      </c>
      <c r="J145" s="312">
        <f t="shared" si="29"/>
        <v>7400000</v>
      </c>
      <c r="K145" s="312">
        <f t="shared" si="29"/>
        <v>7400000</v>
      </c>
      <c r="L145" s="312">
        <f t="shared" si="29"/>
        <v>7400000</v>
      </c>
      <c r="M145" s="312">
        <f t="shared" si="29"/>
        <v>7400000</v>
      </c>
      <c r="N145" s="312">
        <f t="shared" si="29"/>
        <v>7400000</v>
      </c>
      <c r="O145" s="312">
        <f t="shared" si="29"/>
        <v>7400000</v>
      </c>
      <c r="P145" s="312">
        <f t="shared" si="29"/>
        <v>7400000</v>
      </c>
      <c r="Q145" s="312">
        <f t="shared" si="29"/>
        <v>7400000</v>
      </c>
      <c r="R145" s="312">
        <f t="shared" si="29"/>
        <v>7400000</v>
      </c>
      <c r="S145" s="312">
        <f t="shared" si="29"/>
        <v>7400000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5911089.9999999991</v>
      </c>
      <c r="E146" s="323">
        <f t="shared" ref="E146:AR146" si="30">IF(E112&lt;=$C76,D146-($C$5*E118+E132+E135),D146-(E132+E135))</f>
        <v>5512604.9274999993</v>
      </c>
      <c r="F146" s="323">
        <f t="shared" si="30"/>
        <v>5110884.5716588171</v>
      </c>
      <c r="G146" s="323">
        <f t="shared" si="30"/>
        <v>4705670.2659344533</v>
      </c>
      <c r="H146" s="323">
        <f t="shared" si="30"/>
        <v>4296689.9271168718</v>
      </c>
      <c r="I146" s="323">
        <f t="shared" si="30"/>
        <v>3883657.4366528117</v>
      </c>
      <c r="J146" s="323">
        <f t="shared" si="30"/>
        <v>3466271.9947075611</v>
      </c>
      <c r="K146" s="323">
        <f t="shared" si="30"/>
        <v>3044217.4457856389</v>
      </c>
      <c r="L146" s="323">
        <f t="shared" si="30"/>
        <v>2617161.5746818548</v>
      </c>
      <c r="M146" s="323">
        <f t="shared" si="30"/>
        <v>2184755.3714816254</v>
      </c>
      <c r="N146" s="323">
        <f t="shared" si="30"/>
        <v>1746632.264274559</v>
      </c>
      <c r="O146" s="323">
        <f t="shared" si="30"/>
        <v>1302407.3181881476</v>
      </c>
      <c r="P146" s="323">
        <f t="shared" si="30"/>
        <v>851676.39928875654</v>
      </c>
      <c r="Q146" s="323">
        <f t="shared" si="30"/>
        <v>546204.31718245242</v>
      </c>
      <c r="R146" s="323">
        <f t="shared" si="30"/>
        <v>81167.852650836052</v>
      </c>
      <c r="S146" s="323">
        <f t="shared" si="30"/>
        <v>-391711.10111291561</v>
      </c>
      <c r="T146" s="323">
        <f t="shared" si="30"/>
        <v>-728756.90907942737</v>
      </c>
      <c r="U146" s="323">
        <f t="shared" si="30"/>
        <v>-1072543.6332052695</v>
      </c>
      <c r="V146" s="323">
        <f t="shared" si="30"/>
        <v>-1423206.0918136283</v>
      </c>
      <c r="W146" s="323">
        <f t="shared" si="30"/>
        <v>-1780881.7995941543</v>
      </c>
      <c r="X146" s="323">
        <f t="shared" si="30"/>
        <v>-2145711.0215302911</v>
      </c>
      <c r="Y146" s="323">
        <f t="shared" si="30"/>
        <v>-2145711.0215302911</v>
      </c>
      <c r="Z146" s="323">
        <f t="shared" si="30"/>
        <v>-2145711.0215302911</v>
      </c>
      <c r="AA146" s="323">
        <f t="shared" si="30"/>
        <v>-2145711.0215302911</v>
      </c>
      <c r="AB146" s="323">
        <f t="shared" si="30"/>
        <v>-2145711.0215302911</v>
      </c>
      <c r="AC146" s="323">
        <f t="shared" si="30"/>
        <v>-2145711.0215302911</v>
      </c>
      <c r="AD146" s="323">
        <f t="shared" si="30"/>
        <v>-2145711.0215302911</v>
      </c>
      <c r="AE146" s="323">
        <f t="shared" si="30"/>
        <v>-2145711.0215302911</v>
      </c>
      <c r="AF146" s="323">
        <f t="shared" si="30"/>
        <v>-2145711.0215302911</v>
      </c>
      <c r="AG146" s="323">
        <f t="shared" si="30"/>
        <v>-2145711.0215302911</v>
      </c>
      <c r="AH146" s="323">
        <f t="shared" si="30"/>
        <v>-2145711.0215302911</v>
      </c>
      <c r="AI146" s="323">
        <f t="shared" si="30"/>
        <v>-2145711.0215302911</v>
      </c>
      <c r="AJ146" s="323">
        <f t="shared" si="30"/>
        <v>-2145711.0215302911</v>
      </c>
      <c r="AK146" s="323">
        <f t="shared" si="30"/>
        <v>-2145711.0215302911</v>
      </c>
      <c r="AL146" s="323">
        <f t="shared" si="30"/>
        <v>-2145711.0215302911</v>
      </c>
      <c r="AM146" s="323">
        <f t="shared" si="30"/>
        <v>-2145711.0215302911</v>
      </c>
      <c r="AN146" s="323">
        <f t="shared" si="30"/>
        <v>-2145711.0215302911</v>
      </c>
      <c r="AO146" s="323">
        <f t="shared" si="30"/>
        <v>-2145711.0215302911</v>
      </c>
      <c r="AP146" s="323">
        <f t="shared" si="30"/>
        <v>-2145711.0215302911</v>
      </c>
      <c r="AQ146" s="323">
        <f t="shared" si="30"/>
        <v>-2145711.0215302911</v>
      </c>
      <c r="AR146" s="324">
        <f t="shared" si="30"/>
        <v>-2145711.0215302911</v>
      </c>
    </row>
    <row r="147" spans="1:44" ht="12.95" customHeight="1">
      <c r="B147" s="267" t="s">
        <v>577</v>
      </c>
      <c r="C147" s="268"/>
      <c r="D147" s="325"/>
      <c r="E147" s="326">
        <f t="shared" ref="E147:AR147" si="31">IF(E112&gt;$C$74,"",(-$C$94*(E139+$C$5*E118)+E132+$C$5*E118)/-E137)</f>
        <v>1.465006841468151</v>
      </c>
      <c r="F147" s="326">
        <f t="shared" si="31"/>
        <v>1.4491629941685236</v>
      </c>
      <c r="G147" s="326">
        <f t="shared" si="31"/>
        <v>1.4329049539577028</v>
      </c>
      <c r="H147" s="326">
        <f t="shared" si="31"/>
        <v>1.4162203010489445</v>
      </c>
      <c r="I147" s="326">
        <f t="shared" si="31"/>
        <v>1.3990961914828064</v>
      </c>
      <c r="J147" s="326">
        <f t="shared" si="31"/>
        <v>1.3815193411731743</v>
      </c>
      <c r="K147" s="326">
        <f t="shared" si="31"/>
        <v>1.3634760093167115</v>
      </c>
      <c r="L147" s="326">
        <f t="shared" si="31"/>
        <v>1.3449519811395043</v>
      </c>
      <c r="M147" s="326">
        <f t="shared" si="31"/>
        <v>1.3259325499535841</v>
      </c>
      <c r="N147" s="326">
        <f t="shared" si="31"/>
        <v>1.3064024984948572</v>
      </c>
      <c r="O147" s="326">
        <f t="shared" si="31"/>
        <v>1.2863460795127806</v>
      </c>
      <c r="P147" s="326">
        <f t="shared" si="31"/>
        <v>1.2657469955808853</v>
      </c>
      <c r="Q147" s="326">
        <f t="shared" si="31"/>
        <v>0.91906312555115421</v>
      </c>
      <c r="R147" s="326">
        <f t="shared" si="31"/>
        <v>1.2228527654322279</v>
      </c>
      <c r="S147" s="326">
        <f t="shared" si="31"/>
        <v>1.2005220802159318</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-4641581.6242425777</v>
      </c>
      <c r="D150" s="271" t="s">
        <v>580</v>
      </c>
    </row>
    <row r="151" spans="1:44">
      <c r="B151" s="72" t="s">
        <v>581</v>
      </c>
      <c r="C151" s="272">
        <f>(1-$C$94)*NPV($C$91,E145:AR145)</f>
        <v>56359597.115282513</v>
      </c>
      <c r="D151" s="271" t="str">
        <f>$C$7</f>
        <v>kWh</v>
      </c>
      <c r="F151" s="273"/>
    </row>
    <row r="152" spans="1:44">
      <c r="B152" s="72" t="s">
        <v>582</v>
      </c>
      <c r="C152" s="272">
        <f>$C$41*1000000</f>
        <v>5911089.9999999991</v>
      </c>
      <c r="D152" s="271" t="s">
        <v>528</v>
      </c>
      <c r="F152" s="46"/>
    </row>
    <row r="153" spans="1:44">
      <c r="B153" s="72" t="s">
        <v>583</v>
      </c>
      <c r="C153" s="274">
        <f>AVERAGE(E147:AR147)</f>
        <v>1.3186136472331293</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-0.11310749952916899</v>
      </c>
      <c r="D155" s="271"/>
      <c r="F155" s="46"/>
      <c r="G155" s="47"/>
    </row>
    <row r="156" spans="1:44">
      <c r="B156" s="72" t="s">
        <v>586</v>
      </c>
      <c r="C156" s="95" t="str">
        <f>IFERROR(IRR(D144:AR144),"n.v.t.")</f>
        <v>n.v.t.</v>
      </c>
      <c r="D156" s="271"/>
      <c r="G156" s="47"/>
    </row>
    <row r="157" spans="1:44">
      <c r="B157" s="72" t="s">
        <v>587</v>
      </c>
      <c r="C157" s="272">
        <f>$C$92*C152-C97</f>
        <v>4137762.9999999991</v>
      </c>
      <c r="D157" s="271" t="s">
        <v>528</v>
      </c>
      <c r="F157" s="33"/>
    </row>
    <row r="158" spans="1:44">
      <c r="B158" s="72" t="s">
        <v>588</v>
      </c>
      <c r="C158" s="272">
        <f>$C$93*C152-C98</f>
        <v>1773326.9999999998</v>
      </c>
      <c r="D158" s="271" t="s">
        <v>528</v>
      </c>
      <c r="F158" s="33"/>
    </row>
    <row r="159" spans="1:44">
      <c r="B159" s="72" t="s">
        <v>332</v>
      </c>
      <c r="C159" s="95">
        <f>IF(AND(E115&gt;0,E116&gt;0),ROUND(E116/E115,2),0)</f>
        <v>0</v>
      </c>
      <c r="D159" s="271" t="s">
        <v>589</v>
      </c>
      <c r="F159" s="33"/>
    </row>
    <row r="160" spans="1:44">
      <c r="B160" s="72" t="s">
        <v>590</v>
      </c>
      <c r="C160" s="95">
        <f>IF(C159=0,MAX(C29:C30),E118/SUM(C26,C28))</f>
        <v>740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0,086</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8.5999999999999993E-2</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0,110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0.11</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0,111</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41" priority="3" operator="containsText" text="Pas op">
      <formula>NOT(ISERROR(SEARCH("Pas op",G1)))</formula>
    </cfRule>
  </conditionalFormatting>
  <conditionalFormatting sqref="G188">
    <cfRule type="containsText" dxfId="40" priority="2" operator="containsText" text="Pas op">
      <formula>NOT(ISERROR(SEARCH("Pas op",G188)))</formula>
    </cfRule>
  </conditionalFormatting>
  <conditionalFormatting sqref="G105">
    <cfRule type="containsText" dxfId="39"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F4704FA1-FCC8-4BB0-AEB0-044C4E05F8A4}">
      <formula1>"ja,nee"</formula1>
    </dataValidation>
    <dataValidation type="list" allowBlank="1" showErrorMessage="1" error="Alleen de opties aangegeven in de dropdownlijst zijn toegestaan" sqref="C7" xr:uid="{62A81E94-702F-495D-AE1C-DA0779565D52}">
      <formula1>"t CO2,kWh"</formula1>
    </dataValidation>
    <dataValidation type="list" allowBlank="1" showErrorMessage="1" error="Alleen de opties aangegeven in de dropdownlijst zijn toegestaan" sqref="C14" xr:uid="{294C4DC8-9178-4299-89BE-4F972D2278F3}">
      <formula1>"Nee,Ja,Geen warmte"</formula1>
    </dataValidation>
    <dataValidation type="list" allowBlank="1" showErrorMessage="1" error="Alleen de opties aangegeven in de dropdownlijst zijn toegestaan" sqref="C9" xr:uid="{E100C1CF-35A9-4624-A81D-4B31AD36070A}">
      <formula1>"Elektriciteit,Lagetemperatuurwarmte,Hogetemperatuurwarmte,Moleculen,CCS/CCU,Generiek"</formula1>
    </dataValidation>
    <dataValidation type="decimal" allowBlank="1" showErrorMessage="1" error="Alleen getallen tussen 0 en 1.0 toegestaan. Vul in met een punt, geen comma" sqref="C17:C18" xr:uid="{39A0DDC7-C705-459B-99F3-E865F51B3438}">
      <formula1>0</formula1>
      <formula2>1</formula2>
    </dataValidation>
    <dataValidation type="decimal" operator="notBetween" allowBlank="1" showInputMessage="1" sqref="C39:C49" xr:uid="{88B39EB7-3AED-4612-9ACB-07CCEF15A91E}">
      <formula1>0</formula1>
      <formula2>0</formula2>
    </dataValidation>
    <dataValidation type="decimal" operator="notBetween" allowBlank="1" showInputMessage="1" showErrorMessage="1" sqref="C52:C60 C63:C65 C67:C70" xr:uid="{7BB0E9E3-AEA6-48E0-A16A-88C73F5E7483}">
      <formula1>0</formula1>
      <formula2>0</formula2>
    </dataValidation>
    <dataValidation type="decimal" operator="greaterThanOrEqual" allowBlank="1" showInputMessage="1" sqref="C21 C24:C30 C33:C36" xr:uid="{6E3F2E2C-5A52-41E4-842E-AB7E5B3AE89B}">
      <formula1>0</formula1>
    </dataValidation>
    <dataValidation type="decimal" operator="greaterThanOrEqual" allowBlank="1" showInputMessage="1" showErrorMessage="1" sqref="C73:C77" xr:uid="{4DA3C7BA-3CC5-480C-83FC-01587528AE41}">
      <formula1>0</formula1>
    </dataValidation>
    <dataValidation type="decimal" operator="greaterThan" allowBlank="1" showInputMessage="1" showErrorMessage="1" sqref="C80:C86 C89:C94" xr:uid="{D062B2B3-8345-465C-9529-64628AB9CEBB}">
      <formula1>0</formula1>
    </dataValidation>
    <dataValidation type="list" operator="greaterThanOrEqual" allowBlank="1" showInputMessage="1" sqref="C23" xr:uid="{F195F4CC-E88F-4E05-B18A-A307209D759E}">
      <formula1>"Ja"</formula1>
    </dataValidation>
    <dataValidation type="decimal" operator="greaterThan" allowBlank="1" showInputMessage="1" showErrorMessage="1" error="Alleen getallen boven de 0 toegstaan" sqref="C22" xr:uid="{AC6E52C6-BE9B-4131-B3F7-7F83478CB436}">
      <formula1>0</formula1>
    </dataValidation>
    <dataValidation operator="notBetween" allowBlank="1" showInputMessage="1" showErrorMessage="1" sqref="C66" xr:uid="{5AAD31DF-EC08-4EC4-948F-CB9B8D99C185}"/>
  </dataValidations>
  <pageMargins left="0.7" right="0.7" top="0.75" bottom="0.75" header="0.3" footer="0.3"/>
  <pageSetup paperSize="9" scale="1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3CE0-7A57-44F7-B503-E5B58C76CA7E}">
  <sheetPr codeName="Sheet101">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614</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0.11700000000000001</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543.20987654320993</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IFERROR(INDEX(Correcties!$A$1:$I$334,MATCH('9'!C12,Correcties!$A$1:$A$334,0),5),"")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230</v>
      </c>
      <c r="D16" s="75" t="str">
        <f>_xlfn.XLOOKUP(C16,Correcties!A4:A37,Correcties!B4:B37,"")</f>
        <v>Elektricteit-ZonPV-niet-netlevering, groot</v>
      </c>
      <c r="E16" s="417" t="str">
        <f>"Enkel relevant voor zon-pv. "&amp;_xlfn.XLOOKUP(C16,Correcties!A4:A37,Correcties!E4:E37,"")</f>
        <v>Enkel relevant voor zon-pv. EPEX3 x PF_PV3 + EB3_e + ODE3_e</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10000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740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5.9412999999999991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21.1</v>
      </c>
      <c r="D43" s="75" t="str">
        <f>CONCATENATE("Euro/",$C$8,"/jaar")</f>
        <v>Euro/kW/jaar</v>
      </c>
      <c r="E43" s="417" t="s">
        <v>463</v>
      </c>
      <c r="F43" s="431"/>
      <c r="G43" s="431"/>
      <c r="H43" s="431"/>
      <c r="I43" s="431"/>
      <c r="J43" s="431"/>
      <c r="K43" s="431"/>
      <c r="L43" s="431"/>
      <c r="M43" s="432"/>
    </row>
    <row r="44" spans="2:13" ht="15" customHeight="1">
      <c r="B44" s="72" t="s">
        <v>465</v>
      </c>
      <c r="C44" s="239">
        <f>(C42*C21+C43*SUM(C26,C28))/1000</f>
        <v>211</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8.1299999999999997E-2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7.46E-2</v>
      </c>
      <c r="D80" s="75" t="s">
        <v>511</v>
      </c>
      <c r="E80" s="417" t="s">
        <v>512</v>
      </c>
      <c r="F80" s="431"/>
      <c r="G80" s="431"/>
      <c r="H80" s="431"/>
      <c r="I80" s="431"/>
      <c r="J80" s="431"/>
      <c r="K80" s="431"/>
      <c r="L80" s="431"/>
      <c r="M80" s="432"/>
    </row>
    <row r="81" spans="2:13" ht="15" customHeight="1">
      <c r="B81" s="72" t="s">
        <v>513</v>
      </c>
      <c r="C81" s="240">
        <v>690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111000000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145500000</v>
      </c>
      <c r="D85" s="74" t="str">
        <f>C7</f>
        <v>kWh</v>
      </c>
      <c r="E85" s="417"/>
      <c r="F85" s="431"/>
      <c r="G85" s="431"/>
      <c r="H85" s="431"/>
      <c r="I85" s="431"/>
      <c r="J85" s="431"/>
      <c r="K85" s="431"/>
      <c r="L85" s="431"/>
      <c r="M85" s="432"/>
    </row>
    <row r="86" spans="2:13" ht="15" customHeight="1">
      <c r="B86" s="89" t="s">
        <v>518</v>
      </c>
      <c r="C86" s="96">
        <f ca="1">C85/C84</f>
        <v>1.3108108108108107</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-120000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-5941299.9999999991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7400000</v>
      </c>
      <c r="F115" s="312">
        <f t="shared" si="4"/>
        <v>7400000</v>
      </c>
      <c r="G115" s="312">
        <f t="shared" si="4"/>
        <v>7400000</v>
      </c>
      <c r="H115" s="312">
        <f t="shared" si="4"/>
        <v>7400000</v>
      </c>
      <c r="I115" s="312">
        <f t="shared" si="4"/>
        <v>7400000</v>
      </c>
      <c r="J115" s="312">
        <f t="shared" si="4"/>
        <v>7400000</v>
      </c>
      <c r="K115" s="312">
        <f t="shared" si="4"/>
        <v>7400000</v>
      </c>
      <c r="L115" s="312">
        <f t="shared" si="4"/>
        <v>7400000</v>
      </c>
      <c r="M115" s="312">
        <f t="shared" si="4"/>
        <v>7400000</v>
      </c>
      <c r="N115" s="312">
        <f t="shared" si="4"/>
        <v>7400000</v>
      </c>
      <c r="O115" s="312">
        <f t="shared" si="4"/>
        <v>7400000</v>
      </c>
      <c r="P115" s="312">
        <f t="shared" si="4"/>
        <v>7400000</v>
      </c>
      <c r="Q115" s="312">
        <f t="shared" si="4"/>
        <v>7400000</v>
      </c>
      <c r="R115" s="312">
        <f t="shared" si="4"/>
        <v>7400000</v>
      </c>
      <c r="S115" s="312">
        <f t="shared" si="4"/>
        <v>7400000</v>
      </c>
      <c r="T115" s="312">
        <f t="shared" si="4"/>
        <v>6900000</v>
      </c>
      <c r="U115" s="312">
        <f t="shared" si="4"/>
        <v>6900000</v>
      </c>
      <c r="V115" s="312">
        <f t="shared" si="4"/>
        <v>6900000</v>
      </c>
      <c r="W115" s="312">
        <f t="shared" si="4"/>
        <v>6900000</v>
      </c>
      <c r="X115" s="312">
        <f t="shared" si="4"/>
        <v>6900000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7400000</v>
      </c>
      <c r="F118" s="315">
        <f t="shared" si="7"/>
        <v>7400000</v>
      </c>
      <c r="G118" s="315">
        <f t="shared" si="7"/>
        <v>7400000</v>
      </c>
      <c r="H118" s="315">
        <f t="shared" si="7"/>
        <v>7400000</v>
      </c>
      <c r="I118" s="315">
        <f t="shared" si="7"/>
        <v>7400000</v>
      </c>
      <c r="J118" s="315">
        <f t="shared" si="7"/>
        <v>7400000</v>
      </c>
      <c r="K118" s="315">
        <f t="shared" si="7"/>
        <v>7400000</v>
      </c>
      <c r="L118" s="315">
        <f t="shared" si="7"/>
        <v>7400000</v>
      </c>
      <c r="M118" s="315">
        <f t="shared" si="7"/>
        <v>7400000</v>
      </c>
      <c r="N118" s="315">
        <f t="shared" si="7"/>
        <v>7400000</v>
      </c>
      <c r="O118" s="315">
        <f t="shared" si="7"/>
        <v>7400000</v>
      </c>
      <c r="P118" s="315">
        <f t="shared" si="7"/>
        <v>7400000</v>
      </c>
      <c r="Q118" s="315">
        <f t="shared" si="7"/>
        <v>7400000</v>
      </c>
      <c r="R118" s="315">
        <f t="shared" si="7"/>
        <v>7400000</v>
      </c>
      <c r="S118" s="315">
        <f t="shared" si="7"/>
        <v>7400000</v>
      </c>
      <c r="T118" s="315">
        <f t="shared" si="7"/>
        <v>6900000</v>
      </c>
      <c r="U118" s="315">
        <f t="shared" si="7"/>
        <v>6900000</v>
      </c>
      <c r="V118" s="315">
        <f t="shared" si="7"/>
        <v>6900000</v>
      </c>
      <c r="W118" s="315">
        <f t="shared" si="7"/>
        <v>6900000</v>
      </c>
      <c r="X118" s="315">
        <f t="shared" si="7"/>
        <v>6900000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-284260</v>
      </c>
      <c r="F120" s="312">
        <f t="shared" si="8"/>
        <v>-289945.2</v>
      </c>
      <c r="G120" s="312">
        <f t="shared" si="8"/>
        <v>-295744.10399999999</v>
      </c>
      <c r="H120" s="312">
        <f t="shared" si="8"/>
        <v>-301658.98608</v>
      </c>
      <c r="I120" s="312">
        <f t="shared" si="8"/>
        <v>-307692.16580159997</v>
      </c>
      <c r="J120" s="312">
        <f t="shared" si="8"/>
        <v>-313846.009117632</v>
      </c>
      <c r="K120" s="312">
        <f t="shared" si="8"/>
        <v>-320122.92929998465</v>
      </c>
      <c r="L120" s="312">
        <f t="shared" si="8"/>
        <v>-326525.38788598427</v>
      </c>
      <c r="M120" s="312">
        <f t="shared" si="8"/>
        <v>-333055.89564370399</v>
      </c>
      <c r="N120" s="312">
        <f t="shared" si="8"/>
        <v>-339717.01355657808</v>
      </c>
      <c r="O120" s="312">
        <f t="shared" si="8"/>
        <v>-346511.35382770968</v>
      </c>
      <c r="P120" s="312">
        <f t="shared" si="8"/>
        <v>-353441.58090426377</v>
      </c>
      <c r="Q120" s="312">
        <f t="shared" si="8"/>
        <v>-512699.42786985449</v>
      </c>
      <c r="R120" s="312">
        <f t="shared" si="8"/>
        <v>-367720.6207727961</v>
      </c>
      <c r="S120" s="312">
        <f t="shared" si="8"/>
        <v>-375075.03318825201</v>
      </c>
      <c r="T120" s="312">
        <f t="shared" si="8"/>
        <v>-375914.48557731253</v>
      </c>
      <c r="U120" s="312">
        <f t="shared" si="8"/>
        <v>-383432.77528885886</v>
      </c>
      <c r="V120" s="312">
        <f t="shared" si="8"/>
        <v>-391101.43079463608</v>
      </c>
      <c r="W120" s="312">
        <f t="shared" si="8"/>
        <v>-398923.45941052871</v>
      </c>
      <c r="X120" s="312">
        <f t="shared" si="8"/>
        <v>-406901.92859873932</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0.10040177803898004</v>
      </c>
      <c r="U122" s="317">
        <f t="shared" si="10"/>
        <v>0.10240981359975966</v>
      </c>
      <c r="V122" s="317">
        <f t="shared" si="10"/>
        <v>0.10445800987175485</v>
      </c>
      <c r="W122" s="317">
        <f t="shared" si="10"/>
        <v>0.10654717006918994</v>
      </c>
      <c r="X122" s="317">
        <f t="shared" si="10"/>
        <v>0.10867811347057374</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692772.26846896228</v>
      </c>
      <c r="U127" s="312">
        <f t="shared" si="15"/>
        <v>706627.71383834165</v>
      </c>
      <c r="V127" s="312">
        <f t="shared" si="15"/>
        <v>720760.26811510848</v>
      </c>
      <c r="W127" s="312">
        <f t="shared" si="15"/>
        <v>735175.47347741062</v>
      </c>
      <c r="X127" s="312">
        <f t="shared" si="15"/>
        <v>749878.98294695886</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692772.26846896228</v>
      </c>
      <c r="U130" s="312">
        <f t="shared" si="17"/>
        <v>706627.71383834165</v>
      </c>
      <c r="V130" s="312">
        <f t="shared" si="17"/>
        <v>720760.26811510848</v>
      </c>
      <c r="W130" s="312">
        <f t="shared" si="17"/>
        <v>735175.47347741062</v>
      </c>
      <c r="X130" s="312">
        <f t="shared" si="17"/>
        <v>749878.98294695886</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-284260</v>
      </c>
      <c r="F131" s="312">
        <f t="shared" si="18"/>
        <v>-289945.2</v>
      </c>
      <c r="G131" s="312">
        <f t="shared" si="18"/>
        <v>-295744.10399999999</v>
      </c>
      <c r="H131" s="312">
        <f t="shared" si="18"/>
        <v>-301658.98608</v>
      </c>
      <c r="I131" s="312">
        <f t="shared" si="18"/>
        <v>-307692.16580159997</v>
      </c>
      <c r="J131" s="312">
        <f t="shared" si="18"/>
        <v>-313846.009117632</v>
      </c>
      <c r="K131" s="312">
        <f t="shared" si="18"/>
        <v>-320122.92929998465</v>
      </c>
      <c r="L131" s="312">
        <f t="shared" si="18"/>
        <v>-326525.38788598427</v>
      </c>
      <c r="M131" s="312">
        <f t="shared" si="18"/>
        <v>-333055.89564370399</v>
      </c>
      <c r="N131" s="312">
        <f t="shared" si="18"/>
        <v>-339717.01355657808</v>
      </c>
      <c r="O131" s="312">
        <f t="shared" si="18"/>
        <v>-346511.35382770968</v>
      </c>
      <c r="P131" s="312">
        <f t="shared" si="18"/>
        <v>-353441.58090426377</v>
      </c>
      <c r="Q131" s="312">
        <f t="shared" si="18"/>
        <v>-512699.42786985449</v>
      </c>
      <c r="R131" s="312">
        <f t="shared" si="18"/>
        <v>-367720.6207727961</v>
      </c>
      <c r="S131" s="312">
        <f t="shared" si="18"/>
        <v>-375075.03318825201</v>
      </c>
      <c r="T131" s="312">
        <f t="shared" si="18"/>
        <v>-375914.48557731253</v>
      </c>
      <c r="U131" s="312">
        <f t="shared" si="18"/>
        <v>-383432.77528885886</v>
      </c>
      <c r="V131" s="312">
        <f t="shared" si="18"/>
        <v>-391101.43079463608</v>
      </c>
      <c r="W131" s="312">
        <f t="shared" si="18"/>
        <v>-398923.45941052871</v>
      </c>
      <c r="X131" s="312">
        <f t="shared" si="18"/>
        <v>-406901.92859873932</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-284260</v>
      </c>
      <c r="F132" s="321">
        <f t="shared" si="19"/>
        <v>-289945.2</v>
      </c>
      <c r="G132" s="321">
        <f t="shared" si="19"/>
        <v>-295744.10399999999</v>
      </c>
      <c r="H132" s="321">
        <f t="shared" si="19"/>
        <v>-301658.98608</v>
      </c>
      <c r="I132" s="321">
        <f t="shared" si="19"/>
        <v>-307692.16580159997</v>
      </c>
      <c r="J132" s="321">
        <f t="shared" si="19"/>
        <v>-313846.009117632</v>
      </c>
      <c r="K132" s="321">
        <f t="shared" si="19"/>
        <v>-320122.92929998465</v>
      </c>
      <c r="L132" s="321">
        <f t="shared" si="19"/>
        <v>-326525.38788598427</v>
      </c>
      <c r="M132" s="321">
        <f t="shared" si="19"/>
        <v>-333055.89564370399</v>
      </c>
      <c r="N132" s="321">
        <f t="shared" si="19"/>
        <v>-339717.01355657808</v>
      </c>
      <c r="O132" s="321">
        <f t="shared" si="19"/>
        <v>-346511.35382770968</v>
      </c>
      <c r="P132" s="321">
        <f t="shared" si="19"/>
        <v>-353441.58090426377</v>
      </c>
      <c r="Q132" s="321">
        <f t="shared" si="19"/>
        <v>-512699.42786985449</v>
      </c>
      <c r="R132" s="321">
        <f t="shared" si="19"/>
        <v>-367720.6207727961</v>
      </c>
      <c r="S132" s="321">
        <f t="shared" si="19"/>
        <v>-375075.03318825201</v>
      </c>
      <c r="T132" s="321">
        <f t="shared" si="19"/>
        <v>316857.78289164975</v>
      </c>
      <c r="U132" s="321">
        <f t="shared" si="19"/>
        <v>323194.93854948279</v>
      </c>
      <c r="V132" s="321">
        <f t="shared" si="19"/>
        <v>329658.8373204724</v>
      </c>
      <c r="W132" s="321">
        <f t="shared" si="19"/>
        <v>336252.01406688191</v>
      </c>
      <c r="X132" s="321">
        <f t="shared" si="19"/>
        <v>342977.05434821954</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-297064.99999999994</v>
      </c>
      <c r="F134" s="312">
        <f t="shared" si="20"/>
        <v>-297064.99999999994</v>
      </c>
      <c r="G134" s="312">
        <f t="shared" si="20"/>
        <v>-297064.99999999994</v>
      </c>
      <c r="H134" s="312">
        <f t="shared" si="20"/>
        <v>-297064.99999999994</v>
      </c>
      <c r="I134" s="312">
        <f t="shared" si="20"/>
        <v>-297064.99999999994</v>
      </c>
      <c r="J134" s="312">
        <f t="shared" si="20"/>
        <v>-297064.99999999994</v>
      </c>
      <c r="K134" s="312">
        <f t="shared" si="20"/>
        <v>-297064.99999999994</v>
      </c>
      <c r="L134" s="312">
        <f t="shared" si="20"/>
        <v>-297064.99999999994</v>
      </c>
      <c r="M134" s="312">
        <f t="shared" si="20"/>
        <v>-297064.99999999994</v>
      </c>
      <c r="N134" s="312">
        <f t="shared" si="20"/>
        <v>-297064.99999999994</v>
      </c>
      <c r="O134" s="312">
        <f t="shared" si="20"/>
        <v>-297064.99999999994</v>
      </c>
      <c r="P134" s="312">
        <f t="shared" si="20"/>
        <v>-297064.99999999994</v>
      </c>
      <c r="Q134" s="312">
        <f t="shared" si="20"/>
        <v>-297064.99999999994</v>
      </c>
      <c r="R134" s="312">
        <f t="shared" si="20"/>
        <v>-297064.99999999994</v>
      </c>
      <c r="S134" s="312">
        <f t="shared" si="20"/>
        <v>-297064.99999999994</v>
      </c>
      <c r="T134" s="312">
        <f t="shared" si="20"/>
        <v>-297064.99999999994</v>
      </c>
      <c r="U134" s="312">
        <f t="shared" si="20"/>
        <v>-297064.99999999994</v>
      </c>
      <c r="V134" s="312">
        <f t="shared" si="20"/>
        <v>-297064.99999999994</v>
      </c>
      <c r="W134" s="312">
        <f t="shared" si="20"/>
        <v>-297064.99999999994</v>
      </c>
      <c r="X134" s="312">
        <f t="shared" si="20"/>
        <v>-297064.99999999994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-176753.67499999996</v>
      </c>
      <c r="F135" s="312">
        <f t="shared" si="21"/>
        <v>-168089.13467411025</v>
      </c>
      <c r="G135" s="312">
        <f t="shared" si="21"/>
        <v>-159056.35138437015</v>
      </c>
      <c r="H135" s="312">
        <f t="shared" si="21"/>
        <v>-149639.67480481614</v>
      </c>
      <c r="I135" s="312">
        <f t="shared" si="21"/>
        <v>-139822.78947063108</v>
      </c>
      <c r="J135" s="312">
        <f t="shared" si="21"/>
        <v>-129588.68650974316</v>
      </c>
      <c r="K135" s="312">
        <f t="shared" si="21"/>
        <v>-118919.6341730175</v>
      </c>
      <c r="L135" s="312">
        <f t="shared" si="21"/>
        <v>-107797.14711198102</v>
      </c>
      <c r="M135" s="312">
        <f t="shared" si="21"/>
        <v>-96201.954350850443</v>
      </c>
      <c r="N135" s="312">
        <f t="shared" si="21"/>
        <v>-84113.965897371862</v>
      </c>
      <c r="O135" s="312">
        <f t="shared" si="21"/>
        <v>-71512.237934620411</v>
      </c>
      <c r="P135" s="312">
        <f t="shared" si="21"/>
        <v>-58374.936533452041</v>
      </c>
      <c r="Q135" s="312">
        <f t="shared" si="21"/>
        <v>-44679.299822734007</v>
      </c>
      <c r="R135" s="312">
        <f t="shared" si="21"/>
        <v>-30401.598551810457</v>
      </c>
      <c r="S135" s="312">
        <f t="shared" si="21"/>
        <v>-15517.094976872657</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-203871.53707975865</v>
      </c>
      <c r="F136" s="312">
        <f t="shared" si="22"/>
        <v>-212536.07740564839</v>
      </c>
      <c r="G136" s="312">
        <f t="shared" si="22"/>
        <v>-221568.86069538849</v>
      </c>
      <c r="H136" s="312">
        <f t="shared" si="22"/>
        <v>-230985.5372749425</v>
      </c>
      <c r="I136" s="312">
        <f t="shared" si="22"/>
        <v>-240802.42260912756</v>
      </c>
      <c r="J136" s="312">
        <f t="shared" si="22"/>
        <v>-251036.52557001548</v>
      </c>
      <c r="K136" s="312">
        <f t="shared" si="22"/>
        <v>-261705.57790674112</v>
      </c>
      <c r="L136" s="312">
        <f t="shared" si="22"/>
        <v>-272828.06496777764</v>
      </c>
      <c r="M136" s="312">
        <f t="shared" si="22"/>
        <v>-284423.25772890815</v>
      </c>
      <c r="N136" s="312">
        <f t="shared" si="22"/>
        <v>-296511.24618238676</v>
      </c>
      <c r="O136" s="312">
        <f t="shared" si="22"/>
        <v>-309112.97414513823</v>
      </c>
      <c r="P136" s="312">
        <f t="shared" si="22"/>
        <v>-322250.27554630657</v>
      </c>
      <c r="Q136" s="312">
        <f t="shared" si="22"/>
        <v>-335945.91225702461</v>
      </c>
      <c r="R136" s="312">
        <f t="shared" si="22"/>
        <v>-350223.61352794821</v>
      </c>
      <c r="S136" s="312">
        <f t="shared" si="22"/>
        <v>-365108.11710288597</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-380625.21207975864</v>
      </c>
      <c r="F137" s="321">
        <f t="shared" si="23"/>
        <v>-380625.21207975864</v>
      </c>
      <c r="G137" s="321">
        <f t="shared" si="23"/>
        <v>-380625.21207975864</v>
      </c>
      <c r="H137" s="321">
        <f t="shared" si="23"/>
        <v>-380625.21207975864</v>
      </c>
      <c r="I137" s="321">
        <f t="shared" si="23"/>
        <v>-380625.21207975864</v>
      </c>
      <c r="J137" s="321">
        <f t="shared" si="23"/>
        <v>-380625.21207975864</v>
      </c>
      <c r="K137" s="321">
        <f t="shared" si="23"/>
        <v>-380625.21207975864</v>
      </c>
      <c r="L137" s="321">
        <f t="shared" si="23"/>
        <v>-380625.21207975864</v>
      </c>
      <c r="M137" s="321">
        <f t="shared" si="23"/>
        <v>-380625.21207975858</v>
      </c>
      <c r="N137" s="321">
        <f t="shared" si="23"/>
        <v>-380625.21207975864</v>
      </c>
      <c r="O137" s="321">
        <f t="shared" si="23"/>
        <v>-380625.21207975864</v>
      </c>
      <c r="P137" s="321">
        <f t="shared" si="23"/>
        <v>-380625.21207975864</v>
      </c>
      <c r="Q137" s="321">
        <f t="shared" si="23"/>
        <v>-380625.21207975864</v>
      </c>
      <c r="R137" s="321">
        <f t="shared" si="23"/>
        <v>-380625.21207975864</v>
      </c>
      <c r="S137" s="321">
        <f t="shared" si="23"/>
        <v>-380625.21207975864</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-758078.67499999993</v>
      </c>
      <c r="F139" s="312">
        <f t="shared" si="24"/>
        <v>-755099.33467411017</v>
      </c>
      <c r="G139" s="312">
        <f t="shared" si="24"/>
        <v>-751865.45538437006</v>
      </c>
      <c r="H139" s="312">
        <f t="shared" si="24"/>
        <v>-748363.66088481608</v>
      </c>
      <c r="I139" s="312">
        <f t="shared" si="24"/>
        <v>-744579.9552722309</v>
      </c>
      <c r="J139" s="312">
        <f t="shared" si="24"/>
        <v>-740499.69562737504</v>
      </c>
      <c r="K139" s="312">
        <f t="shared" si="24"/>
        <v>-736107.56347300205</v>
      </c>
      <c r="L139" s="312">
        <f t="shared" si="24"/>
        <v>-731387.53499796533</v>
      </c>
      <c r="M139" s="312">
        <f t="shared" si="24"/>
        <v>-726322.8499945543</v>
      </c>
      <c r="N139" s="312">
        <f t="shared" si="24"/>
        <v>-720895.97945394984</v>
      </c>
      <c r="O139" s="312">
        <f t="shared" si="24"/>
        <v>-715088.59176232992</v>
      </c>
      <c r="P139" s="312">
        <f t="shared" si="24"/>
        <v>-708881.51743771578</v>
      </c>
      <c r="Q139" s="312">
        <f t="shared" si="24"/>
        <v>-854443.72769258847</v>
      </c>
      <c r="R139" s="312">
        <f t="shared" si="24"/>
        <v>-695187.21932460647</v>
      </c>
      <c r="S139" s="312">
        <f t="shared" si="24"/>
        <v>-687657.12816512468</v>
      </c>
      <c r="T139" s="312">
        <f t="shared" si="24"/>
        <v>19792.782891649811</v>
      </c>
      <c r="U139" s="312">
        <f t="shared" si="24"/>
        <v>26129.938549482846</v>
      </c>
      <c r="V139" s="312">
        <f t="shared" si="24"/>
        <v>32593.837320472463</v>
      </c>
      <c r="W139" s="312">
        <f t="shared" si="24"/>
        <v>39187.014066881966</v>
      </c>
      <c r="X139" s="312">
        <f t="shared" si="24"/>
        <v>45912.054348219594</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144034.94824999999</v>
      </c>
      <c r="F140" s="312">
        <f t="shared" si="25"/>
        <v>143468.87358808093</v>
      </c>
      <c r="G140" s="312">
        <f t="shared" si="25"/>
        <v>142854.43652303031</v>
      </c>
      <c r="H140" s="312">
        <f t="shared" si="25"/>
        <v>142189.09556811507</v>
      </c>
      <c r="I140" s="312">
        <f t="shared" si="25"/>
        <v>141470.19150172386</v>
      </c>
      <c r="J140" s="312">
        <f t="shared" si="25"/>
        <v>140694.94216920127</v>
      </c>
      <c r="K140" s="312">
        <f t="shared" si="25"/>
        <v>139860.4370598704</v>
      </c>
      <c r="L140" s="312">
        <f t="shared" si="25"/>
        <v>138963.63164961341</v>
      </c>
      <c r="M140" s="312">
        <f t="shared" si="25"/>
        <v>138001.34149896531</v>
      </c>
      <c r="N140" s="312">
        <f t="shared" si="25"/>
        <v>136970.23609625048</v>
      </c>
      <c r="O140" s="312">
        <f t="shared" si="25"/>
        <v>135866.83243484268</v>
      </c>
      <c r="P140" s="312">
        <f t="shared" si="25"/>
        <v>134687.48831316599</v>
      </c>
      <c r="Q140" s="312">
        <f t="shared" si="25"/>
        <v>162344.30826159182</v>
      </c>
      <c r="R140" s="312">
        <f t="shared" si="25"/>
        <v>132085.57167167522</v>
      </c>
      <c r="S140" s="312">
        <f t="shared" si="25"/>
        <v>130654.85435137369</v>
      </c>
      <c r="T140" s="312">
        <f t="shared" si="25"/>
        <v>-3760.628749413464</v>
      </c>
      <c r="U140" s="312">
        <f t="shared" si="25"/>
        <v>-4964.6883244017408</v>
      </c>
      <c r="V140" s="312">
        <f t="shared" si="25"/>
        <v>-6192.8290908897679</v>
      </c>
      <c r="W140" s="312">
        <f t="shared" si="25"/>
        <v>-7445.5326727075735</v>
      </c>
      <c r="X140" s="312">
        <f t="shared" si="25"/>
        <v>-8723.290326161723</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-520850.26382975862</v>
      </c>
      <c r="F142" s="321">
        <f t="shared" si="26"/>
        <v>-527101.53849167773</v>
      </c>
      <c r="G142" s="321">
        <f t="shared" si="26"/>
        <v>-533514.87955672829</v>
      </c>
      <c r="H142" s="321">
        <f t="shared" si="26"/>
        <v>-540095.10259164358</v>
      </c>
      <c r="I142" s="321">
        <f t="shared" si="26"/>
        <v>-546847.18637963478</v>
      </c>
      <c r="J142" s="321">
        <f t="shared" si="26"/>
        <v>-553776.27902818937</v>
      </c>
      <c r="K142" s="321">
        <f t="shared" si="26"/>
        <v>-560887.70431987289</v>
      </c>
      <c r="L142" s="321">
        <f t="shared" si="26"/>
        <v>-568186.96831612953</v>
      </c>
      <c r="M142" s="321">
        <f t="shared" si="26"/>
        <v>-575679.76622449735</v>
      </c>
      <c r="N142" s="321">
        <f t="shared" si="26"/>
        <v>-583371.98954008624</v>
      </c>
      <c r="O142" s="321">
        <f t="shared" si="26"/>
        <v>-591269.73347262561</v>
      </c>
      <c r="P142" s="321">
        <f t="shared" si="26"/>
        <v>-599379.30467085645</v>
      </c>
      <c r="Q142" s="321">
        <f t="shared" si="26"/>
        <v>-730980.33168802131</v>
      </c>
      <c r="R142" s="321">
        <f t="shared" si="26"/>
        <v>-616260.26118087955</v>
      </c>
      <c r="S142" s="321">
        <f t="shared" si="26"/>
        <v>-625045.39091663691</v>
      </c>
      <c r="T142" s="321">
        <f t="shared" si="26"/>
        <v>313097.15414223628</v>
      </c>
      <c r="U142" s="321">
        <f t="shared" si="26"/>
        <v>318230.25022508105</v>
      </c>
      <c r="V142" s="321">
        <f t="shared" si="26"/>
        <v>323466.00822958263</v>
      </c>
      <c r="W142" s="321">
        <f t="shared" si="26"/>
        <v>328806.48139417433</v>
      </c>
      <c r="X142" s="321">
        <f t="shared" si="26"/>
        <v>334253.76402205782</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-5941299.9999999991</v>
      </c>
      <c r="E143" s="312">
        <f t="shared" ref="E143:AR143" si="27">E132+E140</f>
        <v>-140225.05175000001</v>
      </c>
      <c r="F143" s="312">
        <f t="shared" si="27"/>
        <v>-146476.32641191909</v>
      </c>
      <c r="G143" s="312">
        <f t="shared" si="27"/>
        <v>-152889.66747696968</v>
      </c>
      <c r="H143" s="312">
        <f t="shared" si="27"/>
        <v>-159469.89051188494</v>
      </c>
      <c r="I143" s="312">
        <f t="shared" si="27"/>
        <v>-166221.97429987611</v>
      </c>
      <c r="J143" s="312">
        <f t="shared" si="27"/>
        <v>-173151.06694843073</v>
      </c>
      <c r="K143" s="312">
        <f t="shared" si="27"/>
        <v>-180262.49224011425</v>
      </c>
      <c r="L143" s="312">
        <f t="shared" si="27"/>
        <v>-187561.75623637086</v>
      </c>
      <c r="M143" s="312">
        <f t="shared" si="27"/>
        <v>-195054.55414473868</v>
      </c>
      <c r="N143" s="312">
        <f t="shared" si="27"/>
        <v>-202746.7774603276</v>
      </c>
      <c r="O143" s="312">
        <f t="shared" si="27"/>
        <v>-210644.521392867</v>
      </c>
      <c r="P143" s="312">
        <f t="shared" si="27"/>
        <v>-218754.09259109778</v>
      </c>
      <c r="Q143" s="312">
        <f t="shared" si="27"/>
        <v>-350355.11960826267</v>
      </c>
      <c r="R143" s="312">
        <f t="shared" si="27"/>
        <v>-235635.04910112088</v>
      </c>
      <c r="S143" s="312">
        <f t="shared" si="27"/>
        <v>-244420.17883687833</v>
      </c>
      <c r="T143" s="312">
        <f t="shared" si="27"/>
        <v>313097.15414223628</v>
      </c>
      <c r="U143" s="312">
        <f t="shared" si="27"/>
        <v>318230.25022508105</v>
      </c>
      <c r="V143" s="312">
        <f t="shared" si="27"/>
        <v>323466.00822958263</v>
      </c>
      <c r="W143" s="312">
        <f t="shared" si="27"/>
        <v>328806.48139417433</v>
      </c>
      <c r="X143" s="312">
        <f t="shared" si="27"/>
        <v>334253.76402205782</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-1782389.9999999998</v>
      </c>
      <c r="E144" s="312">
        <f t="shared" ref="E144:AR144" si="28">E142</f>
        <v>-520850.26382975862</v>
      </c>
      <c r="F144" s="312">
        <f t="shared" si="28"/>
        <v>-527101.53849167773</v>
      </c>
      <c r="G144" s="312">
        <f t="shared" si="28"/>
        <v>-533514.87955672829</v>
      </c>
      <c r="H144" s="312">
        <f t="shared" si="28"/>
        <v>-540095.10259164358</v>
      </c>
      <c r="I144" s="312">
        <f t="shared" si="28"/>
        <v>-546847.18637963478</v>
      </c>
      <c r="J144" s="312">
        <f t="shared" si="28"/>
        <v>-553776.27902818937</v>
      </c>
      <c r="K144" s="312">
        <f t="shared" si="28"/>
        <v>-560887.70431987289</v>
      </c>
      <c r="L144" s="312">
        <f t="shared" si="28"/>
        <v>-568186.96831612953</v>
      </c>
      <c r="M144" s="312">
        <f t="shared" si="28"/>
        <v>-575679.76622449735</v>
      </c>
      <c r="N144" s="312">
        <f t="shared" si="28"/>
        <v>-583371.98954008624</v>
      </c>
      <c r="O144" s="312">
        <f t="shared" si="28"/>
        <v>-591269.73347262561</v>
      </c>
      <c r="P144" s="312">
        <f t="shared" si="28"/>
        <v>-599379.30467085645</v>
      </c>
      <c r="Q144" s="312">
        <f t="shared" si="28"/>
        <v>-730980.33168802131</v>
      </c>
      <c r="R144" s="312">
        <f t="shared" si="28"/>
        <v>-616260.26118087955</v>
      </c>
      <c r="S144" s="312">
        <f t="shared" si="28"/>
        <v>-625045.39091663691</v>
      </c>
      <c r="T144" s="312">
        <f t="shared" si="28"/>
        <v>313097.15414223628</v>
      </c>
      <c r="U144" s="312">
        <f t="shared" si="28"/>
        <v>318230.25022508105</v>
      </c>
      <c r="V144" s="312">
        <f t="shared" si="28"/>
        <v>323466.00822958263</v>
      </c>
      <c r="W144" s="312">
        <f t="shared" si="28"/>
        <v>328806.48139417433</v>
      </c>
      <c r="X144" s="312">
        <f t="shared" si="28"/>
        <v>334253.76402205782</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7400000</v>
      </c>
      <c r="F145" s="312">
        <f t="shared" si="29"/>
        <v>7400000</v>
      </c>
      <c r="G145" s="312">
        <f t="shared" si="29"/>
        <v>7400000</v>
      </c>
      <c r="H145" s="312">
        <f t="shared" si="29"/>
        <v>7400000</v>
      </c>
      <c r="I145" s="312">
        <f t="shared" si="29"/>
        <v>7400000</v>
      </c>
      <c r="J145" s="312">
        <f t="shared" si="29"/>
        <v>7400000</v>
      </c>
      <c r="K145" s="312">
        <f t="shared" si="29"/>
        <v>7400000</v>
      </c>
      <c r="L145" s="312">
        <f t="shared" si="29"/>
        <v>7400000</v>
      </c>
      <c r="M145" s="312">
        <f t="shared" si="29"/>
        <v>7400000</v>
      </c>
      <c r="N145" s="312">
        <f t="shared" si="29"/>
        <v>7400000</v>
      </c>
      <c r="O145" s="312">
        <f t="shared" si="29"/>
        <v>7400000</v>
      </c>
      <c r="P145" s="312">
        <f t="shared" si="29"/>
        <v>7400000</v>
      </c>
      <c r="Q145" s="312">
        <f t="shared" si="29"/>
        <v>7400000</v>
      </c>
      <c r="R145" s="312">
        <f t="shared" si="29"/>
        <v>7400000</v>
      </c>
      <c r="S145" s="312">
        <f t="shared" si="29"/>
        <v>7400000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5941299.9999999991</v>
      </c>
      <c r="E146" s="323">
        <f t="shared" ref="E146:AR146" si="30">IF(E112&lt;=$C76,D146-($C$5*E118+E132+E135),D146-(E132+E135))</f>
        <v>5536513.6749999989</v>
      </c>
      <c r="F146" s="323">
        <f t="shared" si="30"/>
        <v>5128748.0096741095</v>
      </c>
      <c r="G146" s="323">
        <f t="shared" si="30"/>
        <v>4717748.4650584795</v>
      </c>
      <c r="H146" s="323">
        <f t="shared" si="30"/>
        <v>4303247.1259432957</v>
      </c>
      <c r="I146" s="323">
        <f t="shared" si="30"/>
        <v>3884962.0812155269</v>
      </c>
      <c r="J146" s="323">
        <f t="shared" si="30"/>
        <v>3462596.7768429019</v>
      </c>
      <c r="K146" s="323">
        <f t="shared" si="30"/>
        <v>3035839.340315904</v>
      </c>
      <c r="L146" s="323">
        <f t="shared" si="30"/>
        <v>2604361.8753138692</v>
      </c>
      <c r="M146" s="323">
        <f t="shared" si="30"/>
        <v>2167819.7253084239</v>
      </c>
      <c r="N146" s="323">
        <f t="shared" si="30"/>
        <v>1725850.7047623738</v>
      </c>
      <c r="O146" s="323">
        <f t="shared" si="30"/>
        <v>1278074.296524704</v>
      </c>
      <c r="P146" s="323">
        <f t="shared" si="30"/>
        <v>824090.81396241975</v>
      </c>
      <c r="Q146" s="323">
        <f t="shared" si="30"/>
        <v>515669.54165500827</v>
      </c>
      <c r="R146" s="323">
        <f t="shared" si="30"/>
        <v>47991.760979614861</v>
      </c>
      <c r="S146" s="323">
        <f t="shared" si="30"/>
        <v>-427216.11085526046</v>
      </c>
      <c r="T146" s="323">
        <f t="shared" si="30"/>
        <v>-744073.89374691015</v>
      </c>
      <c r="U146" s="323">
        <f t="shared" si="30"/>
        <v>-1067268.8322963929</v>
      </c>
      <c r="V146" s="323">
        <f t="shared" si="30"/>
        <v>-1396927.6696168652</v>
      </c>
      <c r="W146" s="323">
        <f t="shared" si="30"/>
        <v>-1733179.6836837472</v>
      </c>
      <c r="X146" s="323">
        <f t="shared" si="30"/>
        <v>-2076156.7380319666</v>
      </c>
      <c r="Y146" s="323">
        <f t="shared" si="30"/>
        <v>-2076156.7380319666</v>
      </c>
      <c r="Z146" s="323">
        <f t="shared" si="30"/>
        <v>-2076156.7380319666</v>
      </c>
      <c r="AA146" s="323">
        <f t="shared" si="30"/>
        <v>-2076156.7380319666</v>
      </c>
      <c r="AB146" s="323">
        <f t="shared" si="30"/>
        <v>-2076156.7380319666</v>
      </c>
      <c r="AC146" s="323">
        <f t="shared" si="30"/>
        <v>-2076156.7380319666</v>
      </c>
      <c r="AD146" s="323">
        <f t="shared" si="30"/>
        <v>-2076156.7380319666</v>
      </c>
      <c r="AE146" s="323">
        <f t="shared" si="30"/>
        <v>-2076156.7380319666</v>
      </c>
      <c r="AF146" s="323">
        <f t="shared" si="30"/>
        <v>-2076156.7380319666</v>
      </c>
      <c r="AG146" s="323">
        <f t="shared" si="30"/>
        <v>-2076156.7380319666</v>
      </c>
      <c r="AH146" s="323">
        <f t="shared" si="30"/>
        <v>-2076156.7380319666</v>
      </c>
      <c r="AI146" s="323">
        <f t="shared" si="30"/>
        <v>-2076156.7380319666</v>
      </c>
      <c r="AJ146" s="323">
        <f t="shared" si="30"/>
        <v>-2076156.7380319666</v>
      </c>
      <c r="AK146" s="323">
        <f t="shared" si="30"/>
        <v>-2076156.7380319666</v>
      </c>
      <c r="AL146" s="323">
        <f t="shared" si="30"/>
        <v>-2076156.7380319666</v>
      </c>
      <c r="AM146" s="323">
        <f t="shared" si="30"/>
        <v>-2076156.7380319666</v>
      </c>
      <c r="AN146" s="323">
        <f t="shared" si="30"/>
        <v>-2076156.7380319666</v>
      </c>
      <c r="AO146" s="323">
        <f t="shared" si="30"/>
        <v>-2076156.7380319666</v>
      </c>
      <c r="AP146" s="323">
        <f t="shared" si="30"/>
        <v>-2076156.7380319666</v>
      </c>
      <c r="AQ146" s="323">
        <f t="shared" si="30"/>
        <v>-2076156.7380319666</v>
      </c>
      <c r="AR146" s="324">
        <f t="shared" si="30"/>
        <v>-2076156.7380319666</v>
      </c>
    </row>
    <row r="147" spans="1:44" ht="12.95" customHeight="1">
      <c r="B147" s="267" t="s">
        <v>577</v>
      </c>
      <c r="C147" s="268"/>
      <c r="D147" s="325"/>
      <c r="E147" s="326">
        <f t="shared" ref="E147:AR147" si="31">IF(E112&gt;$C$74,"",(-$C$94*(E139+$C$5*E118)+E132+$C$5*E118)/-E137)</f>
        <v>1.4740824581331968</v>
      </c>
      <c r="F147" s="326">
        <f t="shared" si="31"/>
        <v>1.457658757170873</v>
      </c>
      <c r="G147" s="326">
        <f t="shared" si="31"/>
        <v>1.4408092662241023</v>
      </c>
      <c r="H147" s="326">
        <f t="shared" si="31"/>
        <v>1.4235213335646746</v>
      </c>
      <c r="I147" s="326">
        <f t="shared" si="31"/>
        <v>1.4057818786528538</v>
      </c>
      <c r="J147" s="326">
        <f t="shared" si="31"/>
        <v>1.3875773760906254</v>
      </c>
      <c r="K147" s="326">
        <f t="shared" si="31"/>
        <v>1.3688938389365144</v>
      </c>
      <c r="L147" s="326">
        <f t="shared" si="31"/>
        <v>1.3497168013557064</v>
      </c>
      <c r="M147" s="326">
        <f t="shared" si="31"/>
        <v>1.3300313005781128</v>
      </c>
      <c r="N147" s="326">
        <f t="shared" si="31"/>
        <v>1.3098218581358787</v>
      </c>
      <c r="O147" s="326">
        <f t="shared" si="31"/>
        <v>1.2890724603506254</v>
      </c>
      <c r="P147" s="326">
        <f t="shared" si="31"/>
        <v>1.26776653803949</v>
      </c>
      <c r="Q147" s="326">
        <f t="shared" si="31"/>
        <v>0.92201690601146646</v>
      </c>
      <c r="R147" s="326">
        <f t="shared" si="31"/>
        <v>1.2234159380942458</v>
      </c>
      <c r="S147" s="326">
        <f t="shared" si="31"/>
        <v>1.2003351503351927</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-4811697.665324376</v>
      </c>
      <c r="D150" s="271" t="s">
        <v>580</v>
      </c>
    </row>
    <row r="151" spans="1:44">
      <c r="B151" s="72" t="s">
        <v>581</v>
      </c>
      <c r="C151" s="272">
        <f>(1-$C$94)*NPV($C$91,E145:AR145)</f>
        <v>56359597.115282513</v>
      </c>
      <c r="D151" s="271" t="str">
        <f>$C$7</f>
        <v>kWh</v>
      </c>
      <c r="F151" s="273"/>
    </row>
    <row r="152" spans="1:44">
      <c r="B152" s="72" t="s">
        <v>582</v>
      </c>
      <c r="C152" s="272">
        <f>$C$41*1000000</f>
        <v>5941299.9999999991</v>
      </c>
      <c r="D152" s="271" t="s">
        <v>528</v>
      </c>
      <c r="F152" s="46"/>
    </row>
    <row r="153" spans="1:44">
      <c r="B153" s="72" t="s">
        <v>583</v>
      </c>
      <c r="C153" s="274">
        <f>AVERAGE(E147:AR147)</f>
        <v>1.3233667907782374</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-0.12038904174669629</v>
      </c>
      <c r="D155" s="271"/>
      <c r="F155" s="46"/>
      <c r="G155" s="47"/>
    </row>
    <row r="156" spans="1:44">
      <c r="B156" s="72" t="s">
        <v>586</v>
      </c>
      <c r="C156" s="95" t="str">
        <f>IFERROR(IRR(D144:AR144),"n.v.t.")</f>
        <v>n.v.t.</v>
      </c>
      <c r="D156" s="271"/>
      <c r="G156" s="47"/>
    </row>
    <row r="157" spans="1:44">
      <c r="B157" s="72" t="s">
        <v>587</v>
      </c>
      <c r="C157" s="272">
        <f>$C$92*C152-C97</f>
        <v>4158909.9999999991</v>
      </c>
      <c r="D157" s="271" t="s">
        <v>528</v>
      </c>
      <c r="F157" s="33"/>
    </row>
    <row r="158" spans="1:44">
      <c r="B158" s="72" t="s">
        <v>588</v>
      </c>
      <c r="C158" s="272">
        <f>$C$93*C152-C98</f>
        <v>1782389.9999999998</v>
      </c>
      <c r="D158" s="271" t="s">
        <v>528</v>
      </c>
      <c r="F158" s="33"/>
    </row>
    <row r="159" spans="1:44">
      <c r="B159" s="72" t="s">
        <v>332</v>
      </c>
      <c r="C159" s="95">
        <f>IF(AND(E115&gt;0,E116&gt;0),ROUND(E116/E115,2),0)</f>
        <v>0</v>
      </c>
      <c r="D159" s="271" t="s">
        <v>589</v>
      </c>
      <c r="F159" s="33"/>
    </row>
    <row r="160" spans="1:44">
      <c r="B160" s="72" t="s">
        <v>590</v>
      </c>
      <c r="C160" s="95">
        <f>IF(C159=0,MAX(C29:C30),E118/SUM(C26,C28))</f>
        <v>740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0,086</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8.5999999999999993E-2</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0,110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0.11</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0,111</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38" priority="3" operator="containsText" text="Pas op">
      <formula>NOT(ISERROR(SEARCH("Pas op",G1)))</formula>
    </cfRule>
  </conditionalFormatting>
  <conditionalFormatting sqref="G188">
    <cfRule type="containsText" dxfId="37" priority="2" operator="containsText" text="Pas op">
      <formula>NOT(ISERROR(SEARCH("Pas op",G188)))</formula>
    </cfRule>
  </conditionalFormatting>
  <conditionalFormatting sqref="G105">
    <cfRule type="containsText" dxfId="36"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0E5DC01A-BA93-430E-BC17-13A27349A4F2}">
      <formula1>"ja,nee"</formula1>
    </dataValidation>
    <dataValidation type="list" allowBlank="1" showErrorMessage="1" error="Alleen de opties aangegeven in de dropdownlijst zijn toegestaan" sqref="C7" xr:uid="{C68AF2B3-A4CD-4CA5-A51B-6A44B62BE0EE}">
      <formula1>"t CO2,kWh"</formula1>
    </dataValidation>
    <dataValidation type="list" allowBlank="1" showErrorMessage="1" error="Alleen de opties aangegeven in de dropdownlijst zijn toegestaan" sqref="C14" xr:uid="{80D56BFA-0F37-4091-817A-B6FD02534B51}">
      <formula1>"Nee,Ja,Geen warmte"</formula1>
    </dataValidation>
    <dataValidation type="list" allowBlank="1" showErrorMessage="1" error="Alleen de opties aangegeven in de dropdownlijst zijn toegestaan" sqref="C9" xr:uid="{54C1A805-AAFA-4B8A-B335-CFC3A91D7CA0}">
      <formula1>"Elektriciteit,Lagetemperatuurwarmte,Hogetemperatuurwarmte,Moleculen,CCS/CCU,Generiek"</formula1>
    </dataValidation>
    <dataValidation type="decimal" allowBlank="1" showErrorMessage="1" error="Alleen getallen tussen 0 en 1.0 toegestaan. Vul in met een punt, geen comma" sqref="C17:C18" xr:uid="{25AEC5EF-8C24-4FF0-AD3B-A42BB67F06A0}">
      <formula1>0</formula1>
      <formula2>1</formula2>
    </dataValidation>
    <dataValidation type="decimal" operator="notBetween" allowBlank="1" showInputMessage="1" sqref="C39:C49" xr:uid="{990F8BC8-63D0-42DC-8319-30275EDBEACF}">
      <formula1>0</formula1>
      <formula2>0</formula2>
    </dataValidation>
    <dataValidation type="decimal" operator="notBetween" allowBlank="1" showInputMessage="1" showErrorMessage="1" sqref="C52:C60 C63:C65 C67:C70" xr:uid="{68556E24-7B8E-4145-AE87-08BE7A2F6D4F}">
      <formula1>0</formula1>
      <formula2>0</formula2>
    </dataValidation>
    <dataValidation type="decimal" operator="greaterThanOrEqual" allowBlank="1" showInputMessage="1" sqref="C21 C24:C30 C33:C36" xr:uid="{8304CEC8-38C9-4B4F-8032-6D348FF086FC}">
      <formula1>0</formula1>
    </dataValidation>
    <dataValidation type="decimal" operator="greaterThanOrEqual" allowBlank="1" showInputMessage="1" showErrorMessage="1" sqref="C73:C77" xr:uid="{26E64052-977A-4B35-B4EE-5545E136300A}">
      <formula1>0</formula1>
    </dataValidation>
    <dataValidation type="decimal" operator="greaterThan" allowBlank="1" showInputMessage="1" showErrorMessage="1" sqref="C80:C86 C89:C94" xr:uid="{105971F8-2D0D-4970-8772-CDBE0E164968}">
      <formula1>0</formula1>
    </dataValidation>
    <dataValidation type="list" operator="greaterThanOrEqual" allowBlank="1" showInputMessage="1" sqref="C23" xr:uid="{33882095-10A7-41DD-BB4D-D25ADA0596B6}">
      <formula1>"Ja"</formula1>
    </dataValidation>
    <dataValidation type="decimal" operator="greaterThan" allowBlank="1" showInputMessage="1" showErrorMessage="1" error="Alleen getallen boven de 0 toegstaan" sqref="C22" xr:uid="{19979900-7F32-4028-9562-6AB378BFD928}">
      <formula1>0</formula1>
    </dataValidation>
    <dataValidation operator="notBetween" allowBlank="1" showInputMessage="1" showErrorMessage="1" sqref="C66" xr:uid="{907A94A7-9D7F-4DC5-A0A3-C1E4E3EAE592}"/>
  </dataValidations>
  <pageMargins left="0.7" right="0.7" top="0.75" bottom="0.75" header="0.3" footer="0.3"/>
  <pageSetup paperSize="9" scale="1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3113-C03B-4348-9F8D-23037554A507}">
  <sheetPr codeName="Sheet102">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615</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0.188</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1162.1621621621623</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IFERROR(INDEX(Correcties!$A$1:$I$334,MATCH('10'!C12,Correcties!$A$1:$A$334,0),5),"")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15</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2140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2960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4.4710799999999995E-2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19.7</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0.29549999999999998</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3.0499999999999999E-2</v>
      </c>
      <c r="D48" s="75" t="str">
        <f>CONCATENATE("Euro/",$C$7)</f>
        <v>Euro/kWh</v>
      </c>
      <c r="E48" s="417"/>
      <c r="F48" s="431"/>
      <c r="G48" s="431"/>
      <c r="H48" s="431"/>
      <c r="I48" s="431"/>
      <c r="J48" s="431"/>
      <c r="K48" s="431"/>
      <c r="L48" s="431"/>
      <c r="M48" s="432"/>
    </row>
    <row r="49" spans="2:13" ht="15" customHeight="1">
      <c r="B49" s="73" t="s">
        <v>472</v>
      </c>
      <c r="C49" s="331">
        <f>SUM(C45:C48)</f>
        <v>3.0499999999999999E-2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2140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481500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642000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v>-35000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-44710.799999999996</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32100</v>
      </c>
      <c r="F115" s="312">
        <f t="shared" si="4"/>
        <v>32100</v>
      </c>
      <c r="G115" s="312">
        <f t="shared" si="4"/>
        <v>32100</v>
      </c>
      <c r="H115" s="312">
        <f t="shared" si="4"/>
        <v>32100</v>
      </c>
      <c r="I115" s="312">
        <f t="shared" si="4"/>
        <v>32100</v>
      </c>
      <c r="J115" s="312">
        <f t="shared" si="4"/>
        <v>32100</v>
      </c>
      <c r="K115" s="312">
        <f t="shared" si="4"/>
        <v>32100</v>
      </c>
      <c r="L115" s="312">
        <f t="shared" si="4"/>
        <v>32100</v>
      </c>
      <c r="M115" s="312">
        <f t="shared" si="4"/>
        <v>32100</v>
      </c>
      <c r="N115" s="312">
        <f t="shared" si="4"/>
        <v>32100</v>
      </c>
      <c r="O115" s="312">
        <f t="shared" si="4"/>
        <v>32100</v>
      </c>
      <c r="P115" s="312">
        <f t="shared" si="4"/>
        <v>32100</v>
      </c>
      <c r="Q115" s="312">
        <f t="shared" si="4"/>
        <v>32100</v>
      </c>
      <c r="R115" s="312">
        <f t="shared" si="4"/>
        <v>32100</v>
      </c>
      <c r="S115" s="312">
        <f t="shared" si="4"/>
        <v>32100</v>
      </c>
      <c r="T115" s="312">
        <f t="shared" si="4"/>
        <v>32100</v>
      </c>
      <c r="U115" s="312">
        <f t="shared" si="4"/>
        <v>32100</v>
      </c>
      <c r="V115" s="312">
        <f t="shared" si="4"/>
        <v>32100</v>
      </c>
      <c r="W115" s="312">
        <f t="shared" si="4"/>
        <v>32100</v>
      </c>
      <c r="X115" s="312">
        <f t="shared" si="4"/>
        <v>32100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32100</v>
      </c>
      <c r="F118" s="315">
        <f t="shared" si="7"/>
        <v>32100</v>
      </c>
      <c r="G118" s="315">
        <f t="shared" si="7"/>
        <v>32100</v>
      </c>
      <c r="H118" s="315">
        <f t="shared" si="7"/>
        <v>32100</v>
      </c>
      <c r="I118" s="315">
        <f t="shared" si="7"/>
        <v>32100</v>
      </c>
      <c r="J118" s="315">
        <f t="shared" si="7"/>
        <v>32100</v>
      </c>
      <c r="K118" s="315">
        <f t="shared" si="7"/>
        <v>32100</v>
      </c>
      <c r="L118" s="315">
        <f t="shared" si="7"/>
        <v>32100</v>
      </c>
      <c r="M118" s="315">
        <f t="shared" si="7"/>
        <v>32100</v>
      </c>
      <c r="N118" s="315">
        <f t="shared" si="7"/>
        <v>32100</v>
      </c>
      <c r="O118" s="315">
        <f t="shared" si="7"/>
        <v>32100</v>
      </c>
      <c r="P118" s="315">
        <f t="shared" si="7"/>
        <v>32100</v>
      </c>
      <c r="Q118" s="315">
        <f t="shared" si="7"/>
        <v>32100</v>
      </c>
      <c r="R118" s="315">
        <f t="shared" si="7"/>
        <v>32100</v>
      </c>
      <c r="S118" s="315">
        <f t="shared" si="7"/>
        <v>32100</v>
      </c>
      <c r="T118" s="315">
        <f t="shared" si="7"/>
        <v>32100</v>
      </c>
      <c r="U118" s="315">
        <f t="shared" si="7"/>
        <v>32100</v>
      </c>
      <c r="V118" s="315">
        <f t="shared" si="7"/>
        <v>32100</v>
      </c>
      <c r="W118" s="315">
        <f t="shared" si="7"/>
        <v>32100</v>
      </c>
      <c r="X118" s="315">
        <f t="shared" si="7"/>
        <v>32100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-1274.55</v>
      </c>
      <c r="F120" s="312">
        <f t="shared" si="8"/>
        <v>-1300.0409999999999</v>
      </c>
      <c r="G120" s="312">
        <f t="shared" si="8"/>
        <v>-1326.0418199999999</v>
      </c>
      <c r="H120" s="312">
        <f t="shared" si="8"/>
        <v>-1352.5626563999999</v>
      </c>
      <c r="I120" s="312">
        <f t="shared" si="8"/>
        <v>-1379.613909528</v>
      </c>
      <c r="J120" s="312">
        <f t="shared" si="8"/>
        <v>-1407.2061877185599</v>
      </c>
      <c r="K120" s="312">
        <f t="shared" si="8"/>
        <v>-1435.3503114729313</v>
      </c>
      <c r="L120" s="312">
        <f t="shared" si="8"/>
        <v>-1464.0573177023896</v>
      </c>
      <c r="M120" s="312">
        <f t="shared" si="8"/>
        <v>-1493.3384640564375</v>
      </c>
      <c r="N120" s="312">
        <f t="shared" si="8"/>
        <v>-1523.2052333375661</v>
      </c>
      <c r="O120" s="312">
        <f t="shared" si="8"/>
        <v>-1553.6693380043175</v>
      </c>
      <c r="P120" s="312">
        <f t="shared" si="8"/>
        <v>-1584.7427247644036</v>
      </c>
      <c r="Q120" s="312">
        <f t="shared" si="8"/>
        <v>-1616.437579259692</v>
      </c>
      <c r="R120" s="312">
        <f t="shared" si="8"/>
        <v>-1648.7663308448857</v>
      </c>
      <c r="S120" s="312">
        <f t="shared" si="8"/>
        <v>-1681.7416574617837</v>
      </c>
      <c r="T120" s="312">
        <f t="shared" si="8"/>
        <v>-1715.3764906110189</v>
      </c>
      <c r="U120" s="312">
        <f t="shared" si="8"/>
        <v>-1749.6840204232394</v>
      </c>
      <c r="V120" s="312">
        <f t="shared" si="8"/>
        <v>-1784.6777008317044</v>
      </c>
      <c r="W120" s="312">
        <f t="shared" si="8"/>
        <v>-1820.3712548483384</v>
      </c>
      <c r="X120" s="312">
        <f t="shared" si="8"/>
        <v>-1856.7786799453049</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2199.0008193044114</v>
      </c>
      <c r="U127" s="312">
        <f t="shared" si="15"/>
        <v>2242.9808356905</v>
      </c>
      <c r="V127" s="312">
        <f t="shared" si="15"/>
        <v>2287.8404524043103</v>
      </c>
      <c r="W127" s="312">
        <f t="shared" si="15"/>
        <v>2333.5972614523962</v>
      </c>
      <c r="X127" s="312">
        <f t="shared" si="15"/>
        <v>2380.2692066814443</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2199.0008193044114</v>
      </c>
      <c r="U130" s="312">
        <f t="shared" si="17"/>
        <v>2242.9808356905</v>
      </c>
      <c r="V130" s="312">
        <f t="shared" si="17"/>
        <v>2287.8404524043103</v>
      </c>
      <c r="W130" s="312">
        <f t="shared" si="17"/>
        <v>2333.5972614523962</v>
      </c>
      <c r="X130" s="312">
        <f t="shared" si="17"/>
        <v>2380.2692066814443</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-1274.55</v>
      </c>
      <c r="F131" s="312">
        <f t="shared" si="18"/>
        <v>-1300.0409999999999</v>
      </c>
      <c r="G131" s="312">
        <f t="shared" si="18"/>
        <v>-1326.0418199999999</v>
      </c>
      <c r="H131" s="312">
        <f t="shared" si="18"/>
        <v>-1352.5626563999999</v>
      </c>
      <c r="I131" s="312">
        <f t="shared" si="18"/>
        <v>-1379.613909528</v>
      </c>
      <c r="J131" s="312">
        <f t="shared" si="18"/>
        <v>-1407.2061877185599</v>
      </c>
      <c r="K131" s="312">
        <f t="shared" si="18"/>
        <v>-1435.3503114729313</v>
      </c>
      <c r="L131" s="312">
        <f t="shared" si="18"/>
        <v>-1464.0573177023896</v>
      </c>
      <c r="M131" s="312">
        <f t="shared" si="18"/>
        <v>-1493.3384640564375</v>
      </c>
      <c r="N131" s="312">
        <f t="shared" si="18"/>
        <v>-1523.2052333375661</v>
      </c>
      <c r="O131" s="312">
        <f t="shared" si="18"/>
        <v>-1553.6693380043175</v>
      </c>
      <c r="P131" s="312">
        <f t="shared" si="18"/>
        <v>-1584.7427247644036</v>
      </c>
      <c r="Q131" s="312">
        <f t="shared" si="18"/>
        <v>-1616.437579259692</v>
      </c>
      <c r="R131" s="312">
        <f t="shared" si="18"/>
        <v>-1648.7663308448857</v>
      </c>
      <c r="S131" s="312">
        <f t="shared" si="18"/>
        <v>-1681.7416574617837</v>
      </c>
      <c r="T131" s="312">
        <f t="shared" si="18"/>
        <v>-1715.3764906110189</v>
      </c>
      <c r="U131" s="312">
        <f t="shared" si="18"/>
        <v>-1749.6840204232394</v>
      </c>
      <c r="V131" s="312">
        <f t="shared" si="18"/>
        <v>-1784.6777008317044</v>
      </c>
      <c r="W131" s="312">
        <f t="shared" si="18"/>
        <v>-1820.3712548483384</v>
      </c>
      <c r="X131" s="312">
        <f t="shared" si="18"/>
        <v>-1856.7786799453049</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-1274.55</v>
      </c>
      <c r="F132" s="321">
        <f t="shared" si="19"/>
        <v>-1300.0409999999999</v>
      </c>
      <c r="G132" s="321">
        <f t="shared" si="19"/>
        <v>-1326.0418199999999</v>
      </c>
      <c r="H132" s="321">
        <f t="shared" si="19"/>
        <v>-1352.5626563999999</v>
      </c>
      <c r="I132" s="321">
        <f t="shared" si="19"/>
        <v>-1379.613909528</v>
      </c>
      <c r="J132" s="321">
        <f t="shared" si="19"/>
        <v>-1407.2061877185599</v>
      </c>
      <c r="K132" s="321">
        <f t="shared" si="19"/>
        <v>-1435.3503114729313</v>
      </c>
      <c r="L132" s="321">
        <f t="shared" si="19"/>
        <v>-1464.0573177023896</v>
      </c>
      <c r="M132" s="321">
        <f t="shared" si="19"/>
        <v>-1493.3384640564375</v>
      </c>
      <c r="N132" s="321">
        <f t="shared" si="19"/>
        <v>-1523.2052333375661</v>
      </c>
      <c r="O132" s="321">
        <f t="shared" si="19"/>
        <v>-1553.6693380043175</v>
      </c>
      <c r="P132" s="321">
        <f t="shared" si="19"/>
        <v>-1584.7427247644036</v>
      </c>
      <c r="Q132" s="321">
        <f t="shared" si="19"/>
        <v>-1616.437579259692</v>
      </c>
      <c r="R132" s="321">
        <f t="shared" si="19"/>
        <v>-1648.7663308448857</v>
      </c>
      <c r="S132" s="321">
        <f t="shared" si="19"/>
        <v>-1681.7416574617837</v>
      </c>
      <c r="T132" s="321">
        <f t="shared" si="19"/>
        <v>483.6243286933925</v>
      </c>
      <c r="U132" s="321">
        <f t="shared" si="19"/>
        <v>493.29681526726063</v>
      </c>
      <c r="V132" s="321">
        <f t="shared" si="19"/>
        <v>503.16275157260588</v>
      </c>
      <c r="W132" s="321">
        <f t="shared" si="19"/>
        <v>513.22600660405783</v>
      </c>
      <c r="X132" s="321">
        <f t="shared" si="19"/>
        <v>523.49052673613937</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-2235.54</v>
      </c>
      <c r="F134" s="312">
        <f t="shared" si="20"/>
        <v>-2235.54</v>
      </c>
      <c r="G134" s="312">
        <f t="shared" si="20"/>
        <v>-2235.54</v>
      </c>
      <c r="H134" s="312">
        <f t="shared" si="20"/>
        <v>-2235.54</v>
      </c>
      <c r="I134" s="312">
        <f t="shared" si="20"/>
        <v>-2235.54</v>
      </c>
      <c r="J134" s="312">
        <f t="shared" si="20"/>
        <v>-2235.54</v>
      </c>
      <c r="K134" s="312">
        <f t="shared" si="20"/>
        <v>-2235.54</v>
      </c>
      <c r="L134" s="312">
        <f t="shared" si="20"/>
        <v>-2235.54</v>
      </c>
      <c r="M134" s="312">
        <f t="shared" si="20"/>
        <v>-2235.54</v>
      </c>
      <c r="N134" s="312">
        <f t="shared" si="20"/>
        <v>-2235.54</v>
      </c>
      <c r="O134" s="312">
        <f t="shared" si="20"/>
        <v>-2235.54</v>
      </c>
      <c r="P134" s="312">
        <f t="shared" si="20"/>
        <v>-2235.54</v>
      </c>
      <c r="Q134" s="312">
        <f t="shared" si="20"/>
        <v>-2235.54</v>
      </c>
      <c r="R134" s="312">
        <f t="shared" si="20"/>
        <v>-2235.54</v>
      </c>
      <c r="S134" s="312">
        <f t="shared" si="20"/>
        <v>-2235.54</v>
      </c>
      <c r="T134" s="312">
        <f t="shared" si="20"/>
        <v>-2235.54</v>
      </c>
      <c r="U134" s="312">
        <f t="shared" si="20"/>
        <v>-2235.54</v>
      </c>
      <c r="V134" s="312">
        <f t="shared" si="20"/>
        <v>-2235.54</v>
      </c>
      <c r="W134" s="312">
        <f t="shared" si="20"/>
        <v>-2235.54</v>
      </c>
      <c r="X134" s="312">
        <f t="shared" si="20"/>
        <v>-2235.54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-1643.1218999999996</v>
      </c>
      <c r="F135" s="312">
        <f t="shared" si="21"/>
        <v>-1568.3974006158423</v>
      </c>
      <c r="G135" s="312">
        <f t="shared" si="21"/>
        <v>-1489.7498650140171</v>
      </c>
      <c r="H135" s="312">
        <f t="shared" si="21"/>
        <v>-1406.9733337930957</v>
      </c>
      <c r="I135" s="312">
        <f t="shared" si="21"/>
        <v>-1319.8510346830758</v>
      </c>
      <c r="J135" s="312">
        <f t="shared" si="21"/>
        <v>-1228.1548148697798</v>
      </c>
      <c r="K135" s="312">
        <f t="shared" si="21"/>
        <v>-1131.6445435162864</v>
      </c>
      <c r="L135" s="312">
        <f t="shared" si="21"/>
        <v>-1030.0674829167344</v>
      </c>
      <c r="M135" s="312">
        <f t="shared" si="21"/>
        <v>-923.1576266357057</v>
      </c>
      <c r="N135" s="312">
        <f t="shared" si="21"/>
        <v>-810.63500289992282</v>
      </c>
      <c r="O135" s="312">
        <f t="shared" si="21"/>
        <v>-692.20494141801169</v>
      </c>
      <c r="P135" s="312">
        <f t="shared" si="21"/>
        <v>-567.5573017083002</v>
      </c>
      <c r="Q135" s="312">
        <f t="shared" si="21"/>
        <v>-436.36566091382861</v>
      </c>
      <c r="R135" s="312">
        <f t="shared" si="21"/>
        <v>-298.2864589776475</v>
      </c>
      <c r="S135" s="312">
        <f t="shared" si="21"/>
        <v>-152.95809893981681</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-1423.3237977934712</v>
      </c>
      <c r="F136" s="312">
        <f t="shared" si="22"/>
        <v>-1498.0482971776282</v>
      </c>
      <c r="G136" s="312">
        <f t="shared" si="22"/>
        <v>-1576.6958327794539</v>
      </c>
      <c r="H136" s="312">
        <f t="shared" si="22"/>
        <v>-1659.4723640003749</v>
      </c>
      <c r="I136" s="312">
        <f t="shared" si="22"/>
        <v>-1746.5946631103948</v>
      </c>
      <c r="J136" s="312">
        <f t="shared" si="22"/>
        <v>-1838.2908829236906</v>
      </c>
      <c r="K136" s="312">
        <f t="shared" si="22"/>
        <v>-1934.8011542771842</v>
      </c>
      <c r="L136" s="312">
        <f t="shared" si="22"/>
        <v>-2036.3782148767366</v>
      </c>
      <c r="M136" s="312">
        <f t="shared" si="22"/>
        <v>-2143.288071157765</v>
      </c>
      <c r="N136" s="312">
        <f t="shared" si="22"/>
        <v>-2255.8106948935479</v>
      </c>
      <c r="O136" s="312">
        <f t="shared" si="22"/>
        <v>-2374.2407563754587</v>
      </c>
      <c r="P136" s="312">
        <f t="shared" si="22"/>
        <v>-2498.8883960851708</v>
      </c>
      <c r="Q136" s="312">
        <f t="shared" si="22"/>
        <v>-2630.0800368796422</v>
      </c>
      <c r="R136" s="312">
        <f t="shared" si="22"/>
        <v>-2768.1592388158233</v>
      </c>
      <c r="S136" s="312">
        <f t="shared" si="22"/>
        <v>-2913.4875988536537</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-3066.4456977934706</v>
      </c>
      <c r="F137" s="321">
        <f t="shared" si="23"/>
        <v>-3066.4456977934706</v>
      </c>
      <c r="G137" s="321">
        <f t="shared" si="23"/>
        <v>-3066.445697793471</v>
      </c>
      <c r="H137" s="321">
        <f t="shared" si="23"/>
        <v>-3066.4456977934706</v>
      </c>
      <c r="I137" s="321">
        <f t="shared" si="23"/>
        <v>-3066.4456977934706</v>
      </c>
      <c r="J137" s="321">
        <f t="shared" si="23"/>
        <v>-3066.4456977934706</v>
      </c>
      <c r="K137" s="321">
        <f t="shared" si="23"/>
        <v>-3066.4456977934706</v>
      </c>
      <c r="L137" s="321">
        <f t="shared" si="23"/>
        <v>-3066.445697793471</v>
      </c>
      <c r="M137" s="321">
        <f t="shared" si="23"/>
        <v>-3066.4456977934706</v>
      </c>
      <c r="N137" s="321">
        <f t="shared" si="23"/>
        <v>-3066.4456977934706</v>
      </c>
      <c r="O137" s="321">
        <f t="shared" si="23"/>
        <v>-3066.4456977934706</v>
      </c>
      <c r="P137" s="321">
        <f t="shared" si="23"/>
        <v>-3066.445697793471</v>
      </c>
      <c r="Q137" s="321">
        <f t="shared" si="23"/>
        <v>-3066.4456977934706</v>
      </c>
      <c r="R137" s="321">
        <f t="shared" si="23"/>
        <v>-3066.4456977934706</v>
      </c>
      <c r="S137" s="321">
        <f t="shared" si="23"/>
        <v>-3066.4456977934706</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-5153.2119000000002</v>
      </c>
      <c r="F139" s="312">
        <f t="shared" si="24"/>
        <v>-5103.9784006158425</v>
      </c>
      <c r="G139" s="312">
        <f t="shared" si="24"/>
        <v>-5051.3316850140172</v>
      </c>
      <c r="H139" s="312">
        <f t="shared" si="24"/>
        <v>-4995.075990193096</v>
      </c>
      <c r="I139" s="312">
        <f t="shared" si="24"/>
        <v>-4935.0049442110758</v>
      </c>
      <c r="J139" s="312">
        <f t="shared" si="24"/>
        <v>-4870.9010025883399</v>
      </c>
      <c r="K139" s="312">
        <f t="shared" si="24"/>
        <v>-4802.5348549892169</v>
      </c>
      <c r="L139" s="312">
        <f t="shared" si="24"/>
        <v>-4729.6648006191244</v>
      </c>
      <c r="M139" s="312">
        <f t="shared" si="24"/>
        <v>-4652.0360906921433</v>
      </c>
      <c r="N139" s="312">
        <f t="shared" si="24"/>
        <v>-4569.380236237489</v>
      </c>
      <c r="O139" s="312">
        <f t="shared" si="24"/>
        <v>-4481.4142794223289</v>
      </c>
      <c r="P139" s="312">
        <f t="shared" si="24"/>
        <v>-4387.8400264727043</v>
      </c>
      <c r="Q139" s="312">
        <f t="shared" si="24"/>
        <v>-4288.3432401735208</v>
      </c>
      <c r="R139" s="312">
        <f t="shared" si="24"/>
        <v>-4182.5927898225327</v>
      </c>
      <c r="S139" s="312">
        <f t="shared" si="24"/>
        <v>-4070.2397564016005</v>
      </c>
      <c r="T139" s="312">
        <f t="shared" si="24"/>
        <v>-1751.9156713066075</v>
      </c>
      <c r="U139" s="312">
        <f t="shared" si="24"/>
        <v>-1742.2431847327393</v>
      </c>
      <c r="V139" s="312">
        <f t="shared" si="24"/>
        <v>-1732.3772484273941</v>
      </c>
      <c r="W139" s="312">
        <f t="shared" si="24"/>
        <v>-1722.3139933959421</v>
      </c>
      <c r="X139" s="312">
        <f t="shared" si="24"/>
        <v>-1712.0494732638606</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979.11026100000004</v>
      </c>
      <c r="F140" s="312">
        <f t="shared" si="25"/>
        <v>969.75589611701002</v>
      </c>
      <c r="G140" s="312">
        <f t="shared" si="25"/>
        <v>959.75302015266334</v>
      </c>
      <c r="H140" s="312">
        <f t="shared" si="25"/>
        <v>949.0644381366883</v>
      </c>
      <c r="I140" s="312">
        <f t="shared" si="25"/>
        <v>937.65093940010445</v>
      </c>
      <c r="J140" s="312">
        <f t="shared" si="25"/>
        <v>925.47119049178457</v>
      </c>
      <c r="K140" s="312">
        <f t="shared" si="25"/>
        <v>912.48162244795117</v>
      </c>
      <c r="L140" s="312">
        <f t="shared" si="25"/>
        <v>898.63631211763368</v>
      </c>
      <c r="M140" s="312">
        <f t="shared" si="25"/>
        <v>883.88685723150718</v>
      </c>
      <c r="N140" s="312">
        <f t="shared" si="25"/>
        <v>868.18224488512294</v>
      </c>
      <c r="O140" s="312">
        <f t="shared" si="25"/>
        <v>851.46871309024255</v>
      </c>
      <c r="P140" s="312">
        <f t="shared" si="25"/>
        <v>833.68960502981383</v>
      </c>
      <c r="Q140" s="312">
        <f t="shared" si="25"/>
        <v>814.78521563296897</v>
      </c>
      <c r="R140" s="312">
        <f t="shared" si="25"/>
        <v>794.69263006628125</v>
      </c>
      <c r="S140" s="312">
        <f t="shared" si="25"/>
        <v>773.34555371630415</v>
      </c>
      <c r="T140" s="312">
        <f t="shared" si="25"/>
        <v>332.86397754825543</v>
      </c>
      <c r="U140" s="312">
        <f t="shared" si="25"/>
        <v>331.02620509922048</v>
      </c>
      <c r="V140" s="312">
        <f t="shared" si="25"/>
        <v>329.1516772012049</v>
      </c>
      <c r="W140" s="312">
        <f t="shared" si="25"/>
        <v>327.23965874522901</v>
      </c>
      <c r="X140" s="312">
        <f t="shared" si="25"/>
        <v>325.28939992013352</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-3361.8854367934709</v>
      </c>
      <c r="F142" s="321">
        <f t="shared" si="26"/>
        <v>-3396.7308016764609</v>
      </c>
      <c r="G142" s="321">
        <f t="shared" si="26"/>
        <v>-3432.7344976408076</v>
      </c>
      <c r="H142" s="321">
        <f t="shared" si="26"/>
        <v>-3469.9439160567827</v>
      </c>
      <c r="I142" s="321">
        <f t="shared" si="26"/>
        <v>-3508.4086679213665</v>
      </c>
      <c r="J142" s="321">
        <f t="shared" si="26"/>
        <v>-3548.1806950202458</v>
      </c>
      <c r="K142" s="321">
        <f t="shared" si="26"/>
        <v>-3589.3143868184507</v>
      </c>
      <c r="L142" s="321">
        <f t="shared" si="26"/>
        <v>-3631.8667033782267</v>
      </c>
      <c r="M142" s="321">
        <f t="shared" si="26"/>
        <v>-3675.8973046184005</v>
      </c>
      <c r="N142" s="321">
        <f t="shared" si="26"/>
        <v>-3721.4686862459134</v>
      </c>
      <c r="O142" s="321">
        <f t="shared" si="26"/>
        <v>-3768.6463227075451</v>
      </c>
      <c r="P142" s="321">
        <f t="shared" si="26"/>
        <v>-3817.4988175280605</v>
      </c>
      <c r="Q142" s="321">
        <f t="shared" si="26"/>
        <v>-3868.0980614201935</v>
      </c>
      <c r="R142" s="321">
        <f t="shared" si="26"/>
        <v>-3920.5193985720748</v>
      </c>
      <c r="S142" s="321">
        <f t="shared" si="26"/>
        <v>-3974.8418015389502</v>
      </c>
      <c r="T142" s="321">
        <f t="shared" si="26"/>
        <v>816.48830624164793</v>
      </c>
      <c r="U142" s="321">
        <f t="shared" si="26"/>
        <v>824.32302036648116</v>
      </c>
      <c r="V142" s="321">
        <f t="shared" si="26"/>
        <v>832.31442877381073</v>
      </c>
      <c r="W142" s="321">
        <f t="shared" si="26"/>
        <v>840.46566534928684</v>
      </c>
      <c r="X142" s="321">
        <f t="shared" si="26"/>
        <v>848.77992665627289</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-44710.799999999988</v>
      </c>
      <c r="E143" s="312">
        <f t="shared" ref="E143:AR143" si="27">E132+E140</f>
        <v>-295.43973899999992</v>
      </c>
      <c r="F143" s="312">
        <f t="shared" si="27"/>
        <v>-330.28510388298992</v>
      </c>
      <c r="G143" s="312">
        <f t="shared" si="27"/>
        <v>-366.28879984733658</v>
      </c>
      <c r="H143" s="312">
        <f t="shared" si="27"/>
        <v>-403.49821826331163</v>
      </c>
      <c r="I143" s="312">
        <f t="shared" si="27"/>
        <v>-441.96297012789557</v>
      </c>
      <c r="J143" s="312">
        <f t="shared" si="27"/>
        <v>-481.73499722677536</v>
      </c>
      <c r="K143" s="312">
        <f t="shared" si="27"/>
        <v>-522.86868902498009</v>
      </c>
      <c r="L143" s="312">
        <f t="shared" si="27"/>
        <v>-565.4210055847559</v>
      </c>
      <c r="M143" s="312">
        <f t="shared" si="27"/>
        <v>-609.45160682493031</v>
      </c>
      <c r="N143" s="312">
        <f t="shared" si="27"/>
        <v>-655.0229884524432</v>
      </c>
      <c r="O143" s="312">
        <f t="shared" si="27"/>
        <v>-702.20062491407498</v>
      </c>
      <c r="P143" s="312">
        <f t="shared" si="27"/>
        <v>-751.05311973458981</v>
      </c>
      <c r="Q143" s="312">
        <f t="shared" si="27"/>
        <v>-801.65236362672306</v>
      </c>
      <c r="R143" s="312">
        <f t="shared" si="27"/>
        <v>-854.07370077860446</v>
      </c>
      <c r="S143" s="312">
        <f t="shared" si="27"/>
        <v>-908.39610374547954</v>
      </c>
      <c r="T143" s="312">
        <f t="shared" si="27"/>
        <v>816.48830624164793</v>
      </c>
      <c r="U143" s="312">
        <f t="shared" si="27"/>
        <v>824.32302036648116</v>
      </c>
      <c r="V143" s="312">
        <f t="shared" si="27"/>
        <v>832.31442877381073</v>
      </c>
      <c r="W143" s="312">
        <f t="shared" si="27"/>
        <v>840.46566534928684</v>
      </c>
      <c r="X143" s="312">
        <f t="shared" si="27"/>
        <v>848.77992665627289</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-13413.239999999998</v>
      </c>
      <c r="E144" s="312">
        <f t="shared" ref="E144:AR144" si="28">E142</f>
        <v>-3361.8854367934709</v>
      </c>
      <c r="F144" s="312">
        <f t="shared" si="28"/>
        <v>-3396.7308016764609</v>
      </c>
      <c r="G144" s="312">
        <f t="shared" si="28"/>
        <v>-3432.7344976408076</v>
      </c>
      <c r="H144" s="312">
        <f t="shared" si="28"/>
        <v>-3469.9439160567827</v>
      </c>
      <c r="I144" s="312">
        <f t="shared" si="28"/>
        <v>-3508.4086679213665</v>
      </c>
      <c r="J144" s="312">
        <f t="shared" si="28"/>
        <v>-3548.1806950202458</v>
      </c>
      <c r="K144" s="312">
        <f t="shared" si="28"/>
        <v>-3589.3143868184507</v>
      </c>
      <c r="L144" s="312">
        <f t="shared" si="28"/>
        <v>-3631.8667033782267</v>
      </c>
      <c r="M144" s="312">
        <f t="shared" si="28"/>
        <v>-3675.8973046184005</v>
      </c>
      <c r="N144" s="312">
        <f t="shared" si="28"/>
        <v>-3721.4686862459134</v>
      </c>
      <c r="O144" s="312">
        <f t="shared" si="28"/>
        <v>-3768.6463227075451</v>
      </c>
      <c r="P144" s="312">
        <f t="shared" si="28"/>
        <v>-3817.4988175280605</v>
      </c>
      <c r="Q144" s="312">
        <f t="shared" si="28"/>
        <v>-3868.0980614201935</v>
      </c>
      <c r="R144" s="312">
        <f t="shared" si="28"/>
        <v>-3920.5193985720748</v>
      </c>
      <c r="S144" s="312">
        <f t="shared" si="28"/>
        <v>-3974.8418015389502</v>
      </c>
      <c r="T144" s="312">
        <f t="shared" si="28"/>
        <v>816.48830624164793</v>
      </c>
      <c r="U144" s="312">
        <f t="shared" si="28"/>
        <v>824.32302036648116</v>
      </c>
      <c r="V144" s="312">
        <f t="shared" si="28"/>
        <v>832.31442877381073</v>
      </c>
      <c r="W144" s="312">
        <f t="shared" si="28"/>
        <v>840.46566534928684</v>
      </c>
      <c r="X144" s="312">
        <f t="shared" si="28"/>
        <v>848.77992665627289</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32100</v>
      </c>
      <c r="F145" s="312">
        <f t="shared" si="29"/>
        <v>32100</v>
      </c>
      <c r="G145" s="312">
        <f t="shared" si="29"/>
        <v>32100</v>
      </c>
      <c r="H145" s="312">
        <f t="shared" si="29"/>
        <v>32100</v>
      </c>
      <c r="I145" s="312">
        <f t="shared" si="29"/>
        <v>32100</v>
      </c>
      <c r="J145" s="312">
        <f t="shared" si="29"/>
        <v>32100</v>
      </c>
      <c r="K145" s="312">
        <f t="shared" si="29"/>
        <v>32100</v>
      </c>
      <c r="L145" s="312">
        <f t="shared" si="29"/>
        <v>32100</v>
      </c>
      <c r="M145" s="312">
        <f t="shared" si="29"/>
        <v>32100</v>
      </c>
      <c r="N145" s="312">
        <f t="shared" si="29"/>
        <v>32100</v>
      </c>
      <c r="O145" s="312">
        <f t="shared" si="29"/>
        <v>32100</v>
      </c>
      <c r="P145" s="312">
        <f t="shared" si="29"/>
        <v>32100</v>
      </c>
      <c r="Q145" s="312">
        <f t="shared" si="29"/>
        <v>32100</v>
      </c>
      <c r="R145" s="312">
        <f t="shared" si="29"/>
        <v>32100</v>
      </c>
      <c r="S145" s="312">
        <f t="shared" si="29"/>
        <v>32100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44710.799999999996</v>
      </c>
      <c r="E146" s="323">
        <f t="shared" ref="E146:AR146" si="30">IF(E112&lt;=$C76,D146-($C$5*E118+E132+E135),D146-(E132+E135))</f>
        <v>41593.671899999994</v>
      </c>
      <c r="F146" s="323">
        <f t="shared" si="30"/>
        <v>38427.310300615834</v>
      </c>
      <c r="G146" s="323">
        <f t="shared" si="30"/>
        <v>35208.301985629849</v>
      </c>
      <c r="H146" s="323">
        <f t="shared" si="30"/>
        <v>31933.037975822946</v>
      </c>
      <c r="I146" s="323">
        <f t="shared" si="30"/>
        <v>28597.702920034022</v>
      </c>
      <c r="J146" s="323">
        <f t="shared" si="30"/>
        <v>25198.263922622362</v>
      </c>
      <c r="K146" s="323">
        <f t="shared" si="30"/>
        <v>21730.45877761158</v>
      </c>
      <c r="L146" s="323">
        <f t="shared" si="30"/>
        <v>18189.783578230705</v>
      </c>
      <c r="M146" s="323">
        <f t="shared" si="30"/>
        <v>14571.479668922848</v>
      </c>
      <c r="N146" s="323">
        <f t="shared" si="30"/>
        <v>10870.519905160336</v>
      </c>
      <c r="O146" s="323">
        <f t="shared" si="30"/>
        <v>7081.5941845826646</v>
      </c>
      <c r="P146" s="323">
        <f t="shared" si="30"/>
        <v>3199.0942110553683</v>
      </c>
      <c r="Q146" s="323">
        <f t="shared" si="30"/>
        <v>-782.90254877111101</v>
      </c>
      <c r="R146" s="323">
        <f t="shared" si="30"/>
        <v>-4870.6497589485789</v>
      </c>
      <c r="S146" s="323">
        <f t="shared" si="30"/>
        <v>-9070.7500025469781</v>
      </c>
      <c r="T146" s="323">
        <f t="shared" si="30"/>
        <v>-9554.3743312403712</v>
      </c>
      <c r="U146" s="323">
        <f t="shared" si="30"/>
        <v>-10047.671146507631</v>
      </c>
      <c r="V146" s="323">
        <f t="shared" si="30"/>
        <v>-10550.833898080236</v>
      </c>
      <c r="W146" s="323">
        <f t="shared" si="30"/>
        <v>-11064.059904684294</v>
      </c>
      <c r="X146" s="323">
        <f t="shared" si="30"/>
        <v>-11587.550431420434</v>
      </c>
      <c r="Y146" s="323">
        <f t="shared" si="30"/>
        <v>-11587.550431420434</v>
      </c>
      <c r="Z146" s="323">
        <f t="shared" si="30"/>
        <v>-11587.550431420434</v>
      </c>
      <c r="AA146" s="323">
        <f t="shared" si="30"/>
        <v>-11587.550431420434</v>
      </c>
      <c r="AB146" s="323">
        <f t="shared" si="30"/>
        <v>-11587.550431420434</v>
      </c>
      <c r="AC146" s="323">
        <f t="shared" si="30"/>
        <v>-11587.550431420434</v>
      </c>
      <c r="AD146" s="323">
        <f t="shared" si="30"/>
        <v>-11587.550431420434</v>
      </c>
      <c r="AE146" s="323">
        <f t="shared" si="30"/>
        <v>-11587.550431420434</v>
      </c>
      <c r="AF146" s="323">
        <f t="shared" si="30"/>
        <v>-11587.550431420434</v>
      </c>
      <c r="AG146" s="323">
        <f t="shared" si="30"/>
        <v>-11587.550431420434</v>
      </c>
      <c r="AH146" s="323">
        <f t="shared" si="30"/>
        <v>-11587.550431420434</v>
      </c>
      <c r="AI146" s="323">
        <f t="shared" si="30"/>
        <v>-11587.550431420434</v>
      </c>
      <c r="AJ146" s="323">
        <f t="shared" si="30"/>
        <v>-11587.550431420434</v>
      </c>
      <c r="AK146" s="323">
        <f t="shared" si="30"/>
        <v>-11587.550431420434</v>
      </c>
      <c r="AL146" s="323">
        <f t="shared" si="30"/>
        <v>-11587.550431420434</v>
      </c>
      <c r="AM146" s="323">
        <f t="shared" si="30"/>
        <v>-11587.550431420434</v>
      </c>
      <c r="AN146" s="323">
        <f t="shared" si="30"/>
        <v>-11587.550431420434</v>
      </c>
      <c r="AO146" s="323">
        <f t="shared" si="30"/>
        <v>-11587.550431420434</v>
      </c>
      <c r="AP146" s="323">
        <f t="shared" si="30"/>
        <v>-11587.550431420434</v>
      </c>
      <c r="AQ146" s="323">
        <f t="shared" si="30"/>
        <v>-11587.550431420434</v>
      </c>
      <c r="AR146" s="324">
        <f t="shared" si="30"/>
        <v>-11587.550431420434</v>
      </c>
    </row>
    <row r="147" spans="1:44" ht="12.95" customHeight="1">
      <c r="B147" s="267" t="s">
        <v>577</v>
      </c>
      <c r="C147" s="268"/>
      <c r="D147" s="325"/>
      <c r="E147" s="326">
        <f t="shared" ref="E147:AR147" si="31">IF(E112&gt;$C$74,"",(-$C$94*(E139+$C$5*E118)+E132+$C$5*E118)/-E137)</f>
        <v>1.4977432224887646</v>
      </c>
      <c r="F147" s="326">
        <f t="shared" si="31"/>
        <v>1.4863797847119062</v>
      </c>
      <c r="G147" s="326">
        <f t="shared" si="31"/>
        <v>1.4746386030597238</v>
      </c>
      <c r="H147" s="326">
        <f t="shared" si="31"/>
        <v>1.4625042227109213</v>
      </c>
      <c r="I147" s="326">
        <f t="shared" si="31"/>
        <v>1.4499604650007287</v>
      </c>
      <c r="J147" s="326">
        <f t="shared" si="31"/>
        <v>1.4369903911698116</v>
      </c>
      <c r="K147" s="326">
        <f t="shared" si="31"/>
        <v>1.4235762642450127</v>
      </c>
      <c r="L147" s="326">
        <f t="shared" si="31"/>
        <v>1.4096995089545485</v>
      </c>
      <c r="M147" s="326">
        <f t="shared" si="31"/>
        <v>1.3953406695751795</v>
      </c>
      <c r="N147" s="326">
        <f t="shared" si="31"/>
        <v>1.3804793656035146</v>
      </c>
      <c r="O147" s="326">
        <f t="shared" si="31"/>
        <v>1.3650942451379608</v>
      </c>
      <c r="P147" s="326">
        <f t="shared" si="31"/>
        <v>1.3491629358518813</v>
      </c>
      <c r="Q147" s="326">
        <f t="shared" si="31"/>
        <v>1.3326619934322774</v>
      </c>
      <c r="R147" s="326">
        <f t="shared" si="31"/>
        <v>1.3155668473517181</v>
      </c>
      <c r="S147" s="326">
        <f t="shared" si="31"/>
        <v>1.2978517438343253</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-32464.751401277121</v>
      </c>
      <c r="D150" s="271" t="s">
        <v>580</v>
      </c>
    </row>
    <row r="151" spans="1:44">
      <c r="B151" s="72" t="s">
        <v>581</v>
      </c>
      <c r="C151" s="272">
        <f>(1-$C$94)*NPV($C$91,E145:AR145)</f>
        <v>244478.79289196874</v>
      </c>
      <c r="D151" s="271" t="str">
        <f>$C$7</f>
        <v>kWh</v>
      </c>
      <c r="F151" s="273"/>
    </row>
    <row r="152" spans="1:44">
      <c r="B152" s="72" t="s">
        <v>582</v>
      </c>
      <c r="C152" s="272">
        <f>$C$41*1000000</f>
        <v>44710.799999999996</v>
      </c>
      <c r="D152" s="271" t="s">
        <v>528</v>
      </c>
      <c r="F152" s="46"/>
    </row>
    <row r="153" spans="1:44">
      <c r="B153" s="72" t="s">
        <v>583</v>
      </c>
      <c r="C153" s="274">
        <f>AVERAGE(E147:AR147)</f>
        <v>1.4051766842085516</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-0.16117959017996097</v>
      </c>
      <c r="D155" s="271"/>
      <c r="F155" s="46"/>
      <c r="G155" s="47"/>
    </row>
    <row r="156" spans="1:44">
      <c r="B156" s="72" t="s">
        <v>586</v>
      </c>
      <c r="C156" s="95" t="str">
        <f>IFERROR(IRR(D144:AR144),"n.v.t.")</f>
        <v>n.v.t.</v>
      </c>
      <c r="D156" s="271"/>
      <c r="G156" s="47"/>
    </row>
    <row r="157" spans="1:44">
      <c r="B157" s="72" t="s">
        <v>587</v>
      </c>
      <c r="C157" s="272">
        <f>$C$92*C152-C97</f>
        <v>31297.559999999994</v>
      </c>
      <c r="D157" s="271" t="s">
        <v>528</v>
      </c>
      <c r="F157" s="33"/>
    </row>
    <row r="158" spans="1:44">
      <c r="B158" s="72" t="s">
        <v>588</v>
      </c>
      <c r="C158" s="272">
        <f>$C$93*C152-C98</f>
        <v>13413.239999999998</v>
      </c>
      <c r="D158" s="271" t="s">
        <v>528</v>
      </c>
      <c r="F158" s="33"/>
    </row>
    <row r="159" spans="1:44">
      <c r="B159" s="72" t="s">
        <v>332</v>
      </c>
      <c r="C159" s="95">
        <f>IF(AND(E115&gt;0,E116&gt;0),ROUND(E116/E115,2),0)</f>
        <v>0</v>
      </c>
      <c r="D159" s="271" t="s">
        <v>589</v>
      </c>
      <c r="F159" s="33"/>
    </row>
    <row r="160" spans="1:44">
      <c r="B160" s="72" t="s">
        <v>590</v>
      </c>
      <c r="C160" s="95">
        <f>IF(C159=0,MAX(C29:C30),E118/SUM(C26,C28))</f>
        <v>2140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35" priority="3" operator="containsText" text="Pas op">
      <formula>NOT(ISERROR(SEARCH("Pas op",G1)))</formula>
    </cfRule>
  </conditionalFormatting>
  <conditionalFormatting sqref="G188">
    <cfRule type="containsText" dxfId="34" priority="2" operator="containsText" text="Pas op">
      <formula>NOT(ISERROR(SEARCH("Pas op",G188)))</formula>
    </cfRule>
  </conditionalFormatting>
  <conditionalFormatting sqref="G105">
    <cfRule type="containsText" dxfId="33"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208F4821-48BA-43E1-A199-C2BCEA4CE427}">
      <formula1>"ja,nee"</formula1>
    </dataValidation>
    <dataValidation type="list" allowBlank="1" showErrorMessage="1" error="Alleen de opties aangegeven in de dropdownlijst zijn toegestaan" sqref="C7" xr:uid="{C0763C15-EDD2-449E-8008-8AD9B3B539AA}">
      <formula1>"t CO2,kWh"</formula1>
    </dataValidation>
    <dataValidation type="list" allowBlank="1" showErrorMessage="1" error="Alleen de opties aangegeven in de dropdownlijst zijn toegestaan" sqref="C14" xr:uid="{4B1092C7-FA0D-4B77-AE0A-3427AFD846F7}">
      <formula1>"Nee,Ja,Geen warmte"</formula1>
    </dataValidation>
    <dataValidation type="list" allowBlank="1" showErrorMessage="1" error="Alleen de opties aangegeven in de dropdownlijst zijn toegestaan" sqref="C9" xr:uid="{FF862303-7946-4FEC-BFB8-AD14FFA3C69D}">
      <formula1>"Elektriciteit,Lagetemperatuurwarmte,Hogetemperatuurwarmte,Moleculen,CCS/CCU,Generiek"</formula1>
    </dataValidation>
    <dataValidation type="decimal" allowBlank="1" showErrorMessage="1" error="Alleen getallen tussen 0 en 1.0 toegestaan. Vul in met een punt, geen comma" sqref="C17:C18" xr:uid="{367E155B-BCC5-4A50-A8B3-8C47BD4D563A}">
      <formula1>0</formula1>
      <formula2>1</formula2>
    </dataValidation>
    <dataValidation type="decimal" operator="notBetween" allowBlank="1" showInputMessage="1" sqref="C39:C49" xr:uid="{BFCC520C-90B9-44C4-8AEE-1595C05EF29E}">
      <formula1>0</formula1>
      <formula2>0</formula2>
    </dataValidation>
    <dataValidation type="decimal" operator="notBetween" allowBlank="1" showInputMessage="1" showErrorMessage="1" sqref="C52:C60 C63:C65 C67:C70" xr:uid="{0A755472-1906-4BF5-809F-7EBE3681DC93}">
      <formula1>0</formula1>
      <formula2>0</formula2>
    </dataValidation>
    <dataValidation type="decimal" operator="greaterThanOrEqual" allowBlank="1" showInputMessage="1" sqref="C21 C24:C30 C33:C36" xr:uid="{D6698FF5-63F7-4799-99B8-50FEC8B29B4A}">
      <formula1>0</formula1>
    </dataValidation>
    <dataValidation type="decimal" operator="greaterThanOrEqual" allowBlank="1" showInputMessage="1" showErrorMessage="1" sqref="C73:C77" xr:uid="{4A578A86-5F4A-41F1-8405-034E4D2F62A3}">
      <formula1>0</formula1>
    </dataValidation>
    <dataValidation type="decimal" operator="greaterThan" allowBlank="1" showInputMessage="1" showErrorMessage="1" sqref="C80:C86 C89:C94" xr:uid="{5965495A-48B4-445B-96C1-384CC6CF5879}">
      <formula1>0</formula1>
    </dataValidation>
    <dataValidation type="list" operator="greaterThanOrEqual" allowBlank="1" showInputMessage="1" sqref="C23" xr:uid="{5940142F-4B47-4BBA-88B4-289F5F722AC7}">
      <formula1>"Ja"</formula1>
    </dataValidation>
    <dataValidation type="decimal" operator="greaterThan" allowBlank="1" showInputMessage="1" showErrorMessage="1" error="Alleen getallen boven de 0 toegstaan" sqref="C22" xr:uid="{5A2A896B-DB9F-443B-8538-58EB2E72F042}">
      <formula1>0</formula1>
    </dataValidation>
    <dataValidation operator="notBetween" allowBlank="1" showInputMessage="1" showErrorMessage="1" sqref="C66" xr:uid="{EA8AF15F-D614-4159-992E-78751682BD68}"/>
  </dataValidations>
  <pageMargins left="0.7" right="0.7" top="0.75" bottom="0.75" header="0.3" footer="0.3"/>
  <pageSetup paperSize="9" scale="1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134B-444B-4848-9A9E-03B2CD6432E4}">
  <sheetPr codeName="Sheet103">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617</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0.14799999999999999</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801.80180180180173</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IFERROR(INDEX(Correcties!$A$1:$I$334,MATCH('11'!C12,Correcties!$A$1:$A$334,0),5),"")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2070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2290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3.4590449999999995E-2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13.8</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0.20699999999999999</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2.5399999999999999E-2</v>
      </c>
      <c r="D48" s="75" t="str">
        <f>CONCATENATE("Euro/",$C$7)</f>
        <v>Euro/kWh</v>
      </c>
      <c r="E48" s="417"/>
      <c r="F48" s="431"/>
      <c r="G48" s="431"/>
      <c r="H48" s="431"/>
      <c r="I48" s="431"/>
      <c r="J48" s="431"/>
      <c r="K48" s="431"/>
      <c r="L48" s="431"/>
      <c r="M48" s="432"/>
    </row>
    <row r="49" spans="2:13" ht="15" customHeight="1">
      <c r="B49" s="73" t="s">
        <v>472</v>
      </c>
      <c r="C49" s="331">
        <f>SUM(C45:C48)</f>
        <v>2.5399999999999999E-2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2070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465750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621000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-34590.449999999997</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31050</v>
      </c>
      <c r="F115" s="312">
        <f t="shared" si="4"/>
        <v>31050</v>
      </c>
      <c r="G115" s="312">
        <f t="shared" si="4"/>
        <v>31050</v>
      </c>
      <c r="H115" s="312">
        <f t="shared" si="4"/>
        <v>31050</v>
      </c>
      <c r="I115" s="312">
        <f t="shared" si="4"/>
        <v>31050</v>
      </c>
      <c r="J115" s="312">
        <f t="shared" si="4"/>
        <v>31050</v>
      </c>
      <c r="K115" s="312">
        <f t="shared" si="4"/>
        <v>31050</v>
      </c>
      <c r="L115" s="312">
        <f t="shared" si="4"/>
        <v>31050</v>
      </c>
      <c r="M115" s="312">
        <f t="shared" si="4"/>
        <v>31050</v>
      </c>
      <c r="N115" s="312">
        <f t="shared" si="4"/>
        <v>31050</v>
      </c>
      <c r="O115" s="312">
        <f t="shared" si="4"/>
        <v>31050</v>
      </c>
      <c r="P115" s="312">
        <f t="shared" si="4"/>
        <v>31050</v>
      </c>
      <c r="Q115" s="312">
        <f t="shared" si="4"/>
        <v>31050</v>
      </c>
      <c r="R115" s="312">
        <f t="shared" si="4"/>
        <v>31050</v>
      </c>
      <c r="S115" s="312">
        <f t="shared" si="4"/>
        <v>31050</v>
      </c>
      <c r="T115" s="312">
        <f t="shared" si="4"/>
        <v>31050</v>
      </c>
      <c r="U115" s="312">
        <f t="shared" si="4"/>
        <v>31050</v>
      </c>
      <c r="V115" s="312">
        <f t="shared" si="4"/>
        <v>31050</v>
      </c>
      <c r="W115" s="312">
        <f t="shared" si="4"/>
        <v>31050</v>
      </c>
      <c r="X115" s="312">
        <f t="shared" si="4"/>
        <v>31050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31050</v>
      </c>
      <c r="F118" s="315">
        <f t="shared" si="7"/>
        <v>31050</v>
      </c>
      <c r="G118" s="315">
        <f t="shared" si="7"/>
        <v>31050</v>
      </c>
      <c r="H118" s="315">
        <f t="shared" si="7"/>
        <v>31050</v>
      </c>
      <c r="I118" s="315">
        <f t="shared" si="7"/>
        <v>31050</v>
      </c>
      <c r="J118" s="315">
        <f t="shared" si="7"/>
        <v>31050</v>
      </c>
      <c r="K118" s="315">
        <f t="shared" si="7"/>
        <v>31050</v>
      </c>
      <c r="L118" s="315">
        <f t="shared" si="7"/>
        <v>31050</v>
      </c>
      <c r="M118" s="315">
        <f t="shared" si="7"/>
        <v>31050</v>
      </c>
      <c r="N118" s="315">
        <f t="shared" si="7"/>
        <v>31050</v>
      </c>
      <c r="O118" s="315">
        <f t="shared" si="7"/>
        <v>31050</v>
      </c>
      <c r="P118" s="315">
        <f t="shared" si="7"/>
        <v>31050</v>
      </c>
      <c r="Q118" s="315">
        <f t="shared" si="7"/>
        <v>31050</v>
      </c>
      <c r="R118" s="315">
        <f t="shared" si="7"/>
        <v>31050</v>
      </c>
      <c r="S118" s="315">
        <f t="shared" si="7"/>
        <v>31050</v>
      </c>
      <c r="T118" s="315">
        <f t="shared" si="7"/>
        <v>31050</v>
      </c>
      <c r="U118" s="315">
        <f t="shared" si="7"/>
        <v>31050</v>
      </c>
      <c r="V118" s="315">
        <f t="shared" si="7"/>
        <v>31050</v>
      </c>
      <c r="W118" s="315">
        <f t="shared" si="7"/>
        <v>31050</v>
      </c>
      <c r="X118" s="315">
        <f t="shared" si="7"/>
        <v>31050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-995.67</v>
      </c>
      <c r="F120" s="312">
        <f t="shared" si="8"/>
        <v>-1015.5834</v>
      </c>
      <c r="G120" s="312">
        <f t="shared" si="8"/>
        <v>-1035.895068</v>
      </c>
      <c r="H120" s="312">
        <f t="shared" si="8"/>
        <v>-1056.6129693599999</v>
      </c>
      <c r="I120" s="312">
        <f t="shared" si="8"/>
        <v>-1077.7452287471999</v>
      </c>
      <c r="J120" s="312">
        <f t="shared" si="8"/>
        <v>-1099.3001333221439</v>
      </c>
      <c r="K120" s="312">
        <f t="shared" si="8"/>
        <v>-1121.2861359885869</v>
      </c>
      <c r="L120" s="312">
        <f t="shared" si="8"/>
        <v>-1143.7118587083585</v>
      </c>
      <c r="M120" s="312">
        <f t="shared" si="8"/>
        <v>-1166.5860958825256</v>
      </c>
      <c r="N120" s="312">
        <f t="shared" si="8"/>
        <v>-1189.9178178001762</v>
      </c>
      <c r="O120" s="312">
        <f t="shared" si="8"/>
        <v>-1213.7161741561797</v>
      </c>
      <c r="P120" s="312">
        <f t="shared" si="8"/>
        <v>-1237.9904976393032</v>
      </c>
      <c r="Q120" s="312">
        <f t="shared" si="8"/>
        <v>-1262.7503075920895</v>
      </c>
      <c r="R120" s="312">
        <f t="shared" si="8"/>
        <v>-1288.0053137439311</v>
      </c>
      <c r="S120" s="312">
        <f t="shared" si="8"/>
        <v>-1313.7654200188099</v>
      </c>
      <c r="T120" s="312">
        <f t="shared" si="8"/>
        <v>-1340.0407284191856</v>
      </c>
      <c r="U120" s="312">
        <f t="shared" si="8"/>
        <v>-1366.8415429875697</v>
      </c>
      <c r="V120" s="312">
        <f t="shared" si="8"/>
        <v>-1394.1783738473212</v>
      </c>
      <c r="W120" s="312">
        <f t="shared" si="8"/>
        <v>-1422.0619413242673</v>
      </c>
      <c r="X120" s="312">
        <f t="shared" si="8"/>
        <v>-1450.5031801507528</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2127.0708859626784</v>
      </c>
      <c r="U127" s="312">
        <f t="shared" si="15"/>
        <v>2169.6123036819322</v>
      </c>
      <c r="V127" s="312">
        <f t="shared" si="15"/>
        <v>2213.0045497555711</v>
      </c>
      <c r="W127" s="312">
        <f t="shared" si="15"/>
        <v>2257.2646407506822</v>
      </c>
      <c r="X127" s="312">
        <f t="shared" si="15"/>
        <v>2302.4099335656961</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2127.0708859626784</v>
      </c>
      <c r="U130" s="312">
        <f t="shared" si="17"/>
        <v>2169.6123036819322</v>
      </c>
      <c r="V130" s="312">
        <f t="shared" si="17"/>
        <v>2213.0045497555711</v>
      </c>
      <c r="W130" s="312">
        <f t="shared" si="17"/>
        <v>2257.2646407506822</v>
      </c>
      <c r="X130" s="312">
        <f t="shared" si="17"/>
        <v>2302.4099335656961</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-995.67</v>
      </c>
      <c r="F131" s="312">
        <f t="shared" si="18"/>
        <v>-1015.5834</v>
      </c>
      <c r="G131" s="312">
        <f t="shared" si="18"/>
        <v>-1035.895068</v>
      </c>
      <c r="H131" s="312">
        <f t="shared" si="18"/>
        <v>-1056.6129693599999</v>
      </c>
      <c r="I131" s="312">
        <f t="shared" si="18"/>
        <v>-1077.7452287471999</v>
      </c>
      <c r="J131" s="312">
        <f t="shared" si="18"/>
        <v>-1099.3001333221439</v>
      </c>
      <c r="K131" s="312">
        <f t="shared" si="18"/>
        <v>-1121.2861359885869</v>
      </c>
      <c r="L131" s="312">
        <f t="shared" si="18"/>
        <v>-1143.7118587083585</v>
      </c>
      <c r="M131" s="312">
        <f t="shared" si="18"/>
        <v>-1166.5860958825256</v>
      </c>
      <c r="N131" s="312">
        <f t="shared" si="18"/>
        <v>-1189.9178178001762</v>
      </c>
      <c r="O131" s="312">
        <f t="shared" si="18"/>
        <v>-1213.7161741561797</v>
      </c>
      <c r="P131" s="312">
        <f t="shared" si="18"/>
        <v>-1237.9904976393032</v>
      </c>
      <c r="Q131" s="312">
        <f t="shared" si="18"/>
        <v>-1262.7503075920895</v>
      </c>
      <c r="R131" s="312">
        <f t="shared" si="18"/>
        <v>-1288.0053137439311</v>
      </c>
      <c r="S131" s="312">
        <f t="shared" si="18"/>
        <v>-1313.7654200188099</v>
      </c>
      <c r="T131" s="312">
        <f t="shared" si="18"/>
        <v>-1340.0407284191856</v>
      </c>
      <c r="U131" s="312">
        <f t="shared" si="18"/>
        <v>-1366.8415429875697</v>
      </c>
      <c r="V131" s="312">
        <f t="shared" si="18"/>
        <v>-1394.1783738473212</v>
      </c>
      <c r="W131" s="312">
        <f t="shared" si="18"/>
        <v>-1422.0619413242673</v>
      </c>
      <c r="X131" s="312">
        <f t="shared" si="18"/>
        <v>-1450.5031801507528</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-995.67</v>
      </c>
      <c r="F132" s="321">
        <f t="shared" si="19"/>
        <v>-1015.5834</v>
      </c>
      <c r="G132" s="321">
        <f t="shared" si="19"/>
        <v>-1035.895068</v>
      </c>
      <c r="H132" s="321">
        <f t="shared" si="19"/>
        <v>-1056.6129693599999</v>
      </c>
      <c r="I132" s="321">
        <f t="shared" si="19"/>
        <v>-1077.7452287471999</v>
      </c>
      <c r="J132" s="321">
        <f t="shared" si="19"/>
        <v>-1099.3001333221439</v>
      </c>
      <c r="K132" s="321">
        <f t="shared" si="19"/>
        <v>-1121.2861359885869</v>
      </c>
      <c r="L132" s="321">
        <f t="shared" si="19"/>
        <v>-1143.7118587083585</v>
      </c>
      <c r="M132" s="321">
        <f t="shared" si="19"/>
        <v>-1166.5860958825256</v>
      </c>
      <c r="N132" s="321">
        <f t="shared" si="19"/>
        <v>-1189.9178178001762</v>
      </c>
      <c r="O132" s="321">
        <f t="shared" si="19"/>
        <v>-1213.7161741561797</v>
      </c>
      <c r="P132" s="321">
        <f t="shared" si="19"/>
        <v>-1237.9904976393032</v>
      </c>
      <c r="Q132" s="321">
        <f t="shared" si="19"/>
        <v>-1262.7503075920895</v>
      </c>
      <c r="R132" s="321">
        <f t="shared" si="19"/>
        <v>-1288.0053137439311</v>
      </c>
      <c r="S132" s="321">
        <f t="shared" si="19"/>
        <v>-1313.7654200188099</v>
      </c>
      <c r="T132" s="321">
        <f t="shared" si="19"/>
        <v>787.03015754349281</v>
      </c>
      <c r="U132" s="321">
        <f t="shared" si="19"/>
        <v>802.77076069436248</v>
      </c>
      <c r="V132" s="321">
        <f t="shared" si="19"/>
        <v>818.82617590824998</v>
      </c>
      <c r="W132" s="321">
        <f t="shared" si="19"/>
        <v>835.20269942641494</v>
      </c>
      <c r="X132" s="321">
        <f t="shared" si="19"/>
        <v>851.9067534149433</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-1729.5224999999998</v>
      </c>
      <c r="F134" s="312">
        <f t="shared" si="20"/>
        <v>-1729.5224999999998</v>
      </c>
      <c r="G134" s="312">
        <f t="shared" si="20"/>
        <v>-1729.5224999999998</v>
      </c>
      <c r="H134" s="312">
        <f t="shared" si="20"/>
        <v>-1729.5224999999998</v>
      </c>
      <c r="I134" s="312">
        <f t="shared" si="20"/>
        <v>-1729.5224999999998</v>
      </c>
      <c r="J134" s="312">
        <f t="shared" si="20"/>
        <v>-1729.5224999999998</v>
      </c>
      <c r="K134" s="312">
        <f t="shared" si="20"/>
        <v>-1729.5224999999998</v>
      </c>
      <c r="L134" s="312">
        <f t="shared" si="20"/>
        <v>-1729.5224999999998</v>
      </c>
      <c r="M134" s="312">
        <f t="shared" si="20"/>
        <v>-1729.5224999999998</v>
      </c>
      <c r="N134" s="312">
        <f t="shared" si="20"/>
        <v>-1729.5224999999998</v>
      </c>
      <c r="O134" s="312">
        <f t="shared" si="20"/>
        <v>-1729.5224999999998</v>
      </c>
      <c r="P134" s="312">
        <f t="shared" si="20"/>
        <v>-1729.5224999999998</v>
      </c>
      <c r="Q134" s="312">
        <f t="shared" si="20"/>
        <v>-1729.5224999999998</v>
      </c>
      <c r="R134" s="312">
        <f t="shared" si="20"/>
        <v>-1729.5224999999998</v>
      </c>
      <c r="S134" s="312">
        <f t="shared" si="20"/>
        <v>-1729.5224999999998</v>
      </c>
      <c r="T134" s="312">
        <f t="shared" si="20"/>
        <v>-1729.5224999999998</v>
      </c>
      <c r="U134" s="312">
        <f t="shared" si="20"/>
        <v>-1729.5224999999998</v>
      </c>
      <c r="V134" s="312">
        <f t="shared" si="20"/>
        <v>-1729.5224999999998</v>
      </c>
      <c r="W134" s="312">
        <f t="shared" si="20"/>
        <v>-1729.5224999999998</v>
      </c>
      <c r="X134" s="312">
        <f t="shared" si="20"/>
        <v>-1729.5224999999998</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-1271.1990374999998</v>
      </c>
      <c r="F135" s="312">
        <f t="shared" si="21"/>
        <v>-1213.3885295304997</v>
      </c>
      <c r="G135" s="312">
        <f t="shared" si="21"/>
        <v>-1152.5429698926009</v>
      </c>
      <c r="H135" s="312">
        <f t="shared" si="21"/>
        <v>-1088.5030183737124</v>
      </c>
      <c r="I135" s="312">
        <f t="shared" si="21"/>
        <v>-1021.1009694000824</v>
      </c>
      <c r="J135" s="312">
        <f t="shared" si="21"/>
        <v>-950.16031285533654</v>
      </c>
      <c r="K135" s="312">
        <f t="shared" si="21"/>
        <v>-875.49527184199167</v>
      </c>
      <c r="L135" s="312">
        <f t="shared" si="21"/>
        <v>-796.9103161754465</v>
      </c>
      <c r="M135" s="312">
        <f t="shared" si="21"/>
        <v>-714.19965033640744</v>
      </c>
      <c r="N135" s="312">
        <f t="shared" si="21"/>
        <v>-627.14667454081871</v>
      </c>
      <c r="O135" s="312">
        <f t="shared" si="21"/>
        <v>-535.52341751596168</v>
      </c>
      <c r="P135" s="312">
        <f t="shared" si="21"/>
        <v>-439.08993949729978</v>
      </c>
      <c r="Q135" s="312">
        <f t="shared" si="21"/>
        <v>-337.59370388265791</v>
      </c>
      <c r="R135" s="312">
        <f t="shared" si="21"/>
        <v>-230.76891589824757</v>
      </c>
      <c r="S135" s="312">
        <f t="shared" si="21"/>
        <v>-118.33582654465559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-1101.1525327523814</v>
      </c>
      <c r="F136" s="312">
        <f t="shared" si="22"/>
        <v>-1158.9630407218813</v>
      </c>
      <c r="G136" s="312">
        <f t="shared" si="22"/>
        <v>-1219.8086003597803</v>
      </c>
      <c r="H136" s="312">
        <f t="shared" si="22"/>
        <v>-1283.8485518786686</v>
      </c>
      <c r="I136" s="312">
        <f t="shared" si="22"/>
        <v>-1351.2506008522987</v>
      </c>
      <c r="J136" s="312">
        <f t="shared" si="22"/>
        <v>-1422.1912573970444</v>
      </c>
      <c r="K136" s="312">
        <f t="shared" si="22"/>
        <v>-1496.8562984103892</v>
      </c>
      <c r="L136" s="312">
        <f t="shared" si="22"/>
        <v>-1575.4412540769347</v>
      </c>
      <c r="M136" s="312">
        <f t="shared" si="22"/>
        <v>-1658.1519199159736</v>
      </c>
      <c r="N136" s="312">
        <f t="shared" si="22"/>
        <v>-1745.2048957115621</v>
      </c>
      <c r="O136" s="312">
        <f t="shared" si="22"/>
        <v>-1836.8281527364193</v>
      </c>
      <c r="P136" s="312">
        <f t="shared" si="22"/>
        <v>-1933.2616307550813</v>
      </c>
      <c r="Q136" s="312">
        <f t="shared" si="22"/>
        <v>-2034.7578663697229</v>
      </c>
      <c r="R136" s="312">
        <f t="shared" si="22"/>
        <v>-2141.5826543541339</v>
      </c>
      <c r="S136" s="312">
        <f t="shared" si="22"/>
        <v>-2254.0157437077255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-2372.351570252381</v>
      </c>
      <c r="F137" s="321">
        <f t="shared" si="23"/>
        <v>-2372.351570252381</v>
      </c>
      <c r="G137" s="321">
        <f t="shared" si="23"/>
        <v>-2372.351570252381</v>
      </c>
      <c r="H137" s="321">
        <f t="shared" si="23"/>
        <v>-2372.351570252381</v>
      </c>
      <c r="I137" s="321">
        <f t="shared" si="23"/>
        <v>-2372.351570252381</v>
      </c>
      <c r="J137" s="321">
        <f t="shared" si="23"/>
        <v>-2372.351570252381</v>
      </c>
      <c r="K137" s="321">
        <f t="shared" si="23"/>
        <v>-2372.351570252381</v>
      </c>
      <c r="L137" s="321">
        <f t="shared" si="23"/>
        <v>-2372.351570252381</v>
      </c>
      <c r="M137" s="321">
        <f t="shared" si="23"/>
        <v>-2372.351570252381</v>
      </c>
      <c r="N137" s="321">
        <f t="shared" si="23"/>
        <v>-2372.351570252381</v>
      </c>
      <c r="O137" s="321">
        <f t="shared" si="23"/>
        <v>-2372.351570252381</v>
      </c>
      <c r="P137" s="321">
        <f t="shared" si="23"/>
        <v>-2372.351570252381</v>
      </c>
      <c r="Q137" s="321">
        <f t="shared" si="23"/>
        <v>-2372.351570252381</v>
      </c>
      <c r="R137" s="321">
        <f t="shared" si="23"/>
        <v>-2372.3515702523814</v>
      </c>
      <c r="S137" s="321">
        <f t="shared" si="23"/>
        <v>-2372.351570252381</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-3996.3915374999997</v>
      </c>
      <c r="F139" s="312">
        <f t="shared" si="24"/>
        <v>-3958.4944295304995</v>
      </c>
      <c r="G139" s="312">
        <f t="shared" si="24"/>
        <v>-3917.9605378926008</v>
      </c>
      <c r="H139" s="312">
        <f t="shared" si="24"/>
        <v>-3874.6384877337123</v>
      </c>
      <c r="I139" s="312">
        <f t="shared" si="24"/>
        <v>-3828.368698147282</v>
      </c>
      <c r="J139" s="312">
        <f t="shared" si="24"/>
        <v>-3778.9829461774802</v>
      </c>
      <c r="K139" s="312">
        <f t="shared" si="24"/>
        <v>-3726.3039078305783</v>
      </c>
      <c r="L139" s="312">
        <f t="shared" si="24"/>
        <v>-3670.1446748838048</v>
      </c>
      <c r="M139" s="312">
        <f t="shared" si="24"/>
        <v>-3610.3082462189327</v>
      </c>
      <c r="N139" s="312">
        <f t="shared" si="24"/>
        <v>-3546.5869923409946</v>
      </c>
      <c r="O139" s="312">
        <f t="shared" si="24"/>
        <v>-3478.7620916721412</v>
      </c>
      <c r="P139" s="312">
        <f t="shared" si="24"/>
        <v>-3406.6029371366026</v>
      </c>
      <c r="Q139" s="312">
        <f t="shared" si="24"/>
        <v>-3329.8665114747473</v>
      </c>
      <c r="R139" s="312">
        <f t="shared" si="24"/>
        <v>-3248.2967296421784</v>
      </c>
      <c r="S139" s="312">
        <f t="shared" si="24"/>
        <v>-3161.6237465634654</v>
      </c>
      <c r="T139" s="312">
        <f t="shared" si="24"/>
        <v>-942.492342456507</v>
      </c>
      <c r="U139" s="312">
        <f t="shared" si="24"/>
        <v>-926.75173930563733</v>
      </c>
      <c r="V139" s="312">
        <f t="shared" si="24"/>
        <v>-910.69632409174983</v>
      </c>
      <c r="W139" s="312">
        <f t="shared" si="24"/>
        <v>-894.31980057358487</v>
      </c>
      <c r="X139" s="312">
        <f t="shared" si="24"/>
        <v>-877.61574658505651</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759.31439212499993</v>
      </c>
      <c r="F140" s="312">
        <f t="shared" si="25"/>
        <v>752.11394161079488</v>
      </c>
      <c r="G140" s="312">
        <f t="shared" si="25"/>
        <v>744.4125021995942</v>
      </c>
      <c r="H140" s="312">
        <f t="shared" si="25"/>
        <v>736.18131266940532</v>
      </c>
      <c r="I140" s="312">
        <f t="shared" si="25"/>
        <v>727.39005264798357</v>
      </c>
      <c r="J140" s="312">
        <f t="shared" si="25"/>
        <v>718.00675977372123</v>
      </c>
      <c r="K140" s="312">
        <f t="shared" si="25"/>
        <v>707.99774248780989</v>
      </c>
      <c r="L140" s="312">
        <f t="shared" si="25"/>
        <v>697.32748822792291</v>
      </c>
      <c r="M140" s="312">
        <f t="shared" si="25"/>
        <v>685.95856678159726</v>
      </c>
      <c r="N140" s="312">
        <f t="shared" si="25"/>
        <v>673.85152854478895</v>
      </c>
      <c r="O140" s="312">
        <f t="shared" si="25"/>
        <v>660.96479741770679</v>
      </c>
      <c r="P140" s="312">
        <f t="shared" si="25"/>
        <v>647.25455805595448</v>
      </c>
      <c r="Q140" s="312">
        <f t="shared" si="25"/>
        <v>632.67463718020201</v>
      </c>
      <c r="R140" s="312">
        <f t="shared" si="25"/>
        <v>617.17637863201389</v>
      </c>
      <c r="S140" s="312">
        <f t="shared" si="25"/>
        <v>600.70851184705839</v>
      </c>
      <c r="T140" s="312">
        <f t="shared" si="25"/>
        <v>179.07354506673633</v>
      </c>
      <c r="U140" s="312">
        <f t="shared" si="25"/>
        <v>176.08283046807111</v>
      </c>
      <c r="V140" s="312">
        <f t="shared" si="25"/>
        <v>173.03230157743246</v>
      </c>
      <c r="W140" s="312">
        <f t="shared" si="25"/>
        <v>169.92076210898114</v>
      </c>
      <c r="X140" s="312">
        <f t="shared" si="25"/>
        <v>166.74699185116074</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-2608.7071781273812</v>
      </c>
      <c r="F142" s="321">
        <f t="shared" si="26"/>
        <v>-2635.8210286415861</v>
      </c>
      <c r="G142" s="321">
        <f t="shared" si="26"/>
        <v>-2663.8341360527866</v>
      </c>
      <c r="H142" s="321">
        <f t="shared" si="26"/>
        <v>-2692.7832269429755</v>
      </c>
      <c r="I142" s="321">
        <f t="shared" si="26"/>
        <v>-2722.7067463515968</v>
      </c>
      <c r="J142" s="321">
        <f t="shared" si="26"/>
        <v>-2753.6449438008035</v>
      </c>
      <c r="K142" s="321">
        <f t="shared" si="26"/>
        <v>-2785.6399637531581</v>
      </c>
      <c r="L142" s="321">
        <f t="shared" si="26"/>
        <v>-2818.7359407328167</v>
      </c>
      <c r="M142" s="321">
        <f t="shared" si="26"/>
        <v>-2852.9790993533093</v>
      </c>
      <c r="N142" s="321">
        <f t="shared" si="26"/>
        <v>-2888.4178595077683</v>
      </c>
      <c r="O142" s="321">
        <f t="shared" si="26"/>
        <v>-2925.1029469908535</v>
      </c>
      <c r="P142" s="321">
        <f t="shared" si="26"/>
        <v>-2963.0875098357296</v>
      </c>
      <c r="Q142" s="321">
        <f t="shared" si="26"/>
        <v>-3002.4272406642685</v>
      </c>
      <c r="R142" s="321">
        <f t="shared" si="26"/>
        <v>-3043.1805053642988</v>
      </c>
      <c r="S142" s="321">
        <f t="shared" si="26"/>
        <v>-3085.4084784241322</v>
      </c>
      <c r="T142" s="321">
        <f t="shared" si="26"/>
        <v>966.10370261022911</v>
      </c>
      <c r="U142" s="321">
        <f t="shared" si="26"/>
        <v>978.85359116243353</v>
      </c>
      <c r="V142" s="321">
        <f t="shared" si="26"/>
        <v>991.85847748568244</v>
      </c>
      <c r="W142" s="321">
        <f t="shared" si="26"/>
        <v>1005.123461535396</v>
      </c>
      <c r="X142" s="321">
        <f t="shared" si="26"/>
        <v>1018.653745266104</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-34590.449999999997</v>
      </c>
      <c r="E143" s="312">
        <f t="shared" ref="E143:AR143" si="27">E132+E140</f>
        <v>-236.35560787500003</v>
      </c>
      <c r="F143" s="312">
        <f t="shared" si="27"/>
        <v>-263.4694583892051</v>
      </c>
      <c r="G143" s="312">
        <f t="shared" si="27"/>
        <v>-291.48256580040584</v>
      </c>
      <c r="H143" s="312">
        <f t="shared" si="27"/>
        <v>-320.43165669059454</v>
      </c>
      <c r="I143" s="312">
        <f t="shared" si="27"/>
        <v>-350.35517609921635</v>
      </c>
      <c r="J143" s="312">
        <f t="shared" si="27"/>
        <v>-381.29337354842266</v>
      </c>
      <c r="K143" s="312">
        <f t="shared" si="27"/>
        <v>-413.28839350077703</v>
      </c>
      <c r="L143" s="312">
        <f t="shared" si="27"/>
        <v>-446.38437048043556</v>
      </c>
      <c r="M143" s="312">
        <f t="shared" si="27"/>
        <v>-480.62752910092831</v>
      </c>
      <c r="N143" s="312">
        <f t="shared" si="27"/>
        <v>-516.06628925538723</v>
      </c>
      <c r="O143" s="312">
        <f t="shared" si="27"/>
        <v>-552.75137673847291</v>
      </c>
      <c r="P143" s="312">
        <f t="shared" si="27"/>
        <v>-590.73593958334868</v>
      </c>
      <c r="Q143" s="312">
        <f t="shared" si="27"/>
        <v>-630.07567041188747</v>
      </c>
      <c r="R143" s="312">
        <f t="shared" si="27"/>
        <v>-670.82893511191719</v>
      </c>
      <c r="S143" s="312">
        <f t="shared" si="27"/>
        <v>-713.0569081717515</v>
      </c>
      <c r="T143" s="312">
        <f t="shared" si="27"/>
        <v>966.10370261022911</v>
      </c>
      <c r="U143" s="312">
        <f t="shared" si="27"/>
        <v>978.85359116243353</v>
      </c>
      <c r="V143" s="312">
        <f t="shared" si="27"/>
        <v>991.85847748568244</v>
      </c>
      <c r="W143" s="312">
        <f t="shared" si="27"/>
        <v>1005.123461535396</v>
      </c>
      <c r="X143" s="312">
        <f t="shared" si="27"/>
        <v>1018.653745266104</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-10377.134999999998</v>
      </c>
      <c r="E144" s="312">
        <f t="shared" ref="E144:AR144" si="28">E142</f>
        <v>-2608.7071781273812</v>
      </c>
      <c r="F144" s="312">
        <f t="shared" si="28"/>
        <v>-2635.8210286415861</v>
      </c>
      <c r="G144" s="312">
        <f t="shared" si="28"/>
        <v>-2663.8341360527866</v>
      </c>
      <c r="H144" s="312">
        <f t="shared" si="28"/>
        <v>-2692.7832269429755</v>
      </c>
      <c r="I144" s="312">
        <f t="shared" si="28"/>
        <v>-2722.7067463515968</v>
      </c>
      <c r="J144" s="312">
        <f t="shared" si="28"/>
        <v>-2753.6449438008035</v>
      </c>
      <c r="K144" s="312">
        <f t="shared" si="28"/>
        <v>-2785.6399637531581</v>
      </c>
      <c r="L144" s="312">
        <f t="shared" si="28"/>
        <v>-2818.7359407328167</v>
      </c>
      <c r="M144" s="312">
        <f t="shared" si="28"/>
        <v>-2852.9790993533093</v>
      </c>
      <c r="N144" s="312">
        <f t="shared" si="28"/>
        <v>-2888.4178595077683</v>
      </c>
      <c r="O144" s="312">
        <f t="shared" si="28"/>
        <v>-2925.1029469908535</v>
      </c>
      <c r="P144" s="312">
        <f t="shared" si="28"/>
        <v>-2963.0875098357296</v>
      </c>
      <c r="Q144" s="312">
        <f t="shared" si="28"/>
        <v>-3002.4272406642685</v>
      </c>
      <c r="R144" s="312">
        <f t="shared" si="28"/>
        <v>-3043.1805053642988</v>
      </c>
      <c r="S144" s="312">
        <f t="shared" si="28"/>
        <v>-3085.4084784241322</v>
      </c>
      <c r="T144" s="312">
        <f t="shared" si="28"/>
        <v>966.10370261022911</v>
      </c>
      <c r="U144" s="312">
        <f t="shared" si="28"/>
        <v>978.85359116243353</v>
      </c>
      <c r="V144" s="312">
        <f t="shared" si="28"/>
        <v>991.85847748568244</v>
      </c>
      <c r="W144" s="312">
        <f t="shared" si="28"/>
        <v>1005.123461535396</v>
      </c>
      <c r="X144" s="312">
        <f t="shared" si="28"/>
        <v>1018.653745266104</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31050</v>
      </c>
      <c r="F145" s="312">
        <f t="shared" si="29"/>
        <v>31050</v>
      </c>
      <c r="G145" s="312">
        <f t="shared" si="29"/>
        <v>31050</v>
      </c>
      <c r="H145" s="312">
        <f t="shared" si="29"/>
        <v>31050</v>
      </c>
      <c r="I145" s="312">
        <f t="shared" si="29"/>
        <v>31050</v>
      </c>
      <c r="J145" s="312">
        <f t="shared" si="29"/>
        <v>31050</v>
      </c>
      <c r="K145" s="312">
        <f t="shared" si="29"/>
        <v>31050</v>
      </c>
      <c r="L145" s="312">
        <f t="shared" si="29"/>
        <v>31050</v>
      </c>
      <c r="M145" s="312">
        <f t="shared" si="29"/>
        <v>31050</v>
      </c>
      <c r="N145" s="312">
        <f t="shared" si="29"/>
        <v>31050</v>
      </c>
      <c r="O145" s="312">
        <f t="shared" si="29"/>
        <v>31050</v>
      </c>
      <c r="P145" s="312">
        <f t="shared" si="29"/>
        <v>31050</v>
      </c>
      <c r="Q145" s="312">
        <f t="shared" si="29"/>
        <v>31050</v>
      </c>
      <c r="R145" s="312">
        <f t="shared" si="29"/>
        <v>31050</v>
      </c>
      <c r="S145" s="312">
        <f t="shared" si="29"/>
        <v>31050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34590.449999999997</v>
      </c>
      <c r="E146" s="323">
        <f t="shared" ref="E146:AR146" si="30">IF(E112&lt;=$C76,D146-($C$5*E118+E132+E135),D146-(E132+E135))</f>
        <v>32261.919037499996</v>
      </c>
      <c r="F146" s="323">
        <f t="shared" si="30"/>
        <v>29895.490967030495</v>
      </c>
      <c r="G146" s="323">
        <f t="shared" si="30"/>
        <v>27488.529004923097</v>
      </c>
      <c r="H146" s="323">
        <f t="shared" si="30"/>
        <v>25038.244992656808</v>
      </c>
      <c r="I146" s="323">
        <f t="shared" si="30"/>
        <v>22541.691190804089</v>
      </c>
      <c r="J146" s="323">
        <f t="shared" si="30"/>
        <v>19995.751636981571</v>
      </c>
      <c r="K146" s="323">
        <f t="shared" si="30"/>
        <v>17397.133044812152</v>
      </c>
      <c r="L146" s="323">
        <f t="shared" si="30"/>
        <v>14742.355219695957</v>
      </c>
      <c r="M146" s="323">
        <f t="shared" si="30"/>
        <v>12027.740965914891</v>
      </c>
      <c r="N146" s="323">
        <f t="shared" si="30"/>
        <v>9249.4054582558856</v>
      </c>
      <c r="O146" s="323">
        <f t="shared" si="30"/>
        <v>6403.2450499280276</v>
      </c>
      <c r="P146" s="323">
        <f t="shared" si="30"/>
        <v>3484.9254870646309</v>
      </c>
      <c r="Q146" s="323">
        <f t="shared" si="30"/>
        <v>489.86949853937858</v>
      </c>
      <c r="R146" s="323">
        <f t="shared" si="30"/>
        <v>-2586.7562718184427</v>
      </c>
      <c r="S146" s="323">
        <f t="shared" si="30"/>
        <v>-5750.0550252549765</v>
      </c>
      <c r="T146" s="323">
        <f t="shared" si="30"/>
        <v>-6537.0851827984698</v>
      </c>
      <c r="U146" s="323">
        <f t="shared" si="30"/>
        <v>-7339.855943492832</v>
      </c>
      <c r="V146" s="323">
        <f t="shared" si="30"/>
        <v>-8158.6821194010818</v>
      </c>
      <c r="W146" s="323">
        <f t="shared" si="30"/>
        <v>-8993.8848188274969</v>
      </c>
      <c r="X146" s="323">
        <f t="shared" si="30"/>
        <v>-9845.7915722424405</v>
      </c>
      <c r="Y146" s="323">
        <f t="shared" si="30"/>
        <v>-9845.7915722424405</v>
      </c>
      <c r="Z146" s="323">
        <f t="shared" si="30"/>
        <v>-9845.7915722424405</v>
      </c>
      <c r="AA146" s="323">
        <f t="shared" si="30"/>
        <v>-9845.7915722424405</v>
      </c>
      <c r="AB146" s="323">
        <f t="shared" si="30"/>
        <v>-9845.7915722424405</v>
      </c>
      <c r="AC146" s="323">
        <f t="shared" si="30"/>
        <v>-9845.7915722424405</v>
      </c>
      <c r="AD146" s="323">
        <f t="shared" si="30"/>
        <v>-9845.7915722424405</v>
      </c>
      <c r="AE146" s="323">
        <f t="shared" si="30"/>
        <v>-9845.7915722424405</v>
      </c>
      <c r="AF146" s="323">
        <f t="shared" si="30"/>
        <v>-9845.7915722424405</v>
      </c>
      <c r="AG146" s="323">
        <f t="shared" si="30"/>
        <v>-9845.7915722424405</v>
      </c>
      <c r="AH146" s="323">
        <f t="shared" si="30"/>
        <v>-9845.7915722424405</v>
      </c>
      <c r="AI146" s="323">
        <f t="shared" si="30"/>
        <v>-9845.7915722424405</v>
      </c>
      <c r="AJ146" s="323">
        <f t="shared" si="30"/>
        <v>-9845.7915722424405</v>
      </c>
      <c r="AK146" s="323">
        <f t="shared" si="30"/>
        <v>-9845.7915722424405</v>
      </c>
      <c r="AL146" s="323">
        <f t="shared" si="30"/>
        <v>-9845.7915722424405</v>
      </c>
      <c r="AM146" s="323">
        <f t="shared" si="30"/>
        <v>-9845.7915722424405</v>
      </c>
      <c r="AN146" s="323">
        <f t="shared" si="30"/>
        <v>-9845.7915722424405</v>
      </c>
      <c r="AO146" s="323">
        <f t="shared" si="30"/>
        <v>-9845.7915722424405</v>
      </c>
      <c r="AP146" s="323">
        <f t="shared" si="30"/>
        <v>-9845.7915722424405</v>
      </c>
      <c r="AQ146" s="323">
        <f t="shared" si="30"/>
        <v>-9845.7915722424405</v>
      </c>
      <c r="AR146" s="324">
        <f t="shared" si="30"/>
        <v>-9845.7915722424405</v>
      </c>
    </row>
    <row r="147" spans="1:44" ht="12.95" customHeight="1">
      <c r="B147" s="267" t="s">
        <v>577</v>
      </c>
      <c r="C147" s="268"/>
      <c r="D147" s="325"/>
      <c r="E147" s="326">
        <f t="shared" ref="E147:AR147" si="31">IF(E112&gt;$C$74,"",(-$C$94*(E139+$C$5*E118)+E132+$C$5*E118)/-E137)</f>
        <v>1.4693936749662078</v>
      </c>
      <c r="F147" s="326">
        <f t="shared" si="31"/>
        <v>1.4579645719385648</v>
      </c>
      <c r="G147" s="326">
        <f t="shared" si="31"/>
        <v>1.4461564117305816</v>
      </c>
      <c r="H147" s="326">
        <f t="shared" si="31"/>
        <v>1.4339537132548623</v>
      </c>
      <c r="I147" s="326">
        <f t="shared" si="31"/>
        <v>1.4213402710552148</v>
      </c>
      <c r="J147" s="326">
        <f t="shared" si="31"/>
        <v>1.4082991190450536</v>
      </c>
      <c r="K147" s="326">
        <f t="shared" si="31"/>
        <v>1.3948124923774257</v>
      </c>
      <c r="L147" s="326">
        <f t="shared" si="31"/>
        <v>1.3808617873492759</v>
      </c>
      <c r="M147" s="326">
        <f t="shared" si="31"/>
        <v>1.3664275192374675</v>
      </c>
      <c r="N147" s="326">
        <f t="shared" si="31"/>
        <v>1.3514892779587144</v>
      </c>
      <c r="O147" s="326">
        <f t="shared" si="31"/>
        <v>1.3360256814399307</v>
      </c>
      <c r="P147" s="326">
        <f t="shared" si="31"/>
        <v>1.320014326579557</v>
      </c>
      <c r="Q147" s="326">
        <f t="shared" si="31"/>
        <v>1.3034317376741724</v>
      </c>
      <c r="R147" s="326">
        <f t="shared" si="31"/>
        <v>1.286253312178117</v>
      </c>
      <c r="S147" s="326">
        <f t="shared" si="31"/>
        <v>1.2684532636569186</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-24637.786439891377</v>
      </c>
      <c r="D150" s="271" t="s">
        <v>580</v>
      </c>
    </row>
    <row r="151" spans="1:44">
      <c r="B151" s="72" t="s">
        <v>581</v>
      </c>
      <c r="C151" s="272">
        <f>(1-$C$94)*NPV($C$91,E145:AR145)</f>
        <v>236481.82303101654</v>
      </c>
      <c r="D151" s="271" t="str">
        <f>$C$7</f>
        <v>kWh</v>
      </c>
      <c r="F151" s="273"/>
    </row>
    <row r="152" spans="1:44">
      <c r="B152" s="72" t="s">
        <v>582</v>
      </c>
      <c r="C152" s="272">
        <f>$C$41*1000000</f>
        <v>34590.449999999997</v>
      </c>
      <c r="D152" s="271" t="s">
        <v>528</v>
      </c>
      <c r="F152" s="46"/>
    </row>
    <row r="153" spans="1:44">
      <c r="B153" s="72" t="s">
        <v>583</v>
      </c>
      <c r="C153" s="274">
        <f>AVERAGE(E147:AR147)</f>
        <v>1.3763251440294713</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-0.13188301686743698</v>
      </c>
      <c r="D155" s="271"/>
      <c r="F155" s="46"/>
      <c r="G155" s="47"/>
    </row>
    <row r="156" spans="1:44">
      <c r="B156" s="72" t="s">
        <v>586</v>
      </c>
      <c r="C156" s="95" t="str">
        <f>IFERROR(IRR(D144:AR144),"n.v.t.")</f>
        <v>n.v.t.</v>
      </c>
      <c r="D156" s="271"/>
      <c r="G156" s="47"/>
    </row>
    <row r="157" spans="1:44">
      <c r="B157" s="72" t="s">
        <v>587</v>
      </c>
      <c r="C157" s="272">
        <f>$C$92*C152-C97</f>
        <v>24213.314999999995</v>
      </c>
      <c r="D157" s="271" t="s">
        <v>528</v>
      </c>
      <c r="F157" s="33"/>
    </row>
    <row r="158" spans="1:44">
      <c r="B158" s="72" t="s">
        <v>588</v>
      </c>
      <c r="C158" s="272">
        <f>$C$93*C152-C98</f>
        <v>10377.134999999998</v>
      </c>
      <c r="D158" s="271" t="s">
        <v>528</v>
      </c>
      <c r="F158" s="33"/>
    </row>
    <row r="159" spans="1:44">
      <c r="B159" s="72" t="s">
        <v>332</v>
      </c>
      <c r="C159" s="95">
        <f>IF(AND(E115&gt;0,E116&gt;0),ROUND(E116/E115,2),0)</f>
        <v>0</v>
      </c>
      <c r="D159" s="271" t="s">
        <v>589</v>
      </c>
      <c r="F159" s="33"/>
    </row>
    <row r="160" spans="1:44">
      <c r="B160" s="72" t="s">
        <v>590</v>
      </c>
      <c r="C160" s="95">
        <f>IF(C159=0,MAX(C29:C30),E118/SUM(C26,C28))</f>
        <v>2070</v>
      </c>
      <c r="D160" s="271" t="s">
        <v>446</v>
      </c>
      <c r="F160" s="33"/>
    </row>
    <row r="161" spans="2:44" ht="15" customHeight="1">
      <c r="B161" s="73" t="s">
        <v>591</v>
      </c>
      <c r="C161" s="426" t="str">
        <f>CONCATENATE( "tussen ", INDEX(D112:X112, MATCH(0,D146:AR146, -1)), " en ",  1 + INDEX(D112:X112, MATCH(0,D146:AR146, -1)), " jaar")</f>
        <v>tussen 13 en 14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32" priority="3" operator="containsText" text="Pas op">
      <formula>NOT(ISERROR(SEARCH("Pas op",G1)))</formula>
    </cfRule>
  </conditionalFormatting>
  <conditionalFormatting sqref="G188">
    <cfRule type="containsText" dxfId="31" priority="2" operator="containsText" text="Pas op">
      <formula>NOT(ISERROR(SEARCH("Pas op",G188)))</formula>
    </cfRule>
  </conditionalFormatting>
  <conditionalFormatting sqref="G105">
    <cfRule type="containsText" dxfId="30"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D6F9EFE1-4118-4F36-9F8B-D0B0C63CB887}">
      <formula1>"ja,nee"</formula1>
    </dataValidation>
    <dataValidation type="list" allowBlank="1" showErrorMessage="1" error="Alleen de opties aangegeven in de dropdownlijst zijn toegestaan" sqref="C7" xr:uid="{AF1E14FC-7F8A-444E-AC68-A4BCBF44AA2F}">
      <formula1>"t CO2,kWh"</formula1>
    </dataValidation>
    <dataValidation type="list" allowBlank="1" showErrorMessage="1" error="Alleen de opties aangegeven in de dropdownlijst zijn toegestaan" sqref="C14" xr:uid="{610191A0-905D-4DBD-9FE3-1CB586BB17FA}">
      <formula1>"Nee,Ja,Geen warmte"</formula1>
    </dataValidation>
    <dataValidation type="list" allowBlank="1" showErrorMessage="1" error="Alleen de opties aangegeven in de dropdownlijst zijn toegestaan" sqref="C9" xr:uid="{F87D63C6-C12B-4895-9E09-21C4809BEC34}">
      <formula1>"Elektriciteit,Lagetemperatuurwarmte,Hogetemperatuurwarmte,Moleculen,CCS/CCU,Generiek"</formula1>
    </dataValidation>
    <dataValidation type="decimal" allowBlank="1" showErrorMessage="1" error="Alleen getallen tussen 0 en 1.0 toegestaan. Vul in met een punt, geen comma" sqref="C17:C18" xr:uid="{767B0CA0-F1E4-498D-8A64-D4CD5003961E}">
      <formula1>0</formula1>
      <formula2>1</formula2>
    </dataValidation>
    <dataValidation type="decimal" operator="notBetween" allowBlank="1" showInputMessage="1" sqref="C39:C49" xr:uid="{120B744A-1316-411E-9F06-9D4AEB0EC899}">
      <formula1>0</formula1>
      <formula2>0</formula2>
    </dataValidation>
    <dataValidation type="decimal" operator="notBetween" allowBlank="1" showInputMessage="1" showErrorMessage="1" sqref="C52:C60 C63:C65 C67:C70" xr:uid="{E7D17BD8-99D5-483D-AF68-0F93A2DAA990}">
      <formula1>0</formula1>
      <formula2>0</formula2>
    </dataValidation>
    <dataValidation type="decimal" operator="greaterThanOrEqual" allowBlank="1" showInputMessage="1" sqref="C21 C24:C30 C33:C36" xr:uid="{C645A86C-4CFB-4C73-B37E-A536F434E649}">
      <formula1>0</formula1>
    </dataValidation>
    <dataValidation type="decimal" operator="greaterThanOrEqual" allowBlank="1" showInputMessage="1" showErrorMessage="1" sqref="C73:C77" xr:uid="{3EE28D83-2490-41EC-B02A-10848BE28E08}">
      <formula1>0</formula1>
    </dataValidation>
    <dataValidation type="decimal" operator="greaterThan" allowBlank="1" showInputMessage="1" showErrorMessage="1" sqref="C80:C86 C89:C94" xr:uid="{39B589C5-F208-424B-BA0C-A9B4A6E5650B}">
      <formula1>0</formula1>
    </dataValidation>
    <dataValidation type="list" operator="greaterThanOrEqual" allowBlank="1" showInputMessage="1" sqref="C23" xr:uid="{D38043D6-E1EE-41E1-BD0A-68A3FBB42DA9}">
      <formula1>"Ja"</formula1>
    </dataValidation>
    <dataValidation type="decimal" operator="greaterThan" allowBlank="1" showInputMessage="1" showErrorMessage="1" error="Alleen getallen boven de 0 toegstaan" sqref="C22" xr:uid="{7B5BE1A0-2C49-46B2-9934-53936EB51DB5}">
      <formula1>0</formula1>
    </dataValidation>
    <dataValidation operator="notBetween" allowBlank="1" showInputMessage="1" showErrorMessage="1" sqref="C66" xr:uid="{D6F0C3BF-C7BE-4189-9F3F-BEFF29355D0F}"/>
  </dataValidations>
  <pageMargins left="0.7" right="0.7" top="0.75" bottom="0.75" header="0.3" footer="0.3"/>
  <pageSetup paperSize="9" scale="14"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AD78-576A-4F24-BC3A-5317A8080D8F}">
  <sheetPr codeName="Sheet104">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618</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0.17</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1000.0000000000002</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IFERROR(INDEX(Correcties!$A$1:$I$334,MATCH('12'!C12,Correcties!$A$1:$A$334,0),5),"")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1760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2290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3.4590449999999995E-2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13.8</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0.20699999999999999</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2.5399999999999999E-2</v>
      </c>
      <c r="D48" s="75" t="str">
        <f>CONCATENATE("Euro/",$C$7)</f>
        <v>Euro/kWh</v>
      </c>
      <c r="E48" s="417"/>
      <c r="F48" s="431"/>
      <c r="G48" s="431"/>
      <c r="H48" s="431"/>
      <c r="I48" s="431"/>
      <c r="J48" s="431"/>
      <c r="K48" s="431"/>
      <c r="L48" s="431"/>
      <c r="M48" s="432"/>
    </row>
    <row r="49" spans="2:13" ht="15" customHeight="1">
      <c r="B49" s="73" t="s">
        <v>472</v>
      </c>
      <c r="C49" s="331">
        <f>SUM(C45:C48)</f>
        <v>2.5399999999999999E-2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1760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396000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528000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-34590.449999999997</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26400</v>
      </c>
      <c r="F115" s="312">
        <f t="shared" si="4"/>
        <v>26400</v>
      </c>
      <c r="G115" s="312">
        <f t="shared" si="4"/>
        <v>26400</v>
      </c>
      <c r="H115" s="312">
        <f t="shared" si="4"/>
        <v>26400</v>
      </c>
      <c r="I115" s="312">
        <f t="shared" si="4"/>
        <v>26400</v>
      </c>
      <c r="J115" s="312">
        <f t="shared" si="4"/>
        <v>26400</v>
      </c>
      <c r="K115" s="312">
        <f t="shared" si="4"/>
        <v>26400</v>
      </c>
      <c r="L115" s="312">
        <f t="shared" si="4"/>
        <v>26400</v>
      </c>
      <c r="M115" s="312">
        <f t="shared" si="4"/>
        <v>26400</v>
      </c>
      <c r="N115" s="312">
        <f t="shared" si="4"/>
        <v>26400</v>
      </c>
      <c r="O115" s="312">
        <f t="shared" si="4"/>
        <v>26400</v>
      </c>
      <c r="P115" s="312">
        <f t="shared" si="4"/>
        <v>26400</v>
      </c>
      <c r="Q115" s="312">
        <f t="shared" si="4"/>
        <v>26400</v>
      </c>
      <c r="R115" s="312">
        <f t="shared" si="4"/>
        <v>26400</v>
      </c>
      <c r="S115" s="312">
        <f t="shared" si="4"/>
        <v>26400</v>
      </c>
      <c r="T115" s="312">
        <f t="shared" si="4"/>
        <v>26400</v>
      </c>
      <c r="U115" s="312">
        <f t="shared" si="4"/>
        <v>26400</v>
      </c>
      <c r="V115" s="312">
        <f t="shared" si="4"/>
        <v>26400</v>
      </c>
      <c r="W115" s="312">
        <f t="shared" si="4"/>
        <v>26400</v>
      </c>
      <c r="X115" s="312">
        <f t="shared" si="4"/>
        <v>26400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26400</v>
      </c>
      <c r="F118" s="315">
        <f t="shared" si="7"/>
        <v>26400</v>
      </c>
      <c r="G118" s="315">
        <f t="shared" si="7"/>
        <v>26400</v>
      </c>
      <c r="H118" s="315">
        <f t="shared" si="7"/>
        <v>26400</v>
      </c>
      <c r="I118" s="315">
        <f t="shared" si="7"/>
        <v>26400</v>
      </c>
      <c r="J118" s="315">
        <f t="shared" si="7"/>
        <v>26400</v>
      </c>
      <c r="K118" s="315">
        <f t="shared" si="7"/>
        <v>26400</v>
      </c>
      <c r="L118" s="315">
        <f t="shared" si="7"/>
        <v>26400</v>
      </c>
      <c r="M118" s="315">
        <f t="shared" si="7"/>
        <v>26400</v>
      </c>
      <c r="N118" s="315">
        <f t="shared" si="7"/>
        <v>26400</v>
      </c>
      <c r="O118" s="315">
        <f t="shared" si="7"/>
        <v>26400</v>
      </c>
      <c r="P118" s="315">
        <f t="shared" si="7"/>
        <v>26400</v>
      </c>
      <c r="Q118" s="315">
        <f t="shared" si="7"/>
        <v>26400</v>
      </c>
      <c r="R118" s="315">
        <f t="shared" si="7"/>
        <v>26400</v>
      </c>
      <c r="S118" s="315">
        <f t="shared" si="7"/>
        <v>26400</v>
      </c>
      <c r="T118" s="315">
        <f t="shared" si="7"/>
        <v>26400</v>
      </c>
      <c r="U118" s="315">
        <f t="shared" si="7"/>
        <v>26400</v>
      </c>
      <c r="V118" s="315">
        <f t="shared" si="7"/>
        <v>26400</v>
      </c>
      <c r="W118" s="315">
        <f t="shared" si="7"/>
        <v>26400</v>
      </c>
      <c r="X118" s="315">
        <f t="shared" si="7"/>
        <v>26400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-877.56</v>
      </c>
      <c r="F120" s="312">
        <f t="shared" si="8"/>
        <v>-895.11119999999994</v>
      </c>
      <c r="G120" s="312">
        <f t="shared" si="8"/>
        <v>-913.01342399999999</v>
      </c>
      <c r="H120" s="312">
        <f t="shared" si="8"/>
        <v>-931.27369247999991</v>
      </c>
      <c r="I120" s="312">
        <f t="shared" si="8"/>
        <v>-949.89916632959989</v>
      </c>
      <c r="J120" s="312">
        <f t="shared" si="8"/>
        <v>-968.89714965619191</v>
      </c>
      <c r="K120" s="312">
        <f t="shared" si="8"/>
        <v>-988.27509264931587</v>
      </c>
      <c r="L120" s="312">
        <f t="shared" si="8"/>
        <v>-1008.0405945023019</v>
      </c>
      <c r="M120" s="312">
        <f t="shared" si="8"/>
        <v>-1028.201406392348</v>
      </c>
      <c r="N120" s="312">
        <f t="shared" si="8"/>
        <v>-1048.765434520195</v>
      </c>
      <c r="O120" s="312">
        <f t="shared" si="8"/>
        <v>-1069.740743210599</v>
      </c>
      <c r="P120" s="312">
        <f t="shared" si="8"/>
        <v>-1091.1355580748107</v>
      </c>
      <c r="Q120" s="312">
        <f t="shared" si="8"/>
        <v>-1112.9582692363072</v>
      </c>
      <c r="R120" s="312">
        <f t="shared" si="8"/>
        <v>-1135.2174346210331</v>
      </c>
      <c r="S120" s="312">
        <f t="shared" si="8"/>
        <v>-1157.9217833134539</v>
      </c>
      <c r="T120" s="312">
        <f t="shared" si="8"/>
        <v>-1181.0802189797228</v>
      </c>
      <c r="U120" s="312">
        <f t="shared" si="8"/>
        <v>-1204.7018233593174</v>
      </c>
      <c r="V120" s="312">
        <f t="shared" si="8"/>
        <v>-1228.7958598265038</v>
      </c>
      <c r="W120" s="312">
        <f t="shared" si="8"/>
        <v>-1253.3717770230337</v>
      </c>
      <c r="X120" s="312">
        <f t="shared" si="8"/>
        <v>-1278.4392125634945</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1808.5240383064317</v>
      </c>
      <c r="U127" s="312">
        <f t="shared" si="15"/>
        <v>1844.6945190725608</v>
      </c>
      <c r="V127" s="312">
        <f t="shared" si="15"/>
        <v>1881.588409454012</v>
      </c>
      <c r="W127" s="312">
        <f t="shared" si="15"/>
        <v>1919.220177643092</v>
      </c>
      <c r="X127" s="312">
        <f t="shared" si="15"/>
        <v>1957.6045811959541</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1808.5240383064317</v>
      </c>
      <c r="U130" s="312">
        <f t="shared" si="17"/>
        <v>1844.6945190725608</v>
      </c>
      <c r="V130" s="312">
        <f t="shared" si="17"/>
        <v>1881.588409454012</v>
      </c>
      <c r="W130" s="312">
        <f t="shared" si="17"/>
        <v>1919.220177643092</v>
      </c>
      <c r="X130" s="312">
        <f t="shared" si="17"/>
        <v>1957.6045811959541</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-877.56</v>
      </c>
      <c r="F131" s="312">
        <f t="shared" si="18"/>
        <v>-895.11119999999994</v>
      </c>
      <c r="G131" s="312">
        <f t="shared" si="18"/>
        <v>-913.01342399999999</v>
      </c>
      <c r="H131" s="312">
        <f t="shared" si="18"/>
        <v>-931.27369247999991</v>
      </c>
      <c r="I131" s="312">
        <f t="shared" si="18"/>
        <v>-949.89916632959989</v>
      </c>
      <c r="J131" s="312">
        <f t="shared" si="18"/>
        <v>-968.89714965619191</v>
      </c>
      <c r="K131" s="312">
        <f t="shared" si="18"/>
        <v>-988.27509264931587</v>
      </c>
      <c r="L131" s="312">
        <f t="shared" si="18"/>
        <v>-1008.0405945023019</v>
      </c>
      <c r="M131" s="312">
        <f t="shared" si="18"/>
        <v>-1028.201406392348</v>
      </c>
      <c r="N131" s="312">
        <f t="shared" si="18"/>
        <v>-1048.765434520195</v>
      </c>
      <c r="O131" s="312">
        <f t="shared" si="18"/>
        <v>-1069.740743210599</v>
      </c>
      <c r="P131" s="312">
        <f t="shared" si="18"/>
        <v>-1091.1355580748107</v>
      </c>
      <c r="Q131" s="312">
        <f t="shared" si="18"/>
        <v>-1112.9582692363072</v>
      </c>
      <c r="R131" s="312">
        <f t="shared" si="18"/>
        <v>-1135.2174346210331</v>
      </c>
      <c r="S131" s="312">
        <f t="shared" si="18"/>
        <v>-1157.9217833134539</v>
      </c>
      <c r="T131" s="312">
        <f t="shared" si="18"/>
        <v>-1181.0802189797228</v>
      </c>
      <c r="U131" s="312">
        <f t="shared" si="18"/>
        <v>-1204.7018233593174</v>
      </c>
      <c r="V131" s="312">
        <f t="shared" si="18"/>
        <v>-1228.7958598265038</v>
      </c>
      <c r="W131" s="312">
        <f t="shared" si="18"/>
        <v>-1253.3717770230337</v>
      </c>
      <c r="X131" s="312">
        <f t="shared" si="18"/>
        <v>-1278.4392125634945</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-877.56</v>
      </c>
      <c r="F132" s="321">
        <f t="shared" si="19"/>
        <v>-895.11119999999994</v>
      </c>
      <c r="G132" s="321">
        <f t="shared" si="19"/>
        <v>-913.01342399999999</v>
      </c>
      <c r="H132" s="321">
        <f t="shared" si="19"/>
        <v>-931.27369247999991</v>
      </c>
      <c r="I132" s="321">
        <f t="shared" si="19"/>
        <v>-949.89916632959989</v>
      </c>
      <c r="J132" s="321">
        <f t="shared" si="19"/>
        <v>-968.89714965619191</v>
      </c>
      <c r="K132" s="321">
        <f t="shared" si="19"/>
        <v>-988.27509264931587</v>
      </c>
      <c r="L132" s="321">
        <f t="shared" si="19"/>
        <v>-1008.0405945023019</v>
      </c>
      <c r="M132" s="321">
        <f t="shared" si="19"/>
        <v>-1028.201406392348</v>
      </c>
      <c r="N132" s="321">
        <f t="shared" si="19"/>
        <v>-1048.765434520195</v>
      </c>
      <c r="O132" s="321">
        <f t="shared" si="19"/>
        <v>-1069.740743210599</v>
      </c>
      <c r="P132" s="321">
        <f t="shared" si="19"/>
        <v>-1091.1355580748107</v>
      </c>
      <c r="Q132" s="321">
        <f t="shared" si="19"/>
        <v>-1112.9582692363072</v>
      </c>
      <c r="R132" s="321">
        <f t="shared" si="19"/>
        <v>-1135.2174346210331</v>
      </c>
      <c r="S132" s="321">
        <f t="shared" si="19"/>
        <v>-1157.9217833134539</v>
      </c>
      <c r="T132" s="321">
        <f t="shared" si="19"/>
        <v>627.44381932670899</v>
      </c>
      <c r="U132" s="321">
        <f t="shared" si="19"/>
        <v>639.99269571324339</v>
      </c>
      <c r="V132" s="321">
        <f t="shared" si="19"/>
        <v>652.79254962750815</v>
      </c>
      <c r="W132" s="321">
        <f t="shared" si="19"/>
        <v>665.84840062005833</v>
      </c>
      <c r="X132" s="321">
        <f t="shared" si="19"/>
        <v>679.1653686324596</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-1729.5224999999998</v>
      </c>
      <c r="F134" s="312">
        <f t="shared" si="20"/>
        <v>-1729.5224999999998</v>
      </c>
      <c r="G134" s="312">
        <f t="shared" si="20"/>
        <v>-1729.5224999999998</v>
      </c>
      <c r="H134" s="312">
        <f t="shared" si="20"/>
        <v>-1729.5224999999998</v>
      </c>
      <c r="I134" s="312">
        <f t="shared" si="20"/>
        <v>-1729.5224999999998</v>
      </c>
      <c r="J134" s="312">
        <f t="shared" si="20"/>
        <v>-1729.5224999999998</v>
      </c>
      <c r="K134" s="312">
        <f t="shared" si="20"/>
        <v>-1729.5224999999998</v>
      </c>
      <c r="L134" s="312">
        <f t="shared" si="20"/>
        <v>-1729.5224999999998</v>
      </c>
      <c r="M134" s="312">
        <f t="shared" si="20"/>
        <v>-1729.5224999999998</v>
      </c>
      <c r="N134" s="312">
        <f t="shared" si="20"/>
        <v>-1729.5224999999998</v>
      </c>
      <c r="O134" s="312">
        <f t="shared" si="20"/>
        <v>-1729.5224999999998</v>
      </c>
      <c r="P134" s="312">
        <f t="shared" si="20"/>
        <v>-1729.5224999999998</v>
      </c>
      <c r="Q134" s="312">
        <f t="shared" si="20"/>
        <v>-1729.5224999999998</v>
      </c>
      <c r="R134" s="312">
        <f t="shared" si="20"/>
        <v>-1729.5224999999998</v>
      </c>
      <c r="S134" s="312">
        <f t="shared" si="20"/>
        <v>-1729.5224999999998</v>
      </c>
      <c r="T134" s="312">
        <f t="shared" si="20"/>
        <v>-1729.5224999999998</v>
      </c>
      <c r="U134" s="312">
        <f t="shared" si="20"/>
        <v>-1729.5224999999998</v>
      </c>
      <c r="V134" s="312">
        <f t="shared" si="20"/>
        <v>-1729.5224999999998</v>
      </c>
      <c r="W134" s="312">
        <f t="shared" si="20"/>
        <v>-1729.5224999999998</v>
      </c>
      <c r="X134" s="312">
        <f t="shared" si="20"/>
        <v>-1729.5224999999998</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-1271.1990374999998</v>
      </c>
      <c r="F135" s="312">
        <f t="shared" si="21"/>
        <v>-1213.3885295304997</v>
      </c>
      <c r="G135" s="312">
        <f t="shared" si="21"/>
        <v>-1152.5429698926009</v>
      </c>
      <c r="H135" s="312">
        <f t="shared" si="21"/>
        <v>-1088.5030183737124</v>
      </c>
      <c r="I135" s="312">
        <f t="shared" si="21"/>
        <v>-1021.1009694000824</v>
      </c>
      <c r="J135" s="312">
        <f t="shared" si="21"/>
        <v>-950.16031285533654</v>
      </c>
      <c r="K135" s="312">
        <f t="shared" si="21"/>
        <v>-875.49527184199167</v>
      </c>
      <c r="L135" s="312">
        <f t="shared" si="21"/>
        <v>-796.9103161754465</v>
      </c>
      <c r="M135" s="312">
        <f t="shared" si="21"/>
        <v>-714.19965033640744</v>
      </c>
      <c r="N135" s="312">
        <f t="shared" si="21"/>
        <v>-627.14667454081871</v>
      </c>
      <c r="O135" s="312">
        <f t="shared" si="21"/>
        <v>-535.52341751596168</v>
      </c>
      <c r="P135" s="312">
        <f t="shared" si="21"/>
        <v>-439.08993949729978</v>
      </c>
      <c r="Q135" s="312">
        <f t="shared" si="21"/>
        <v>-337.59370388265791</v>
      </c>
      <c r="R135" s="312">
        <f t="shared" si="21"/>
        <v>-230.76891589824757</v>
      </c>
      <c r="S135" s="312">
        <f t="shared" si="21"/>
        <v>-118.33582654465559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-1101.1525327523814</v>
      </c>
      <c r="F136" s="312">
        <f t="shared" si="22"/>
        <v>-1158.9630407218813</v>
      </c>
      <c r="G136" s="312">
        <f t="shared" si="22"/>
        <v>-1219.8086003597803</v>
      </c>
      <c r="H136" s="312">
        <f t="shared" si="22"/>
        <v>-1283.8485518786686</v>
      </c>
      <c r="I136" s="312">
        <f t="shared" si="22"/>
        <v>-1351.2506008522987</v>
      </c>
      <c r="J136" s="312">
        <f t="shared" si="22"/>
        <v>-1422.1912573970444</v>
      </c>
      <c r="K136" s="312">
        <f t="shared" si="22"/>
        <v>-1496.8562984103892</v>
      </c>
      <c r="L136" s="312">
        <f t="shared" si="22"/>
        <v>-1575.4412540769347</v>
      </c>
      <c r="M136" s="312">
        <f t="shared" si="22"/>
        <v>-1658.1519199159736</v>
      </c>
      <c r="N136" s="312">
        <f t="shared" si="22"/>
        <v>-1745.2048957115621</v>
      </c>
      <c r="O136" s="312">
        <f t="shared" si="22"/>
        <v>-1836.8281527364193</v>
      </c>
      <c r="P136" s="312">
        <f t="shared" si="22"/>
        <v>-1933.2616307550813</v>
      </c>
      <c r="Q136" s="312">
        <f t="shared" si="22"/>
        <v>-2034.7578663697229</v>
      </c>
      <c r="R136" s="312">
        <f t="shared" si="22"/>
        <v>-2141.5826543541339</v>
      </c>
      <c r="S136" s="312">
        <f t="shared" si="22"/>
        <v>-2254.0157437077255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-2372.351570252381</v>
      </c>
      <c r="F137" s="321">
        <f t="shared" si="23"/>
        <v>-2372.351570252381</v>
      </c>
      <c r="G137" s="321">
        <f t="shared" si="23"/>
        <v>-2372.351570252381</v>
      </c>
      <c r="H137" s="321">
        <f t="shared" si="23"/>
        <v>-2372.351570252381</v>
      </c>
      <c r="I137" s="321">
        <f t="shared" si="23"/>
        <v>-2372.351570252381</v>
      </c>
      <c r="J137" s="321">
        <f t="shared" si="23"/>
        <v>-2372.351570252381</v>
      </c>
      <c r="K137" s="321">
        <f t="shared" si="23"/>
        <v>-2372.351570252381</v>
      </c>
      <c r="L137" s="321">
        <f t="shared" si="23"/>
        <v>-2372.351570252381</v>
      </c>
      <c r="M137" s="321">
        <f t="shared" si="23"/>
        <v>-2372.351570252381</v>
      </c>
      <c r="N137" s="321">
        <f t="shared" si="23"/>
        <v>-2372.351570252381</v>
      </c>
      <c r="O137" s="321">
        <f t="shared" si="23"/>
        <v>-2372.351570252381</v>
      </c>
      <c r="P137" s="321">
        <f t="shared" si="23"/>
        <v>-2372.351570252381</v>
      </c>
      <c r="Q137" s="321">
        <f t="shared" si="23"/>
        <v>-2372.351570252381</v>
      </c>
      <c r="R137" s="321">
        <f t="shared" si="23"/>
        <v>-2372.3515702523814</v>
      </c>
      <c r="S137" s="321">
        <f t="shared" si="23"/>
        <v>-2372.351570252381</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-3878.2815374999991</v>
      </c>
      <c r="F139" s="312">
        <f t="shared" si="24"/>
        <v>-3838.0222295304993</v>
      </c>
      <c r="G139" s="312">
        <f t="shared" si="24"/>
        <v>-3795.0788938926007</v>
      </c>
      <c r="H139" s="312">
        <f t="shared" si="24"/>
        <v>-3749.2992108537119</v>
      </c>
      <c r="I139" s="312">
        <f t="shared" si="24"/>
        <v>-3700.522635729682</v>
      </c>
      <c r="J139" s="312">
        <f t="shared" si="24"/>
        <v>-3648.5799625115283</v>
      </c>
      <c r="K139" s="312">
        <f t="shared" si="24"/>
        <v>-3593.2928644913072</v>
      </c>
      <c r="L139" s="312">
        <f t="shared" si="24"/>
        <v>-3534.4734106777482</v>
      </c>
      <c r="M139" s="312">
        <f t="shared" si="24"/>
        <v>-3471.9235567287556</v>
      </c>
      <c r="N139" s="312">
        <f t="shared" si="24"/>
        <v>-3405.4346090610134</v>
      </c>
      <c r="O139" s="312">
        <f t="shared" si="24"/>
        <v>-3334.7866607265605</v>
      </c>
      <c r="P139" s="312">
        <f t="shared" si="24"/>
        <v>-3259.7479975721103</v>
      </c>
      <c r="Q139" s="312">
        <f t="shared" si="24"/>
        <v>-3180.0744731189648</v>
      </c>
      <c r="R139" s="312">
        <f t="shared" si="24"/>
        <v>-3095.5088505192807</v>
      </c>
      <c r="S139" s="312">
        <f t="shared" si="24"/>
        <v>-3005.780109858109</v>
      </c>
      <c r="T139" s="312">
        <f t="shared" si="24"/>
        <v>-1102.0786806732908</v>
      </c>
      <c r="U139" s="312">
        <f t="shared" si="24"/>
        <v>-1089.5298042867564</v>
      </c>
      <c r="V139" s="312">
        <f t="shared" si="24"/>
        <v>-1076.7299503724917</v>
      </c>
      <c r="W139" s="312">
        <f t="shared" si="24"/>
        <v>-1063.6740993799415</v>
      </c>
      <c r="X139" s="312">
        <f t="shared" si="24"/>
        <v>-1050.3571313675402</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736.87349212499987</v>
      </c>
      <c r="F140" s="312">
        <f t="shared" si="25"/>
        <v>729.22422361079487</v>
      </c>
      <c r="G140" s="312">
        <f t="shared" si="25"/>
        <v>721.06498983959409</v>
      </c>
      <c r="H140" s="312">
        <f t="shared" si="25"/>
        <v>712.36685006220523</v>
      </c>
      <c r="I140" s="312">
        <f t="shared" si="25"/>
        <v>703.09930078863954</v>
      </c>
      <c r="J140" s="312">
        <f t="shared" si="25"/>
        <v>693.23019287719035</v>
      </c>
      <c r="K140" s="312">
        <f t="shared" si="25"/>
        <v>682.72564425334838</v>
      </c>
      <c r="L140" s="312">
        <f t="shared" si="25"/>
        <v>671.54994802877218</v>
      </c>
      <c r="M140" s="312">
        <f t="shared" si="25"/>
        <v>659.66547577846359</v>
      </c>
      <c r="N140" s="312">
        <f t="shared" si="25"/>
        <v>647.03257572159259</v>
      </c>
      <c r="O140" s="312">
        <f t="shared" si="25"/>
        <v>633.60946553804649</v>
      </c>
      <c r="P140" s="312">
        <f t="shared" si="25"/>
        <v>619.352119538701</v>
      </c>
      <c r="Q140" s="312">
        <f t="shared" si="25"/>
        <v>604.21414989260336</v>
      </c>
      <c r="R140" s="312">
        <f t="shared" si="25"/>
        <v>588.14668159866335</v>
      </c>
      <c r="S140" s="312">
        <f t="shared" si="25"/>
        <v>571.09822087304076</v>
      </c>
      <c r="T140" s="312">
        <f t="shared" si="25"/>
        <v>209.39494932792525</v>
      </c>
      <c r="U140" s="312">
        <f t="shared" si="25"/>
        <v>207.01066281448371</v>
      </c>
      <c r="V140" s="312">
        <f t="shared" si="25"/>
        <v>204.5786905707734</v>
      </c>
      <c r="W140" s="312">
        <f t="shared" si="25"/>
        <v>202.09807888218887</v>
      </c>
      <c r="X140" s="312">
        <f t="shared" si="25"/>
        <v>199.56785495983263</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-2513.0380781273811</v>
      </c>
      <c r="F142" s="321">
        <f t="shared" si="26"/>
        <v>-2538.2385466415858</v>
      </c>
      <c r="G142" s="321">
        <f t="shared" si="26"/>
        <v>-2564.3000044127866</v>
      </c>
      <c r="H142" s="321">
        <f t="shared" si="26"/>
        <v>-2591.2584126701759</v>
      </c>
      <c r="I142" s="321">
        <f t="shared" si="26"/>
        <v>-2619.1514357933415</v>
      </c>
      <c r="J142" s="321">
        <f t="shared" si="26"/>
        <v>-2648.0185270313823</v>
      </c>
      <c r="K142" s="321">
        <f t="shared" si="26"/>
        <v>-2677.9010186483483</v>
      </c>
      <c r="L142" s="321">
        <f t="shared" si="26"/>
        <v>-2708.8422167259109</v>
      </c>
      <c r="M142" s="321">
        <f t="shared" si="26"/>
        <v>-2740.8875008662653</v>
      </c>
      <c r="N142" s="321">
        <f t="shared" si="26"/>
        <v>-2774.0844290509831</v>
      </c>
      <c r="O142" s="321">
        <f t="shared" si="26"/>
        <v>-2808.4828479249336</v>
      </c>
      <c r="P142" s="321">
        <f t="shared" si="26"/>
        <v>-2844.1350087884903</v>
      </c>
      <c r="Q142" s="321">
        <f t="shared" si="26"/>
        <v>-2881.0956895960849</v>
      </c>
      <c r="R142" s="321">
        <f t="shared" si="26"/>
        <v>-2919.4223232747513</v>
      </c>
      <c r="S142" s="321">
        <f t="shared" si="26"/>
        <v>-2959.1751326927943</v>
      </c>
      <c r="T142" s="321">
        <f t="shared" si="26"/>
        <v>836.83876865463424</v>
      </c>
      <c r="U142" s="321">
        <f t="shared" si="26"/>
        <v>847.00335852772707</v>
      </c>
      <c r="V142" s="321">
        <f t="shared" si="26"/>
        <v>857.37124019828161</v>
      </c>
      <c r="W142" s="321">
        <f t="shared" si="26"/>
        <v>867.94647950224726</v>
      </c>
      <c r="X142" s="321">
        <f t="shared" si="26"/>
        <v>878.73322359229223</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-34590.449999999997</v>
      </c>
      <c r="E143" s="312">
        <f t="shared" ref="E143:AR143" si="27">E132+E140</f>
        <v>-140.68650787500007</v>
      </c>
      <c r="F143" s="312">
        <f t="shared" si="27"/>
        <v>-165.88697638920507</v>
      </c>
      <c r="G143" s="312">
        <f t="shared" si="27"/>
        <v>-191.9484341604059</v>
      </c>
      <c r="H143" s="312">
        <f t="shared" si="27"/>
        <v>-218.90684241779468</v>
      </c>
      <c r="I143" s="312">
        <f t="shared" si="27"/>
        <v>-246.79986554096035</v>
      </c>
      <c r="J143" s="312">
        <f t="shared" si="27"/>
        <v>-275.66695677900157</v>
      </c>
      <c r="K143" s="312">
        <f t="shared" si="27"/>
        <v>-305.54944839596749</v>
      </c>
      <c r="L143" s="312">
        <f t="shared" si="27"/>
        <v>-336.49064647352975</v>
      </c>
      <c r="M143" s="312">
        <f t="shared" si="27"/>
        <v>-368.53593061388437</v>
      </c>
      <c r="N143" s="312">
        <f t="shared" si="27"/>
        <v>-401.73285879860236</v>
      </c>
      <c r="O143" s="312">
        <f t="shared" si="27"/>
        <v>-436.13127767255253</v>
      </c>
      <c r="P143" s="312">
        <f t="shared" si="27"/>
        <v>-471.78343853610966</v>
      </c>
      <c r="Q143" s="312">
        <f t="shared" si="27"/>
        <v>-508.7441193437038</v>
      </c>
      <c r="R143" s="312">
        <f t="shared" si="27"/>
        <v>-547.07075302236979</v>
      </c>
      <c r="S143" s="312">
        <f t="shared" si="27"/>
        <v>-586.82356244041318</v>
      </c>
      <c r="T143" s="312">
        <f t="shared" si="27"/>
        <v>836.83876865463424</v>
      </c>
      <c r="U143" s="312">
        <f t="shared" si="27"/>
        <v>847.00335852772707</v>
      </c>
      <c r="V143" s="312">
        <f t="shared" si="27"/>
        <v>857.37124019828161</v>
      </c>
      <c r="W143" s="312">
        <f t="shared" si="27"/>
        <v>867.94647950224726</v>
      </c>
      <c r="X143" s="312">
        <f t="shared" si="27"/>
        <v>878.73322359229223</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-10377.134999999998</v>
      </c>
      <c r="E144" s="312">
        <f t="shared" ref="E144:AR144" si="28">E142</f>
        <v>-2513.0380781273811</v>
      </c>
      <c r="F144" s="312">
        <f t="shared" si="28"/>
        <v>-2538.2385466415858</v>
      </c>
      <c r="G144" s="312">
        <f t="shared" si="28"/>
        <v>-2564.3000044127866</v>
      </c>
      <c r="H144" s="312">
        <f t="shared" si="28"/>
        <v>-2591.2584126701759</v>
      </c>
      <c r="I144" s="312">
        <f t="shared" si="28"/>
        <v>-2619.1514357933415</v>
      </c>
      <c r="J144" s="312">
        <f t="shared" si="28"/>
        <v>-2648.0185270313823</v>
      </c>
      <c r="K144" s="312">
        <f t="shared" si="28"/>
        <v>-2677.9010186483483</v>
      </c>
      <c r="L144" s="312">
        <f t="shared" si="28"/>
        <v>-2708.8422167259109</v>
      </c>
      <c r="M144" s="312">
        <f t="shared" si="28"/>
        <v>-2740.8875008662653</v>
      </c>
      <c r="N144" s="312">
        <f t="shared" si="28"/>
        <v>-2774.0844290509831</v>
      </c>
      <c r="O144" s="312">
        <f t="shared" si="28"/>
        <v>-2808.4828479249336</v>
      </c>
      <c r="P144" s="312">
        <f t="shared" si="28"/>
        <v>-2844.1350087884903</v>
      </c>
      <c r="Q144" s="312">
        <f t="shared" si="28"/>
        <v>-2881.0956895960849</v>
      </c>
      <c r="R144" s="312">
        <f t="shared" si="28"/>
        <v>-2919.4223232747513</v>
      </c>
      <c r="S144" s="312">
        <f t="shared" si="28"/>
        <v>-2959.1751326927943</v>
      </c>
      <c r="T144" s="312">
        <f t="shared" si="28"/>
        <v>836.83876865463424</v>
      </c>
      <c r="U144" s="312">
        <f t="shared" si="28"/>
        <v>847.00335852772707</v>
      </c>
      <c r="V144" s="312">
        <f t="shared" si="28"/>
        <v>857.37124019828161</v>
      </c>
      <c r="W144" s="312">
        <f t="shared" si="28"/>
        <v>867.94647950224726</v>
      </c>
      <c r="X144" s="312">
        <f t="shared" si="28"/>
        <v>878.73322359229223</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26400</v>
      </c>
      <c r="F145" s="312">
        <f t="shared" si="29"/>
        <v>26400</v>
      </c>
      <c r="G145" s="312">
        <f t="shared" si="29"/>
        <v>26400</v>
      </c>
      <c r="H145" s="312">
        <f t="shared" si="29"/>
        <v>26400</v>
      </c>
      <c r="I145" s="312">
        <f t="shared" si="29"/>
        <v>26400</v>
      </c>
      <c r="J145" s="312">
        <f t="shared" si="29"/>
        <v>26400</v>
      </c>
      <c r="K145" s="312">
        <f t="shared" si="29"/>
        <v>26400</v>
      </c>
      <c r="L145" s="312">
        <f t="shared" si="29"/>
        <v>26400</v>
      </c>
      <c r="M145" s="312">
        <f t="shared" si="29"/>
        <v>26400</v>
      </c>
      <c r="N145" s="312">
        <f t="shared" si="29"/>
        <v>26400</v>
      </c>
      <c r="O145" s="312">
        <f t="shared" si="29"/>
        <v>26400</v>
      </c>
      <c r="P145" s="312">
        <f t="shared" si="29"/>
        <v>26400</v>
      </c>
      <c r="Q145" s="312">
        <f t="shared" si="29"/>
        <v>26400</v>
      </c>
      <c r="R145" s="312">
        <f t="shared" si="29"/>
        <v>26400</v>
      </c>
      <c r="S145" s="312">
        <f t="shared" si="29"/>
        <v>26400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34590.449999999997</v>
      </c>
      <c r="E146" s="323">
        <f t="shared" ref="E146:AR146" si="30">IF(E112&lt;=$C76,D146-($C$5*E118+E132+E135),D146-(E132+E135))</f>
        <v>32251.209037499997</v>
      </c>
      <c r="F146" s="323">
        <f t="shared" si="30"/>
        <v>29871.708767030497</v>
      </c>
      <c r="G146" s="323">
        <f t="shared" si="30"/>
        <v>27449.265160923096</v>
      </c>
      <c r="H146" s="323">
        <f t="shared" si="30"/>
        <v>24981.041871776808</v>
      </c>
      <c r="I146" s="323">
        <f t="shared" si="30"/>
        <v>22464.04200750649</v>
      </c>
      <c r="J146" s="323">
        <f t="shared" si="30"/>
        <v>19895.09947001802</v>
      </c>
      <c r="K146" s="323">
        <f t="shared" si="30"/>
        <v>17270.869834509329</v>
      </c>
      <c r="L146" s="323">
        <f t="shared" si="30"/>
        <v>14587.820745187077</v>
      </c>
      <c r="M146" s="323">
        <f t="shared" si="30"/>
        <v>11842.221801915832</v>
      </c>
      <c r="N146" s="323">
        <f t="shared" si="30"/>
        <v>9030.1339109768451</v>
      </c>
      <c r="O146" s="323">
        <f t="shared" si="30"/>
        <v>6147.3980717034065</v>
      </c>
      <c r="P146" s="323">
        <f t="shared" si="30"/>
        <v>3189.6235692755167</v>
      </c>
      <c r="Q146" s="323">
        <f t="shared" si="30"/>
        <v>152.17554239448191</v>
      </c>
      <c r="R146" s="323">
        <f t="shared" si="30"/>
        <v>-2969.8381070862374</v>
      </c>
      <c r="S146" s="323">
        <f t="shared" si="30"/>
        <v>-6181.5804972281276</v>
      </c>
      <c r="T146" s="323">
        <f t="shared" si="30"/>
        <v>-6809.0243165548363</v>
      </c>
      <c r="U146" s="323">
        <f t="shared" si="30"/>
        <v>-7449.0170122680793</v>
      </c>
      <c r="V146" s="323">
        <f t="shared" si="30"/>
        <v>-8101.8095618955876</v>
      </c>
      <c r="W146" s="323">
        <f t="shared" si="30"/>
        <v>-8767.6579625156464</v>
      </c>
      <c r="X146" s="323">
        <f t="shared" si="30"/>
        <v>-9446.8233311481054</v>
      </c>
      <c r="Y146" s="323">
        <f t="shared" si="30"/>
        <v>-9446.8233311481054</v>
      </c>
      <c r="Z146" s="323">
        <f t="shared" si="30"/>
        <v>-9446.8233311481054</v>
      </c>
      <c r="AA146" s="323">
        <f t="shared" si="30"/>
        <v>-9446.8233311481054</v>
      </c>
      <c r="AB146" s="323">
        <f t="shared" si="30"/>
        <v>-9446.8233311481054</v>
      </c>
      <c r="AC146" s="323">
        <f t="shared" si="30"/>
        <v>-9446.8233311481054</v>
      </c>
      <c r="AD146" s="323">
        <f t="shared" si="30"/>
        <v>-9446.8233311481054</v>
      </c>
      <c r="AE146" s="323">
        <f t="shared" si="30"/>
        <v>-9446.8233311481054</v>
      </c>
      <c r="AF146" s="323">
        <f t="shared" si="30"/>
        <v>-9446.8233311481054</v>
      </c>
      <c r="AG146" s="323">
        <f t="shared" si="30"/>
        <v>-9446.8233311481054</v>
      </c>
      <c r="AH146" s="323">
        <f t="shared" si="30"/>
        <v>-9446.8233311481054</v>
      </c>
      <c r="AI146" s="323">
        <f t="shared" si="30"/>
        <v>-9446.8233311481054</v>
      </c>
      <c r="AJ146" s="323">
        <f t="shared" si="30"/>
        <v>-9446.8233311481054</v>
      </c>
      <c r="AK146" s="323">
        <f t="shared" si="30"/>
        <v>-9446.8233311481054</v>
      </c>
      <c r="AL146" s="323">
        <f t="shared" si="30"/>
        <v>-9446.8233311481054</v>
      </c>
      <c r="AM146" s="323">
        <f t="shared" si="30"/>
        <v>-9446.8233311481054</v>
      </c>
      <c r="AN146" s="323">
        <f t="shared" si="30"/>
        <v>-9446.8233311481054</v>
      </c>
      <c r="AO146" s="323">
        <f t="shared" si="30"/>
        <v>-9446.8233311481054</v>
      </c>
      <c r="AP146" s="323">
        <f t="shared" si="30"/>
        <v>-9446.8233311481054</v>
      </c>
      <c r="AQ146" s="323">
        <f t="shared" si="30"/>
        <v>-9446.8233311481054</v>
      </c>
      <c r="AR146" s="324">
        <f t="shared" si="30"/>
        <v>-9446.8233311481054</v>
      </c>
    </row>
    <row r="147" spans="1:44" ht="12.95" customHeight="1">
      <c r="B147" s="267" t="s">
        <v>577</v>
      </c>
      <c r="C147" s="268"/>
      <c r="D147" s="325"/>
      <c r="E147" s="326">
        <f t="shared" ref="E147:AR147" si="31">IF(E112&gt;$C$74,"",(-$C$94*(E139+$C$5*E118)+E132+$C$5*E118)/-E137)</f>
        <v>1.4730504263974795</v>
      </c>
      <c r="F147" s="326">
        <f t="shared" si="31"/>
        <v>1.4624278572849581</v>
      </c>
      <c r="G147" s="326">
        <f t="shared" si="31"/>
        <v>1.4514423616703984</v>
      </c>
      <c r="H147" s="326">
        <f t="shared" si="31"/>
        <v>1.4400787810799716</v>
      </c>
      <c r="I147" s="326">
        <f t="shared" si="31"/>
        <v>1.428321239123322</v>
      </c>
      <c r="J147" s="326">
        <f t="shared" si="31"/>
        <v>1.4161531053610188</v>
      </c>
      <c r="K147" s="326">
        <f t="shared" si="31"/>
        <v>1.4035569573062063</v>
      </c>
      <c r="L147" s="326">
        <f t="shared" si="31"/>
        <v>1.3905145404631283</v>
      </c>
      <c r="M147" s="326">
        <f t="shared" si="31"/>
        <v>1.3770067263000927</v>
      </c>
      <c r="N147" s="326">
        <f t="shared" si="31"/>
        <v>1.3630134680490882</v>
      </c>
      <c r="O147" s="326">
        <f t="shared" si="31"/>
        <v>1.3485137542186079</v>
      </c>
      <c r="P147" s="326">
        <f t="shared" si="31"/>
        <v>1.3334855597003037</v>
      </c>
      <c r="Q147" s="326">
        <f t="shared" si="31"/>
        <v>1.3179057943438299</v>
      </c>
      <c r="R147" s="326">
        <f t="shared" si="31"/>
        <v>1.3017502488676638</v>
      </c>
      <c r="S147" s="326">
        <f t="shared" si="31"/>
        <v>1.2849935379667519</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-23841.205476569994</v>
      </c>
      <c r="D150" s="271" t="s">
        <v>580</v>
      </c>
    </row>
    <row r="151" spans="1:44">
      <c r="B151" s="72" t="s">
        <v>581</v>
      </c>
      <c r="C151" s="272">
        <f>(1-$C$94)*NPV($C$91,E145:AR145)</f>
        <v>201066.67078965655</v>
      </c>
      <c r="D151" s="271" t="str">
        <f>$C$7</f>
        <v>kWh</v>
      </c>
      <c r="F151" s="273"/>
    </row>
    <row r="152" spans="1:44">
      <c r="B152" s="72" t="s">
        <v>582</v>
      </c>
      <c r="C152" s="272">
        <f>$C$41*1000000</f>
        <v>34590.449999999997</v>
      </c>
      <c r="D152" s="271" t="s">
        <v>528</v>
      </c>
      <c r="F152" s="46"/>
    </row>
    <row r="153" spans="1:44">
      <c r="B153" s="72" t="s">
        <v>583</v>
      </c>
      <c r="C153" s="274">
        <f>AVERAGE(E147:AR147)</f>
        <v>1.3861476238755215</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-0.13452752253954614</v>
      </c>
      <c r="D155" s="271"/>
      <c r="F155" s="46"/>
      <c r="G155" s="47"/>
    </row>
    <row r="156" spans="1:44">
      <c r="B156" s="72" t="s">
        <v>586</v>
      </c>
      <c r="C156" s="95" t="str">
        <f>IFERROR(IRR(D144:AR144),"n.v.t.")</f>
        <v>n.v.t.</v>
      </c>
      <c r="D156" s="271"/>
      <c r="G156" s="47"/>
    </row>
    <row r="157" spans="1:44">
      <c r="B157" s="72" t="s">
        <v>587</v>
      </c>
      <c r="C157" s="272">
        <f>$C$92*C152-C97</f>
        <v>24213.314999999995</v>
      </c>
      <c r="D157" s="271" t="s">
        <v>528</v>
      </c>
      <c r="F157" s="33"/>
    </row>
    <row r="158" spans="1:44">
      <c r="B158" s="72" t="s">
        <v>588</v>
      </c>
      <c r="C158" s="272">
        <f>$C$93*C152-C98</f>
        <v>10377.134999999998</v>
      </c>
      <c r="D158" s="271" t="s">
        <v>528</v>
      </c>
      <c r="F158" s="33"/>
    </row>
    <row r="159" spans="1:44">
      <c r="B159" s="72" t="s">
        <v>332</v>
      </c>
      <c r="C159" s="95">
        <f>IF(AND(E115&gt;0,E116&gt;0),ROUND(E116/E115,2),0)</f>
        <v>0</v>
      </c>
      <c r="D159" s="271" t="s">
        <v>589</v>
      </c>
      <c r="F159" s="33"/>
    </row>
    <row r="160" spans="1:44">
      <c r="B160" s="72" t="s">
        <v>590</v>
      </c>
      <c r="C160" s="95">
        <f>IF(C159=0,MAX(C29:C30),E118/SUM(C26,C28))</f>
        <v>1760</v>
      </c>
      <c r="D160" s="271" t="s">
        <v>446</v>
      </c>
      <c r="F160" s="33"/>
    </row>
    <row r="161" spans="2:44" ht="15" customHeight="1">
      <c r="B161" s="73" t="s">
        <v>591</v>
      </c>
      <c r="C161" s="426" t="str">
        <f>CONCATENATE( "tussen ", INDEX(D112:X112, MATCH(0,D146:AR146, -1)), " en ",  1 + INDEX(D112:X112, MATCH(0,D146:AR146, -1)), " jaar")</f>
        <v>tussen 13 en 14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29" priority="3" operator="containsText" text="Pas op">
      <formula>NOT(ISERROR(SEARCH("Pas op",G1)))</formula>
    </cfRule>
  </conditionalFormatting>
  <conditionalFormatting sqref="G188">
    <cfRule type="containsText" dxfId="28" priority="2" operator="containsText" text="Pas op">
      <formula>NOT(ISERROR(SEARCH("Pas op",G188)))</formula>
    </cfRule>
  </conditionalFormatting>
  <conditionalFormatting sqref="G105">
    <cfRule type="containsText" dxfId="27"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A371C88A-4951-4677-AD92-DAB33894B5FA}">
      <formula1>"ja,nee"</formula1>
    </dataValidation>
    <dataValidation type="list" allowBlank="1" showErrorMessage="1" error="Alleen de opties aangegeven in de dropdownlijst zijn toegestaan" sqref="C7" xr:uid="{3F06D15C-72E1-4E35-AE44-EC2175838872}">
      <formula1>"t CO2,kWh"</formula1>
    </dataValidation>
    <dataValidation type="list" allowBlank="1" showErrorMessage="1" error="Alleen de opties aangegeven in de dropdownlijst zijn toegestaan" sqref="C14" xr:uid="{8D54C826-4130-49FE-A258-695760146BFE}">
      <formula1>"Nee,Ja,Geen warmte"</formula1>
    </dataValidation>
    <dataValidation type="list" allowBlank="1" showErrorMessage="1" error="Alleen de opties aangegeven in de dropdownlijst zijn toegestaan" sqref="C9" xr:uid="{E87DB433-AC4B-4BD2-BEFF-574AA7B774AE}">
      <formula1>"Elektriciteit,Lagetemperatuurwarmte,Hogetemperatuurwarmte,Moleculen,CCS/CCU,Generiek"</formula1>
    </dataValidation>
    <dataValidation type="decimal" allowBlank="1" showErrorMessage="1" error="Alleen getallen tussen 0 en 1.0 toegestaan. Vul in met een punt, geen comma" sqref="C17:C18" xr:uid="{EC0EB0C9-FC9A-4B5D-B6E1-291FDC7B21A2}">
      <formula1>0</formula1>
      <formula2>1</formula2>
    </dataValidation>
    <dataValidation type="decimal" operator="notBetween" allowBlank="1" showInputMessage="1" sqref="C39:C49" xr:uid="{1532A572-C8EE-4F6D-9AE6-3C7DAC6D558D}">
      <formula1>0</formula1>
      <formula2>0</formula2>
    </dataValidation>
    <dataValidation type="decimal" operator="notBetween" allowBlank="1" showInputMessage="1" showErrorMessage="1" sqref="C52:C60 C63:C65 C67:C70" xr:uid="{DBF46AE2-068B-4D46-A3BA-90F75782CA4C}">
      <formula1>0</formula1>
      <formula2>0</formula2>
    </dataValidation>
    <dataValidation type="decimal" operator="greaterThanOrEqual" allowBlank="1" showInputMessage="1" sqref="C21 C24:C30 C33:C36" xr:uid="{64B45351-8F9D-483B-83BA-9E1C206EC4D3}">
      <formula1>0</formula1>
    </dataValidation>
    <dataValidation type="decimal" operator="greaterThanOrEqual" allowBlank="1" showInputMessage="1" showErrorMessage="1" sqref="C73:C77" xr:uid="{323FE884-95FA-4EE0-8EC1-BF6DE5F3E9AF}">
      <formula1>0</formula1>
    </dataValidation>
    <dataValidation type="decimal" operator="greaterThan" allowBlank="1" showInputMessage="1" showErrorMessage="1" sqref="C80:C86 C89:C94" xr:uid="{3189DDE8-1E52-4ED8-B27E-C135868DBDA2}">
      <formula1>0</formula1>
    </dataValidation>
    <dataValidation type="list" operator="greaterThanOrEqual" allowBlank="1" showInputMessage="1" sqref="C23" xr:uid="{B5EE656B-AD40-4CBF-93D5-165C8DC3C6AB}">
      <formula1>"Ja"</formula1>
    </dataValidation>
    <dataValidation type="decimal" operator="greaterThan" allowBlank="1" showInputMessage="1" showErrorMessage="1" error="Alleen getallen boven de 0 toegstaan" sqref="C22" xr:uid="{241B4463-9139-450A-A6D0-3A5286636527}">
      <formula1>0</formula1>
    </dataValidation>
    <dataValidation operator="notBetween" allowBlank="1" showInputMessage="1" showErrorMessage="1" sqref="C66" xr:uid="{0C265FBB-773A-4542-9275-463B1546425C}"/>
  </dataValidations>
  <pageMargins left="0.7" right="0.7" top="0.75" bottom="0.75" header="0.3" footer="0.3"/>
  <pageSetup paperSize="9" scale="14"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ED78-5D46-4DC1-A803-74AC1EF6842A}">
  <sheetPr codeName="Sheet105">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619</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0.182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1108.1081081081081</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IFERROR(INDEX(Correcties!$A$1:$I$334,MATCH('13'!C12,Correcties!$A$1:$A$334,0),5),"")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1630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2290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3.4590449999999995E-2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13.8</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0.20699999999999999</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2.5399999999999999E-2</v>
      </c>
      <c r="D48" s="75" t="str">
        <f>CONCATENATE("Euro/",$C$7)</f>
        <v>Euro/kWh</v>
      </c>
      <c r="E48" s="417"/>
      <c r="F48" s="431"/>
      <c r="G48" s="431"/>
      <c r="H48" s="431"/>
      <c r="I48" s="431"/>
      <c r="J48" s="431"/>
      <c r="K48" s="431"/>
      <c r="L48" s="431"/>
      <c r="M48" s="432"/>
    </row>
    <row r="49" spans="2:13" ht="15" customHeight="1">
      <c r="B49" s="73" t="s">
        <v>472</v>
      </c>
      <c r="C49" s="331">
        <f>SUM(C45:C48)</f>
        <v>2.5399999999999999E-2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1630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366750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489000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-34590.449999999997</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24450</v>
      </c>
      <c r="F115" s="312">
        <f t="shared" si="4"/>
        <v>24450</v>
      </c>
      <c r="G115" s="312">
        <f t="shared" si="4"/>
        <v>24450</v>
      </c>
      <c r="H115" s="312">
        <f t="shared" si="4"/>
        <v>24450</v>
      </c>
      <c r="I115" s="312">
        <f t="shared" si="4"/>
        <v>24450</v>
      </c>
      <c r="J115" s="312">
        <f t="shared" si="4"/>
        <v>24450</v>
      </c>
      <c r="K115" s="312">
        <f t="shared" si="4"/>
        <v>24450</v>
      </c>
      <c r="L115" s="312">
        <f t="shared" si="4"/>
        <v>24450</v>
      </c>
      <c r="M115" s="312">
        <f t="shared" si="4"/>
        <v>24450</v>
      </c>
      <c r="N115" s="312">
        <f t="shared" si="4"/>
        <v>24450</v>
      </c>
      <c r="O115" s="312">
        <f t="shared" si="4"/>
        <v>24450</v>
      </c>
      <c r="P115" s="312">
        <f t="shared" si="4"/>
        <v>24450</v>
      </c>
      <c r="Q115" s="312">
        <f t="shared" si="4"/>
        <v>24450</v>
      </c>
      <c r="R115" s="312">
        <f t="shared" si="4"/>
        <v>24450</v>
      </c>
      <c r="S115" s="312">
        <f t="shared" si="4"/>
        <v>24450</v>
      </c>
      <c r="T115" s="312">
        <f t="shared" si="4"/>
        <v>24450</v>
      </c>
      <c r="U115" s="312">
        <f t="shared" si="4"/>
        <v>24450</v>
      </c>
      <c r="V115" s="312">
        <f t="shared" si="4"/>
        <v>24450</v>
      </c>
      <c r="W115" s="312">
        <f t="shared" si="4"/>
        <v>24450</v>
      </c>
      <c r="X115" s="312">
        <f t="shared" si="4"/>
        <v>24450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24450</v>
      </c>
      <c r="F118" s="315">
        <f t="shared" si="7"/>
        <v>24450</v>
      </c>
      <c r="G118" s="315">
        <f t="shared" si="7"/>
        <v>24450</v>
      </c>
      <c r="H118" s="315">
        <f t="shared" si="7"/>
        <v>24450</v>
      </c>
      <c r="I118" s="315">
        <f t="shared" si="7"/>
        <v>24450</v>
      </c>
      <c r="J118" s="315">
        <f t="shared" si="7"/>
        <v>24450</v>
      </c>
      <c r="K118" s="315">
        <f t="shared" si="7"/>
        <v>24450</v>
      </c>
      <c r="L118" s="315">
        <f t="shared" si="7"/>
        <v>24450</v>
      </c>
      <c r="M118" s="315">
        <f t="shared" si="7"/>
        <v>24450</v>
      </c>
      <c r="N118" s="315">
        <f t="shared" si="7"/>
        <v>24450</v>
      </c>
      <c r="O118" s="315">
        <f t="shared" si="7"/>
        <v>24450</v>
      </c>
      <c r="P118" s="315">
        <f t="shared" si="7"/>
        <v>24450</v>
      </c>
      <c r="Q118" s="315">
        <f t="shared" si="7"/>
        <v>24450</v>
      </c>
      <c r="R118" s="315">
        <f t="shared" si="7"/>
        <v>24450</v>
      </c>
      <c r="S118" s="315">
        <f t="shared" si="7"/>
        <v>24450</v>
      </c>
      <c r="T118" s="315">
        <f t="shared" si="7"/>
        <v>24450</v>
      </c>
      <c r="U118" s="315">
        <f t="shared" si="7"/>
        <v>24450</v>
      </c>
      <c r="V118" s="315">
        <f t="shared" si="7"/>
        <v>24450</v>
      </c>
      <c r="W118" s="315">
        <f t="shared" si="7"/>
        <v>24450</v>
      </c>
      <c r="X118" s="315">
        <f t="shared" si="7"/>
        <v>24450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-828.03</v>
      </c>
      <c r="F120" s="312">
        <f t="shared" si="8"/>
        <v>-844.59059999999999</v>
      </c>
      <c r="G120" s="312">
        <f t="shared" si="8"/>
        <v>-861.48241199999995</v>
      </c>
      <c r="H120" s="312">
        <f t="shared" si="8"/>
        <v>-878.71206023999991</v>
      </c>
      <c r="I120" s="312">
        <f t="shared" si="8"/>
        <v>-896.28630144479996</v>
      </c>
      <c r="J120" s="312">
        <f t="shared" si="8"/>
        <v>-914.21202747369603</v>
      </c>
      <c r="K120" s="312">
        <f t="shared" si="8"/>
        <v>-932.49626802316993</v>
      </c>
      <c r="L120" s="312">
        <f t="shared" si="8"/>
        <v>-951.14619338363309</v>
      </c>
      <c r="M120" s="312">
        <f t="shared" si="8"/>
        <v>-970.16911725130592</v>
      </c>
      <c r="N120" s="312">
        <f t="shared" si="8"/>
        <v>-989.57249959633202</v>
      </c>
      <c r="O120" s="312">
        <f t="shared" si="8"/>
        <v>-1009.3639495882587</v>
      </c>
      <c r="P120" s="312">
        <f t="shared" si="8"/>
        <v>-1029.5512285800237</v>
      </c>
      <c r="Q120" s="312">
        <f t="shared" si="8"/>
        <v>-1050.1422531516243</v>
      </c>
      <c r="R120" s="312">
        <f t="shared" si="8"/>
        <v>-1071.1450982146569</v>
      </c>
      <c r="S120" s="312">
        <f t="shared" si="8"/>
        <v>-1092.5680001789499</v>
      </c>
      <c r="T120" s="312">
        <f t="shared" si="8"/>
        <v>-1114.4193601825286</v>
      </c>
      <c r="U120" s="312">
        <f t="shared" si="8"/>
        <v>-1136.7077473861796</v>
      </c>
      <c r="V120" s="312">
        <f t="shared" si="8"/>
        <v>-1159.441902333903</v>
      </c>
      <c r="W120" s="312">
        <f t="shared" si="8"/>
        <v>-1182.6307403805811</v>
      </c>
      <c r="X120" s="312">
        <f t="shared" si="8"/>
        <v>-1206.2833551881927</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1674.9398763860704</v>
      </c>
      <c r="U127" s="312">
        <f t="shared" si="15"/>
        <v>1708.4386739137922</v>
      </c>
      <c r="V127" s="312">
        <f t="shared" si="15"/>
        <v>1742.607447392068</v>
      </c>
      <c r="W127" s="312">
        <f t="shared" si="15"/>
        <v>1777.4595963399092</v>
      </c>
      <c r="X127" s="312">
        <f t="shared" si="15"/>
        <v>1813.0087882667074</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1674.9398763860704</v>
      </c>
      <c r="U130" s="312">
        <f t="shared" si="17"/>
        <v>1708.4386739137922</v>
      </c>
      <c r="V130" s="312">
        <f t="shared" si="17"/>
        <v>1742.607447392068</v>
      </c>
      <c r="W130" s="312">
        <f t="shared" si="17"/>
        <v>1777.4595963399092</v>
      </c>
      <c r="X130" s="312">
        <f t="shared" si="17"/>
        <v>1813.0087882667074</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-828.03</v>
      </c>
      <c r="F131" s="312">
        <f t="shared" si="18"/>
        <v>-844.59059999999999</v>
      </c>
      <c r="G131" s="312">
        <f t="shared" si="18"/>
        <v>-861.48241199999995</v>
      </c>
      <c r="H131" s="312">
        <f t="shared" si="18"/>
        <v>-878.71206023999991</v>
      </c>
      <c r="I131" s="312">
        <f t="shared" si="18"/>
        <v>-896.28630144479996</v>
      </c>
      <c r="J131" s="312">
        <f t="shared" si="18"/>
        <v>-914.21202747369603</v>
      </c>
      <c r="K131" s="312">
        <f t="shared" si="18"/>
        <v>-932.49626802316993</v>
      </c>
      <c r="L131" s="312">
        <f t="shared" si="18"/>
        <v>-951.14619338363309</v>
      </c>
      <c r="M131" s="312">
        <f t="shared" si="18"/>
        <v>-970.16911725130592</v>
      </c>
      <c r="N131" s="312">
        <f t="shared" si="18"/>
        <v>-989.57249959633202</v>
      </c>
      <c r="O131" s="312">
        <f t="shared" si="18"/>
        <v>-1009.3639495882587</v>
      </c>
      <c r="P131" s="312">
        <f t="shared" si="18"/>
        <v>-1029.5512285800237</v>
      </c>
      <c r="Q131" s="312">
        <f t="shared" si="18"/>
        <v>-1050.1422531516243</v>
      </c>
      <c r="R131" s="312">
        <f t="shared" si="18"/>
        <v>-1071.1450982146569</v>
      </c>
      <c r="S131" s="312">
        <f t="shared" si="18"/>
        <v>-1092.5680001789499</v>
      </c>
      <c r="T131" s="312">
        <f t="shared" si="18"/>
        <v>-1114.4193601825286</v>
      </c>
      <c r="U131" s="312">
        <f t="shared" si="18"/>
        <v>-1136.7077473861796</v>
      </c>
      <c r="V131" s="312">
        <f t="shared" si="18"/>
        <v>-1159.441902333903</v>
      </c>
      <c r="W131" s="312">
        <f t="shared" si="18"/>
        <v>-1182.6307403805811</v>
      </c>
      <c r="X131" s="312">
        <f t="shared" si="18"/>
        <v>-1206.2833551881927</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-828.03</v>
      </c>
      <c r="F132" s="321">
        <f t="shared" si="19"/>
        <v>-844.59059999999999</v>
      </c>
      <c r="G132" s="321">
        <f t="shared" si="19"/>
        <v>-861.48241199999995</v>
      </c>
      <c r="H132" s="321">
        <f t="shared" si="19"/>
        <v>-878.71206023999991</v>
      </c>
      <c r="I132" s="321">
        <f t="shared" si="19"/>
        <v>-896.28630144479996</v>
      </c>
      <c r="J132" s="321">
        <f t="shared" si="19"/>
        <v>-914.21202747369603</v>
      </c>
      <c r="K132" s="321">
        <f t="shared" si="19"/>
        <v>-932.49626802316993</v>
      </c>
      <c r="L132" s="321">
        <f t="shared" si="19"/>
        <v>-951.14619338363309</v>
      </c>
      <c r="M132" s="321">
        <f t="shared" si="19"/>
        <v>-970.16911725130592</v>
      </c>
      <c r="N132" s="321">
        <f t="shared" si="19"/>
        <v>-989.57249959633202</v>
      </c>
      <c r="O132" s="321">
        <f t="shared" si="19"/>
        <v>-1009.3639495882587</v>
      </c>
      <c r="P132" s="321">
        <f t="shared" si="19"/>
        <v>-1029.5512285800237</v>
      </c>
      <c r="Q132" s="321">
        <f t="shared" si="19"/>
        <v>-1050.1422531516243</v>
      </c>
      <c r="R132" s="321">
        <f t="shared" si="19"/>
        <v>-1071.1450982146569</v>
      </c>
      <c r="S132" s="321">
        <f t="shared" si="19"/>
        <v>-1092.5680001789499</v>
      </c>
      <c r="T132" s="321">
        <f t="shared" si="19"/>
        <v>560.52051620354177</v>
      </c>
      <c r="U132" s="321">
        <f t="shared" si="19"/>
        <v>571.73092652761261</v>
      </c>
      <c r="V132" s="321">
        <f t="shared" si="19"/>
        <v>583.16554505816498</v>
      </c>
      <c r="W132" s="321">
        <f t="shared" si="19"/>
        <v>594.82885595932817</v>
      </c>
      <c r="X132" s="321">
        <f t="shared" si="19"/>
        <v>606.7254330785147</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-1729.5224999999998</v>
      </c>
      <c r="F134" s="312">
        <f t="shared" si="20"/>
        <v>-1729.5224999999998</v>
      </c>
      <c r="G134" s="312">
        <f t="shared" si="20"/>
        <v>-1729.5224999999998</v>
      </c>
      <c r="H134" s="312">
        <f t="shared" si="20"/>
        <v>-1729.5224999999998</v>
      </c>
      <c r="I134" s="312">
        <f t="shared" si="20"/>
        <v>-1729.5224999999998</v>
      </c>
      <c r="J134" s="312">
        <f t="shared" si="20"/>
        <v>-1729.5224999999998</v>
      </c>
      <c r="K134" s="312">
        <f t="shared" si="20"/>
        <v>-1729.5224999999998</v>
      </c>
      <c r="L134" s="312">
        <f t="shared" si="20"/>
        <v>-1729.5224999999998</v>
      </c>
      <c r="M134" s="312">
        <f t="shared" si="20"/>
        <v>-1729.5224999999998</v>
      </c>
      <c r="N134" s="312">
        <f t="shared" si="20"/>
        <v>-1729.5224999999998</v>
      </c>
      <c r="O134" s="312">
        <f t="shared" si="20"/>
        <v>-1729.5224999999998</v>
      </c>
      <c r="P134" s="312">
        <f t="shared" si="20"/>
        <v>-1729.5224999999998</v>
      </c>
      <c r="Q134" s="312">
        <f t="shared" si="20"/>
        <v>-1729.5224999999998</v>
      </c>
      <c r="R134" s="312">
        <f t="shared" si="20"/>
        <v>-1729.5224999999998</v>
      </c>
      <c r="S134" s="312">
        <f t="shared" si="20"/>
        <v>-1729.5224999999998</v>
      </c>
      <c r="T134" s="312">
        <f t="shared" si="20"/>
        <v>-1729.5224999999998</v>
      </c>
      <c r="U134" s="312">
        <f t="shared" si="20"/>
        <v>-1729.5224999999998</v>
      </c>
      <c r="V134" s="312">
        <f t="shared" si="20"/>
        <v>-1729.5224999999998</v>
      </c>
      <c r="W134" s="312">
        <f t="shared" si="20"/>
        <v>-1729.5224999999998</v>
      </c>
      <c r="X134" s="312">
        <f t="shared" si="20"/>
        <v>-1729.5224999999998</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-1271.1990374999998</v>
      </c>
      <c r="F135" s="312">
        <f t="shared" si="21"/>
        <v>-1213.3885295304997</v>
      </c>
      <c r="G135" s="312">
        <f t="shared" si="21"/>
        <v>-1152.5429698926009</v>
      </c>
      <c r="H135" s="312">
        <f t="shared" si="21"/>
        <v>-1088.5030183737124</v>
      </c>
      <c r="I135" s="312">
        <f t="shared" si="21"/>
        <v>-1021.1009694000824</v>
      </c>
      <c r="J135" s="312">
        <f t="shared" si="21"/>
        <v>-950.16031285533654</v>
      </c>
      <c r="K135" s="312">
        <f t="shared" si="21"/>
        <v>-875.49527184199167</v>
      </c>
      <c r="L135" s="312">
        <f t="shared" si="21"/>
        <v>-796.9103161754465</v>
      </c>
      <c r="M135" s="312">
        <f t="shared" si="21"/>
        <v>-714.19965033640744</v>
      </c>
      <c r="N135" s="312">
        <f t="shared" si="21"/>
        <v>-627.14667454081871</v>
      </c>
      <c r="O135" s="312">
        <f t="shared" si="21"/>
        <v>-535.52341751596168</v>
      </c>
      <c r="P135" s="312">
        <f t="shared" si="21"/>
        <v>-439.08993949729978</v>
      </c>
      <c r="Q135" s="312">
        <f t="shared" si="21"/>
        <v>-337.59370388265791</v>
      </c>
      <c r="R135" s="312">
        <f t="shared" si="21"/>
        <v>-230.76891589824757</v>
      </c>
      <c r="S135" s="312">
        <f t="shared" si="21"/>
        <v>-118.33582654465559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-1101.1525327523814</v>
      </c>
      <c r="F136" s="312">
        <f t="shared" si="22"/>
        <v>-1158.9630407218813</v>
      </c>
      <c r="G136" s="312">
        <f t="shared" si="22"/>
        <v>-1219.8086003597803</v>
      </c>
      <c r="H136" s="312">
        <f t="shared" si="22"/>
        <v>-1283.8485518786686</v>
      </c>
      <c r="I136" s="312">
        <f t="shared" si="22"/>
        <v>-1351.2506008522987</v>
      </c>
      <c r="J136" s="312">
        <f t="shared" si="22"/>
        <v>-1422.1912573970444</v>
      </c>
      <c r="K136" s="312">
        <f t="shared" si="22"/>
        <v>-1496.8562984103892</v>
      </c>
      <c r="L136" s="312">
        <f t="shared" si="22"/>
        <v>-1575.4412540769347</v>
      </c>
      <c r="M136" s="312">
        <f t="shared" si="22"/>
        <v>-1658.1519199159736</v>
      </c>
      <c r="N136" s="312">
        <f t="shared" si="22"/>
        <v>-1745.2048957115621</v>
      </c>
      <c r="O136" s="312">
        <f t="shared" si="22"/>
        <v>-1836.8281527364193</v>
      </c>
      <c r="P136" s="312">
        <f t="shared" si="22"/>
        <v>-1933.2616307550813</v>
      </c>
      <c r="Q136" s="312">
        <f t="shared" si="22"/>
        <v>-2034.7578663697229</v>
      </c>
      <c r="R136" s="312">
        <f t="shared" si="22"/>
        <v>-2141.5826543541339</v>
      </c>
      <c r="S136" s="312">
        <f t="shared" si="22"/>
        <v>-2254.0157437077255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-2372.351570252381</v>
      </c>
      <c r="F137" s="321">
        <f t="shared" si="23"/>
        <v>-2372.351570252381</v>
      </c>
      <c r="G137" s="321">
        <f t="shared" si="23"/>
        <v>-2372.351570252381</v>
      </c>
      <c r="H137" s="321">
        <f t="shared" si="23"/>
        <v>-2372.351570252381</v>
      </c>
      <c r="I137" s="321">
        <f t="shared" si="23"/>
        <v>-2372.351570252381</v>
      </c>
      <c r="J137" s="321">
        <f t="shared" si="23"/>
        <v>-2372.351570252381</v>
      </c>
      <c r="K137" s="321">
        <f t="shared" si="23"/>
        <v>-2372.351570252381</v>
      </c>
      <c r="L137" s="321">
        <f t="shared" si="23"/>
        <v>-2372.351570252381</v>
      </c>
      <c r="M137" s="321">
        <f t="shared" si="23"/>
        <v>-2372.351570252381</v>
      </c>
      <c r="N137" s="321">
        <f t="shared" si="23"/>
        <v>-2372.351570252381</v>
      </c>
      <c r="O137" s="321">
        <f t="shared" si="23"/>
        <v>-2372.351570252381</v>
      </c>
      <c r="P137" s="321">
        <f t="shared" si="23"/>
        <v>-2372.351570252381</v>
      </c>
      <c r="Q137" s="321">
        <f t="shared" si="23"/>
        <v>-2372.351570252381</v>
      </c>
      <c r="R137" s="321">
        <f t="shared" si="23"/>
        <v>-2372.3515702523814</v>
      </c>
      <c r="S137" s="321">
        <f t="shared" si="23"/>
        <v>-2372.351570252381</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-3828.7515374999994</v>
      </c>
      <c r="F139" s="312">
        <f t="shared" si="24"/>
        <v>-3787.5016295304995</v>
      </c>
      <c r="G139" s="312">
        <f t="shared" si="24"/>
        <v>-3743.5478818926008</v>
      </c>
      <c r="H139" s="312">
        <f t="shared" si="24"/>
        <v>-3696.7375786137118</v>
      </c>
      <c r="I139" s="312">
        <f t="shared" si="24"/>
        <v>-3646.9097708448821</v>
      </c>
      <c r="J139" s="312">
        <f t="shared" si="24"/>
        <v>-3593.8948403290324</v>
      </c>
      <c r="K139" s="312">
        <f t="shared" si="24"/>
        <v>-3537.5140398651615</v>
      </c>
      <c r="L139" s="312">
        <f t="shared" si="24"/>
        <v>-3477.5790095590792</v>
      </c>
      <c r="M139" s="312">
        <f t="shared" si="24"/>
        <v>-3413.8912675877132</v>
      </c>
      <c r="N139" s="312">
        <f t="shared" si="24"/>
        <v>-3346.2416741371508</v>
      </c>
      <c r="O139" s="312">
        <f t="shared" si="24"/>
        <v>-3274.4098671042202</v>
      </c>
      <c r="P139" s="312">
        <f t="shared" si="24"/>
        <v>-3198.1636680773231</v>
      </c>
      <c r="Q139" s="312">
        <f t="shared" si="24"/>
        <v>-3117.2584570342819</v>
      </c>
      <c r="R139" s="312">
        <f t="shared" si="24"/>
        <v>-3031.4365141129042</v>
      </c>
      <c r="S139" s="312">
        <f t="shared" si="24"/>
        <v>-2940.4263267236051</v>
      </c>
      <c r="T139" s="312">
        <f t="shared" si="24"/>
        <v>-1169.001983796458</v>
      </c>
      <c r="U139" s="312">
        <f t="shared" si="24"/>
        <v>-1157.7915734723872</v>
      </c>
      <c r="V139" s="312">
        <f t="shared" si="24"/>
        <v>-1146.3569549418348</v>
      </c>
      <c r="W139" s="312">
        <f t="shared" si="24"/>
        <v>-1134.6936440406716</v>
      </c>
      <c r="X139" s="312">
        <f t="shared" si="24"/>
        <v>-1122.7970669214851</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727.46279212499985</v>
      </c>
      <c r="F140" s="312">
        <f t="shared" si="25"/>
        <v>719.62530961079494</v>
      </c>
      <c r="G140" s="312">
        <f t="shared" si="25"/>
        <v>711.27409755959411</v>
      </c>
      <c r="H140" s="312">
        <f t="shared" si="25"/>
        <v>702.38013993660525</v>
      </c>
      <c r="I140" s="312">
        <f t="shared" si="25"/>
        <v>692.91285646052756</v>
      </c>
      <c r="J140" s="312">
        <f t="shared" si="25"/>
        <v>682.84001966251617</v>
      </c>
      <c r="K140" s="312">
        <f t="shared" si="25"/>
        <v>672.12766757438067</v>
      </c>
      <c r="L140" s="312">
        <f t="shared" si="25"/>
        <v>660.74001181622509</v>
      </c>
      <c r="M140" s="312">
        <f t="shared" si="25"/>
        <v>648.63934084166556</v>
      </c>
      <c r="N140" s="312">
        <f t="shared" si="25"/>
        <v>635.7859180860587</v>
      </c>
      <c r="O140" s="312">
        <f t="shared" si="25"/>
        <v>622.13787474980188</v>
      </c>
      <c r="P140" s="312">
        <f t="shared" si="25"/>
        <v>607.6510969346914</v>
      </c>
      <c r="Q140" s="312">
        <f t="shared" si="25"/>
        <v>592.27910683651362</v>
      </c>
      <c r="R140" s="312">
        <f t="shared" si="25"/>
        <v>575.97293768145175</v>
      </c>
      <c r="S140" s="312">
        <f t="shared" si="25"/>
        <v>558.681002077485</v>
      </c>
      <c r="T140" s="312">
        <f t="shared" si="25"/>
        <v>222.11037692132703</v>
      </c>
      <c r="U140" s="312">
        <f t="shared" si="25"/>
        <v>219.98039895975356</v>
      </c>
      <c r="V140" s="312">
        <f t="shared" si="25"/>
        <v>217.80782143894862</v>
      </c>
      <c r="W140" s="312">
        <f t="shared" si="25"/>
        <v>215.59179236772761</v>
      </c>
      <c r="X140" s="312">
        <f t="shared" si="25"/>
        <v>213.33144271508218</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-2472.9187781273808</v>
      </c>
      <c r="F142" s="321">
        <f t="shared" si="26"/>
        <v>-2497.3168606415861</v>
      </c>
      <c r="G142" s="321">
        <f t="shared" si="26"/>
        <v>-2522.5598846927869</v>
      </c>
      <c r="H142" s="321">
        <f t="shared" si="26"/>
        <v>-2548.6834905557757</v>
      </c>
      <c r="I142" s="321">
        <f t="shared" si="26"/>
        <v>-2575.7250152366532</v>
      </c>
      <c r="J142" s="321">
        <f t="shared" si="26"/>
        <v>-2603.723578063561</v>
      </c>
      <c r="K142" s="321">
        <f t="shared" si="26"/>
        <v>-2632.7201707011704</v>
      </c>
      <c r="L142" s="321">
        <f t="shared" si="26"/>
        <v>-2662.7577518197891</v>
      </c>
      <c r="M142" s="321">
        <f t="shared" si="26"/>
        <v>-2693.8813466620213</v>
      </c>
      <c r="N142" s="321">
        <f t="shared" si="26"/>
        <v>-2726.1381517626542</v>
      </c>
      <c r="O142" s="321">
        <f t="shared" si="26"/>
        <v>-2759.5776450908379</v>
      </c>
      <c r="P142" s="321">
        <f t="shared" si="26"/>
        <v>-2794.2517018977132</v>
      </c>
      <c r="Q142" s="321">
        <f t="shared" si="26"/>
        <v>-2830.2147165674919</v>
      </c>
      <c r="R142" s="321">
        <f t="shared" si="26"/>
        <v>-2867.5237307855864</v>
      </c>
      <c r="S142" s="321">
        <f t="shared" si="26"/>
        <v>-2906.2385683538455</v>
      </c>
      <c r="T142" s="321">
        <f t="shared" si="26"/>
        <v>782.63089312486886</v>
      </c>
      <c r="U142" s="321">
        <f t="shared" si="26"/>
        <v>791.71132548736614</v>
      </c>
      <c r="V142" s="321">
        <f t="shared" si="26"/>
        <v>800.9733664971136</v>
      </c>
      <c r="W142" s="321">
        <f t="shared" si="26"/>
        <v>810.4206483270558</v>
      </c>
      <c r="X142" s="321">
        <f t="shared" si="26"/>
        <v>820.05687579359687</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-34590.449999999997</v>
      </c>
      <c r="E143" s="312">
        <f t="shared" ref="E143:AR143" si="27">E132+E140</f>
        <v>-100.56720787500012</v>
      </c>
      <c r="F143" s="312">
        <f t="shared" si="27"/>
        <v>-124.96529038920505</v>
      </c>
      <c r="G143" s="312">
        <f t="shared" si="27"/>
        <v>-150.20831444040584</v>
      </c>
      <c r="H143" s="312">
        <f t="shared" si="27"/>
        <v>-176.33192030339467</v>
      </c>
      <c r="I143" s="312">
        <f t="shared" si="27"/>
        <v>-203.3734449842724</v>
      </c>
      <c r="J143" s="312">
        <f t="shared" si="27"/>
        <v>-231.37200781117986</v>
      </c>
      <c r="K143" s="312">
        <f t="shared" si="27"/>
        <v>-260.36860044878927</v>
      </c>
      <c r="L143" s="312">
        <f t="shared" si="27"/>
        <v>-290.406181567408</v>
      </c>
      <c r="M143" s="312">
        <f t="shared" si="27"/>
        <v>-321.52977640964036</v>
      </c>
      <c r="N143" s="312">
        <f t="shared" si="27"/>
        <v>-353.78658151027332</v>
      </c>
      <c r="O143" s="312">
        <f t="shared" si="27"/>
        <v>-387.22607483845684</v>
      </c>
      <c r="P143" s="312">
        <f t="shared" si="27"/>
        <v>-421.90013164533229</v>
      </c>
      <c r="Q143" s="312">
        <f t="shared" si="27"/>
        <v>-457.86314631511073</v>
      </c>
      <c r="R143" s="312">
        <f t="shared" si="27"/>
        <v>-495.1721605332051</v>
      </c>
      <c r="S143" s="312">
        <f t="shared" si="27"/>
        <v>-533.88699810146488</v>
      </c>
      <c r="T143" s="312">
        <f t="shared" si="27"/>
        <v>782.63089312486886</v>
      </c>
      <c r="U143" s="312">
        <f t="shared" si="27"/>
        <v>791.71132548736614</v>
      </c>
      <c r="V143" s="312">
        <f t="shared" si="27"/>
        <v>800.9733664971136</v>
      </c>
      <c r="W143" s="312">
        <f t="shared" si="27"/>
        <v>810.4206483270558</v>
      </c>
      <c r="X143" s="312">
        <f t="shared" si="27"/>
        <v>820.05687579359687</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-10377.134999999998</v>
      </c>
      <c r="E144" s="312">
        <f t="shared" ref="E144:AR144" si="28">E142</f>
        <v>-2472.9187781273808</v>
      </c>
      <c r="F144" s="312">
        <f t="shared" si="28"/>
        <v>-2497.3168606415861</v>
      </c>
      <c r="G144" s="312">
        <f t="shared" si="28"/>
        <v>-2522.5598846927869</v>
      </c>
      <c r="H144" s="312">
        <f t="shared" si="28"/>
        <v>-2548.6834905557757</v>
      </c>
      <c r="I144" s="312">
        <f t="shared" si="28"/>
        <v>-2575.7250152366532</v>
      </c>
      <c r="J144" s="312">
        <f t="shared" si="28"/>
        <v>-2603.723578063561</v>
      </c>
      <c r="K144" s="312">
        <f t="shared" si="28"/>
        <v>-2632.7201707011704</v>
      </c>
      <c r="L144" s="312">
        <f t="shared" si="28"/>
        <v>-2662.7577518197891</v>
      </c>
      <c r="M144" s="312">
        <f t="shared" si="28"/>
        <v>-2693.8813466620213</v>
      </c>
      <c r="N144" s="312">
        <f t="shared" si="28"/>
        <v>-2726.1381517626542</v>
      </c>
      <c r="O144" s="312">
        <f t="shared" si="28"/>
        <v>-2759.5776450908379</v>
      </c>
      <c r="P144" s="312">
        <f t="shared" si="28"/>
        <v>-2794.2517018977132</v>
      </c>
      <c r="Q144" s="312">
        <f t="shared" si="28"/>
        <v>-2830.2147165674919</v>
      </c>
      <c r="R144" s="312">
        <f t="shared" si="28"/>
        <v>-2867.5237307855864</v>
      </c>
      <c r="S144" s="312">
        <f t="shared" si="28"/>
        <v>-2906.2385683538455</v>
      </c>
      <c r="T144" s="312">
        <f t="shared" si="28"/>
        <v>782.63089312486886</v>
      </c>
      <c r="U144" s="312">
        <f t="shared" si="28"/>
        <v>791.71132548736614</v>
      </c>
      <c r="V144" s="312">
        <f t="shared" si="28"/>
        <v>800.9733664971136</v>
      </c>
      <c r="W144" s="312">
        <f t="shared" si="28"/>
        <v>810.4206483270558</v>
      </c>
      <c r="X144" s="312">
        <f t="shared" si="28"/>
        <v>820.05687579359687</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24450</v>
      </c>
      <c r="F145" s="312">
        <f t="shared" si="29"/>
        <v>24450</v>
      </c>
      <c r="G145" s="312">
        <f t="shared" si="29"/>
        <v>24450</v>
      </c>
      <c r="H145" s="312">
        <f t="shared" si="29"/>
        <v>24450</v>
      </c>
      <c r="I145" s="312">
        <f t="shared" si="29"/>
        <v>24450</v>
      </c>
      <c r="J145" s="312">
        <f t="shared" si="29"/>
        <v>24450</v>
      </c>
      <c r="K145" s="312">
        <f t="shared" si="29"/>
        <v>24450</v>
      </c>
      <c r="L145" s="312">
        <f t="shared" si="29"/>
        <v>24450</v>
      </c>
      <c r="M145" s="312">
        <f t="shared" si="29"/>
        <v>24450</v>
      </c>
      <c r="N145" s="312">
        <f t="shared" si="29"/>
        <v>24450</v>
      </c>
      <c r="O145" s="312">
        <f t="shared" si="29"/>
        <v>24450</v>
      </c>
      <c r="P145" s="312">
        <f t="shared" si="29"/>
        <v>24450</v>
      </c>
      <c r="Q145" s="312">
        <f t="shared" si="29"/>
        <v>24450</v>
      </c>
      <c r="R145" s="312">
        <f t="shared" si="29"/>
        <v>24450</v>
      </c>
      <c r="S145" s="312">
        <f t="shared" si="29"/>
        <v>24450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34590.449999999997</v>
      </c>
      <c r="E146" s="323">
        <f t="shared" ref="E146:AR146" si="30">IF(E112&lt;=$C76,D146-($C$5*E118+E132+E135),D146-(E132+E135))</f>
        <v>32239.779037499997</v>
      </c>
      <c r="F146" s="323">
        <f t="shared" si="30"/>
        <v>29847.858167030496</v>
      </c>
      <c r="G146" s="323">
        <f t="shared" si="30"/>
        <v>27411.983548923097</v>
      </c>
      <c r="H146" s="323">
        <f t="shared" si="30"/>
        <v>24929.298627536809</v>
      </c>
      <c r="I146" s="323">
        <f t="shared" si="30"/>
        <v>22396.785898381691</v>
      </c>
      <c r="J146" s="323">
        <f t="shared" si="30"/>
        <v>19811.258238710725</v>
      </c>
      <c r="K146" s="323">
        <f t="shared" si="30"/>
        <v>17169.349778575888</v>
      </c>
      <c r="L146" s="323">
        <f t="shared" si="30"/>
        <v>14467.506288134968</v>
      </c>
      <c r="M146" s="323">
        <f t="shared" si="30"/>
        <v>11701.975055722682</v>
      </c>
      <c r="N146" s="323">
        <f t="shared" si="30"/>
        <v>8868.7942298598318</v>
      </c>
      <c r="O146" s="323">
        <f t="shared" si="30"/>
        <v>5963.7815969640524</v>
      </c>
      <c r="P146" s="323">
        <f t="shared" si="30"/>
        <v>2982.5227650413763</v>
      </c>
      <c r="Q146" s="323">
        <f t="shared" si="30"/>
        <v>-79.641277924341011</v>
      </c>
      <c r="R146" s="323">
        <f t="shared" si="30"/>
        <v>-3227.627263811436</v>
      </c>
      <c r="S146" s="323">
        <f t="shared" si="30"/>
        <v>-6466.6234370878301</v>
      </c>
      <c r="T146" s="323">
        <f t="shared" si="30"/>
        <v>-7027.1439532913719</v>
      </c>
      <c r="U146" s="323">
        <f t="shared" si="30"/>
        <v>-7598.8748798189845</v>
      </c>
      <c r="V146" s="323">
        <f t="shared" si="30"/>
        <v>-8182.0404248771492</v>
      </c>
      <c r="W146" s="323">
        <f t="shared" si="30"/>
        <v>-8776.8692808364776</v>
      </c>
      <c r="X146" s="323">
        <f t="shared" si="30"/>
        <v>-9383.5947139149921</v>
      </c>
      <c r="Y146" s="323">
        <f t="shared" si="30"/>
        <v>-9383.5947139149921</v>
      </c>
      <c r="Z146" s="323">
        <f t="shared" si="30"/>
        <v>-9383.5947139149921</v>
      </c>
      <c r="AA146" s="323">
        <f t="shared" si="30"/>
        <v>-9383.5947139149921</v>
      </c>
      <c r="AB146" s="323">
        <f t="shared" si="30"/>
        <v>-9383.5947139149921</v>
      </c>
      <c r="AC146" s="323">
        <f t="shared" si="30"/>
        <v>-9383.5947139149921</v>
      </c>
      <c r="AD146" s="323">
        <f t="shared" si="30"/>
        <v>-9383.5947139149921</v>
      </c>
      <c r="AE146" s="323">
        <f t="shared" si="30"/>
        <v>-9383.5947139149921</v>
      </c>
      <c r="AF146" s="323">
        <f t="shared" si="30"/>
        <v>-9383.5947139149921</v>
      </c>
      <c r="AG146" s="323">
        <f t="shared" si="30"/>
        <v>-9383.5947139149921</v>
      </c>
      <c r="AH146" s="323">
        <f t="shared" si="30"/>
        <v>-9383.5947139149921</v>
      </c>
      <c r="AI146" s="323">
        <f t="shared" si="30"/>
        <v>-9383.5947139149921</v>
      </c>
      <c r="AJ146" s="323">
        <f t="shared" si="30"/>
        <v>-9383.5947139149921</v>
      </c>
      <c r="AK146" s="323">
        <f t="shared" si="30"/>
        <v>-9383.5947139149921</v>
      </c>
      <c r="AL146" s="323">
        <f t="shared" si="30"/>
        <v>-9383.5947139149921</v>
      </c>
      <c r="AM146" s="323">
        <f t="shared" si="30"/>
        <v>-9383.5947139149921</v>
      </c>
      <c r="AN146" s="323">
        <f t="shared" si="30"/>
        <v>-9383.5947139149921</v>
      </c>
      <c r="AO146" s="323">
        <f t="shared" si="30"/>
        <v>-9383.5947139149921</v>
      </c>
      <c r="AP146" s="323">
        <f t="shared" si="30"/>
        <v>-9383.5947139149921</v>
      </c>
      <c r="AQ146" s="323">
        <f t="shared" si="30"/>
        <v>-9383.5947139149921</v>
      </c>
      <c r="AR146" s="324">
        <f t="shared" si="30"/>
        <v>-9383.5947139149921</v>
      </c>
    </row>
    <row r="147" spans="1:44" ht="12.95" customHeight="1">
      <c r="B147" s="267" t="s">
        <v>577</v>
      </c>
      <c r="C147" s="268"/>
      <c r="D147" s="325"/>
      <c r="E147" s="326">
        <f t="shared" ref="E147:AR147" si="31">IF(E112&gt;$C$74,"",(-$C$94*(E139+$C$5*E118)+E132+$C$5*E118)/-E137)</f>
        <v>1.4769530098577441</v>
      </c>
      <c r="F147" s="326">
        <f t="shared" si="31"/>
        <v>1.4666686646451121</v>
      </c>
      <c r="G147" s="326">
        <f t="shared" si="31"/>
        <v>1.4560281574084402</v>
      </c>
      <c r="H147" s="326">
        <f t="shared" si="31"/>
        <v>1.4450164649634585</v>
      </c>
      <c r="I147" s="326">
        <f t="shared" si="31"/>
        <v>1.433617848915163</v>
      </c>
      <c r="J147" s="326">
        <f t="shared" si="31"/>
        <v>1.4218158195793806</v>
      </c>
      <c r="K147" s="326">
        <f t="shared" si="31"/>
        <v>1.4095930980396199</v>
      </c>
      <c r="L147" s="326">
        <f t="shared" si="31"/>
        <v>1.3969315762418943</v>
      </c>
      <c r="M147" s="326">
        <f t="shared" si="31"/>
        <v>1.3838122750251185</v>
      </c>
      <c r="N147" s="326">
        <f t="shared" si="31"/>
        <v>1.3702152999792985</v>
      </c>
      <c r="O147" s="326">
        <f t="shared" si="31"/>
        <v>1.356119795018107</v>
      </c>
      <c r="P147" s="326">
        <f t="shared" si="31"/>
        <v>1.3415038935464769</v>
      </c>
      <c r="Q147" s="326">
        <f t="shared" si="31"/>
        <v>1.3263446670976109</v>
      </c>
      <c r="R147" s="326">
        <f t="shared" si="31"/>
        <v>1.3106180713072049</v>
      </c>
      <c r="S147" s="326">
        <f t="shared" si="31"/>
        <v>1.2942988890857683</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-23507.155395177146</v>
      </c>
      <c r="D150" s="271" t="s">
        <v>580</v>
      </c>
    </row>
    <row r="151" spans="1:44">
      <c r="B151" s="72" t="s">
        <v>581</v>
      </c>
      <c r="C151" s="272">
        <f>(1-$C$94)*NPV($C$91,E145:AR145)</f>
        <v>186215.15533360239</v>
      </c>
      <c r="D151" s="271" t="str">
        <f>$C$7</f>
        <v>kWh</v>
      </c>
      <c r="F151" s="273"/>
    </row>
    <row r="152" spans="1:44">
      <c r="B152" s="72" t="s">
        <v>582</v>
      </c>
      <c r="C152" s="272">
        <f>$C$41*1000000</f>
        <v>34590.449999999997</v>
      </c>
      <c r="D152" s="271" t="s">
        <v>528</v>
      </c>
      <c r="F152" s="46"/>
    </row>
    <row r="153" spans="1:44">
      <c r="B153" s="72" t="s">
        <v>583</v>
      </c>
      <c r="C153" s="274">
        <f>AVERAGE(E147:AR147)</f>
        <v>1.3926358353806934</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-0.13577964504472939</v>
      </c>
      <c r="D155" s="271"/>
      <c r="F155" s="46"/>
      <c r="G155" s="47"/>
    </row>
    <row r="156" spans="1:44">
      <c r="B156" s="72" t="s">
        <v>586</v>
      </c>
      <c r="C156" s="95" t="str">
        <f>IFERROR(IRR(D144:AR144),"n.v.t.")</f>
        <v>n.v.t.</v>
      </c>
      <c r="D156" s="271"/>
      <c r="G156" s="47"/>
    </row>
    <row r="157" spans="1:44">
      <c r="B157" s="72" t="s">
        <v>587</v>
      </c>
      <c r="C157" s="272">
        <f>$C$92*C152-C97</f>
        <v>24213.314999999995</v>
      </c>
      <c r="D157" s="271" t="s">
        <v>528</v>
      </c>
      <c r="F157" s="33"/>
    </row>
    <row r="158" spans="1:44">
      <c r="B158" s="72" t="s">
        <v>588</v>
      </c>
      <c r="C158" s="272">
        <f>$C$93*C152-C98</f>
        <v>10377.134999999998</v>
      </c>
      <c r="D158" s="271" t="s">
        <v>528</v>
      </c>
      <c r="F158" s="33"/>
    </row>
    <row r="159" spans="1:44">
      <c r="B159" s="72" t="s">
        <v>332</v>
      </c>
      <c r="C159" s="95">
        <f>IF(AND(E115&gt;0,E116&gt;0),ROUND(E116/E115,2),0)</f>
        <v>0</v>
      </c>
      <c r="D159" s="271" t="s">
        <v>589</v>
      </c>
      <c r="F159" s="33"/>
    </row>
    <row r="160" spans="1:44">
      <c r="B160" s="72" t="s">
        <v>590</v>
      </c>
      <c r="C160" s="95">
        <f>IF(C159=0,MAX(C29:C30),E118/SUM(C26,C28))</f>
        <v>1630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26" priority="3" operator="containsText" text="Pas op">
      <formula>NOT(ISERROR(SEARCH("Pas op",G1)))</formula>
    </cfRule>
  </conditionalFormatting>
  <conditionalFormatting sqref="G188">
    <cfRule type="containsText" dxfId="25" priority="2" operator="containsText" text="Pas op">
      <formula>NOT(ISERROR(SEARCH("Pas op",G188)))</formula>
    </cfRule>
  </conditionalFormatting>
  <conditionalFormatting sqref="G105">
    <cfRule type="containsText" dxfId="24"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0129CCAE-9FCF-4C6D-87F5-FE97ED371F49}">
      <formula1>"ja,nee"</formula1>
    </dataValidation>
    <dataValidation type="list" allowBlank="1" showErrorMessage="1" error="Alleen de opties aangegeven in de dropdownlijst zijn toegestaan" sqref="C7" xr:uid="{DB145900-6023-4F26-AD4B-48ACD9AA6C85}">
      <formula1>"t CO2,kWh"</formula1>
    </dataValidation>
    <dataValidation type="list" allowBlank="1" showErrorMessage="1" error="Alleen de opties aangegeven in de dropdownlijst zijn toegestaan" sqref="C14" xr:uid="{FA21B38D-9B92-490E-A68B-1DABE6201CF3}">
      <formula1>"Nee,Ja,Geen warmte"</formula1>
    </dataValidation>
    <dataValidation type="list" allowBlank="1" showErrorMessage="1" error="Alleen de opties aangegeven in de dropdownlijst zijn toegestaan" sqref="C9" xr:uid="{B254DA14-D262-4F5D-8670-D5BB65A94299}">
      <formula1>"Elektriciteit,Lagetemperatuurwarmte,Hogetemperatuurwarmte,Moleculen,CCS/CCU,Generiek"</formula1>
    </dataValidation>
    <dataValidation type="decimal" allowBlank="1" showErrorMessage="1" error="Alleen getallen tussen 0 en 1.0 toegestaan. Vul in met een punt, geen comma" sqref="C17:C18" xr:uid="{F03DC9B8-8321-4506-BD03-D26BAD74DEA2}">
      <formula1>0</formula1>
      <formula2>1</formula2>
    </dataValidation>
    <dataValidation type="decimal" operator="notBetween" allowBlank="1" showInputMessage="1" sqref="C39:C49" xr:uid="{251B4D52-E781-4D23-86E6-5DAE372F9791}">
      <formula1>0</formula1>
      <formula2>0</formula2>
    </dataValidation>
    <dataValidation type="decimal" operator="notBetween" allowBlank="1" showInputMessage="1" showErrorMessage="1" sqref="C52:C60 C63:C65 C67:C70" xr:uid="{09ECD8E6-81B3-4371-B56D-B48FF5BC3A5B}">
      <formula1>0</formula1>
      <formula2>0</formula2>
    </dataValidation>
    <dataValidation type="decimal" operator="greaterThanOrEqual" allowBlank="1" showInputMessage="1" sqref="C21 C24:C30 C33:C36" xr:uid="{C13B89CC-F2DD-49F8-8041-E22194427CDC}">
      <formula1>0</formula1>
    </dataValidation>
    <dataValidation type="decimal" operator="greaterThanOrEqual" allowBlank="1" showInputMessage="1" showErrorMessage="1" sqref="C73:C77" xr:uid="{7B03ECE4-A9CD-4C8A-8375-9524C862C288}">
      <formula1>0</formula1>
    </dataValidation>
    <dataValidation type="decimal" operator="greaterThan" allowBlank="1" showInputMessage="1" showErrorMessage="1" sqref="C80:C86 C89:C94" xr:uid="{6A8C178A-9B24-4C2D-BC15-8E801B69A71D}">
      <formula1>0</formula1>
    </dataValidation>
    <dataValidation type="list" operator="greaterThanOrEqual" allowBlank="1" showInputMessage="1" sqref="C23" xr:uid="{A18172E8-3650-4D92-80D7-0C9FA48025F7}">
      <formula1>"Ja"</formula1>
    </dataValidation>
    <dataValidation type="decimal" operator="greaterThan" allowBlank="1" showInputMessage="1" showErrorMessage="1" error="Alleen getallen boven de 0 toegstaan" sqref="C22" xr:uid="{9E7E9D01-FA42-4048-A426-2888F4701C6D}">
      <formula1>0</formula1>
    </dataValidation>
    <dataValidation operator="notBetween" allowBlank="1" showInputMessage="1" showErrorMessage="1" sqref="C66" xr:uid="{686FE8A8-57F5-4587-84AF-81637BF6C4B5}"/>
  </dataValidations>
  <pageMargins left="0.7" right="0.7" top="0.75" bottom="0.75" header="0.3" footer="0.3"/>
  <pageSetup paperSize="9" scale="14"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FA5F-BEFC-4B43-8763-FBC1FE8DDE82}">
  <sheetPr codeName="Sheet106">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620</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0.19600000000000001</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1234.2342342342342</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IFERROR(INDEX(Correcties!$A$1:$I$334,MATCH('14'!C12,Correcties!$A$1:$A$334,0),5),"")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1500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2290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3.4590449999999995E-2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13.8</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0.20699999999999999</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2.5399999999999999E-2</v>
      </c>
      <c r="D48" s="75" t="str">
        <f>CONCATENATE("Euro/",$C$7)</f>
        <v>Euro/kWh</v>
      </c>
      <c r="E48" s="417"/>
      <c r="F48" s="431"/>
      <c r="G48" s="431"/>
      <c r="H48" s="431"/>
      <c r="I48" s="431"/>
      <c r="J48" s="431"/>
      <c r="K48" s="431"/>
      <c r="L48" s="431"/>
      <c r="M48" s="432"/>
    </row>
    <row r="49" spans="2:13" ht="15" customHeight="1">
      <c r="B49" s="73" t="s">
        <v>472</v>
      </c>
      <c r="C49" s="331">
        <f>SUM(C45:C48)</f>
        <v>2.5399999999999999E-2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1500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337500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450000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-34590.449999999997</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22500</v>
      </c>
      <c r="F115" s="312">
        <f t="shared" si="4"/>
        <v>22500</v>
      </c>
      <c r="G115" s="312">
        <f t="shared" si="4"/>
        <v>22500</v>
      </c>
      <c r="H115" s="312">
        <f t="shared" si="4"/>
        <v>22500</v>
      </c>
      <c r="I115" s="312">
        <f t="shared" si="4"/>
        <v>22500</v>
      </c>
      <c r="J115" s="312">
        <f t="shared" si="4"/>
        <v>22500</v>
      </c>
      <c r="K115" s="312">
        <f t="shared" si="4"/>
        <v>22500</v>
      </c>
      <c r="L115" s="312">
        <f t="shared" si="4"/>
        <v>22500</v>
      </c>
      <c r="M115" s="312">
        <f t="shared" si="4"/>
        <v>22500</v>
      </c>
      <c r="N115" s="312">
        <f t="shared" si="4"/>
        <v>22500</v>
      </c>
      <c r="O115" s="312">
        <f t="shared" si="4"/>
        <v>22500</v>
      </c>
      <c r="P115" s="312">
        <f t="shared" si="4"/>
        <v>22500</v>
      </c>
      <c r="Q115" s="312">
        <f t="shared" si="4"/>
        <v>22500</v>
      </c>
      <c r="R115" s="312">
        <f t="shared" si="4"/>
        <v>22500</v>
      </c>
      <c r="S115" s="312">
        <f t="shared" si="4"/>
        <v>22500</v>
      </c>
      <c r="T115" s="312">
        <f t="shared" si="4"/>
        <v>22500</v>
      </c>
      <c r="U115" s="312">
        <f t="shared" si="4"/>
        <v>22500</v>
      </c>
      <c r="V115" s="312">
        <f t="shared" si="4"/>
        <v>22500</v>
      </c>
      <c r="W115" s="312">
        <f t="shared" si="4"/>
        <v>22500</v>
      </c>
      <c r="X115" s="312">
        <f t="shared" si="4"/>
        <v>22500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22500</v>
      </c>
      <c r="F118" s="315">
        <f t="shared" si="7"/>
        <v>22500</v>
      </c>
      <c r="G118" s="315">
        <f t="shared" si="7"/>
        <v>22500</v>
      </c>
      <c r="H118" s="315">
        <f t="shared" si="7"/>
        <v>22500</v>
      </c>
      <c r="I118" s="315">
        <f t="shared" si="7"/>
        <v>22500</v>
      </c>
      <c r="J118" s="315">
        <f t="shared" si="7"/>
        <v>22500</v>
      </c>
      <c r="K118" s="315">
        <f t="shared" si="7"/>
        <v>22500</v>
      </c>
      <c r="L118" s="315">
        <f t="shared" si="7"/>
        <v>22500</v>
      </c>
      <c r="M118" s="315">
        <f t="shared" si="7"/>
        <v>22500</v>
      </c>
      <c r="N118" s="315">
        <f t="shared" si="7"/>
        <v>22500</v>
      </c>
      <c r="O118" s="315">
        <f t="shared" si="7"/>
        <v>22500</v>
      </c>
      <c r="P118" s="315">
        <f t="shared" si="7"/>
        <v>22500</v>
      </c>
      <c r="Q118" s="315">
        <f t="shared" si="7"/>
        <v>22500</v>
      </c>
      <c r="R118" s="315">
        <f t="shared" si="7"/>
        <v>22500</v>
      </c>
      <c r="S118" s="315">
        <f t="shared" si="7"/>
        <v>22500</v>
      </c>
      <c r="T118" s="315">
        <f t="shared" si="7"/>
        <v>22500</v>
      </c>
      <c r="U118" s="315">
        <f t="shared" si="7"/>
        <v>22500</v>
      </c>
      <c r="V118" s="315">
        <f t="shared" si="7"/>
        <v>22500</v>
      </c>
      <c r="W118" s="315">
        <f t="shared" si="7"/>
        <v>22500</v>
      </c>
      <c r="X118" s="315">
        <f t="shared" si="7"/>
        <v>22500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-778.5</v>
      </c>
      <c r="F120" s="312">
        <f t="shared" si="8"/>
        <v>-794.07</v>
      </c>
      <c r="G120" s="312">
        <f t="shared" si="8"/>
        <v>-809.95140000000004</v>
      </c>
      <c r="H120" s="312">
        <f t="shared" si="8"/>
        <v>-826.15042799999992</v>
      </c>
      <c r="I120" s="312">
        <f t="shared" si="8"/>
        <v>-842.67343656000003</v>
      </c>
      <c r="J120" s="312">
        <f t="shared" si="8"/>
        <v>-859.52690529120002</v>
      </c>
      <c r="K120" s="312">
        <f t="shared" si="8"/>
        <v>-876.717443397024</v>
      </c>
      <c r="L120" s="312">
        <f t="shared" si="8"/>
        <v>-894.25179226496437</v>
      </c>
      <c r="M120" s="312">
        <f t="shared" si="8"/>
        <v>-912.13682811026376</v>
      </c>
      <c r="N120" s="312">
        <f t="shared" si="8"/>
        <v>-930.37956467246897</v>
      </c>
      <c r="O120" s="312">
        <f t="shared" si="8"/>
        <v>-948.98715596591842</v>
      </c>
      <c r="P120" s="312">
        <f t="shared" si="8"/>
        <v>-967.96689908523661</v>
      </c>
      <c r="Q120" s="312">
        <f t="shared" si="8"/>
        <v>-987.32623706694153</v>
      </c>
      <c r="R120" s="312">
        <f t="shared" si="8"/>
        <v>-1007.0727618082802</v>
      </c>
      <c r="S120" s="312">
        <f t="shared" si="8"/>
        <v>-1027.2142170444461</v>
      </c>
      <c r="T120" s="312">
        <f t="shared" si="8"/>
        <v>-1047.7585013853345</v>
      </c>
      <c r="U120" s="312">
        <f t="shared" si="8"/>
        <v>-1068.7136714130415</v>
      </c>
      <c r="V120" s="312">
        <f t="shared" si="8"/>
        <v>-1090.0879448413025</v>
      </c>
      <c r="W120" s="312">
        <f t="shared" si="8"/>
        <v>-1111.8897037381282</v>
      </c>
      <c r="X120" s="312">
        <f t="shared" si="8"/>
        <v>-1134.1274978128909</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1541.3557144657088</v>
      </c>
      <c r="U127" s="312">
        <f t="shared" si="15"/>
        <v>1572.1828287550234</v>
      </c>
      <c r="V127" s="312">
        <f t="shared" si="15"/>
        <v>1603.6264853301238</v>
      </c>
      <c r="W127" s="312">
        <f t="shared" si="15"/>
        <v>1635.6990150367262</v>
      </c>
      <c r="X127" s="312">
        <f t="shared" si="15"/>
        <v>1668.4129953374609</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1541.3557144657088</v>
      </c>
      <c r="U130" s="312">
        <f t="shared" si="17"/>
        <v>1572.1828287550234</v>
      </c>
      <c r="V130" s="312">
        <f t="shared" si="17"/>
        <v>1603.6264853301238</v>
      </c>
      <c r="W130" s="312">
        <f t="shared" si="17"/>
        <v>1635.6990150367262</v>
      </c>
      <c r="X130" s="312">
        <f t="shared" si="17"/>
        <v>1668.4129953374609</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-778.5</v>
      </c>
      <c r="F131" s="312">
        <f t="shared" si="18"/>
        <v>-794.07</v>
      </c>
      <c r="G131" s="312">
        <f t="shared" si="18"/>
        <v>-809.95140000000004</v>
      </c>
      <c r="H131" s="312">
        <f t="shared" si="18"/>
        <v>-826.15042799999992</v>
      </c>
      <c r="I131" s="312">
        <f t="shared" si="18"/>
        <v>-842.67343656000003</v>
      </c>
      <c r="J131" s="312">
        <f t="shared" si="18"/>
        <v>-859.52690529120002</v>
      </c>
      <c r="K131" s="312">
        <f t="shared" si="18"/>
        <v>-876.717443397024</v>
      </c>
      <c r="L131" s="312">
        <f t="shared" si="18"/>
        <v>-894.25179226496437</v>
      </c>
      <c r="M131" s="312">
        <f t="shared" si="18"/>
        <v>-912.13682811026376</v>
      </c>
      <c r="N131" s="312">
        <f t="shared" si="18"/>
        <v>-930.37956467246897</v>
      </c>
      <c r="O131" s="312">
        <f t="shared" si="18"/>
        <v>-948.98715596591842</v>
      </c>
      <c r="P131" s="312">
        <f t="shared" si="18"/>
        <v>-967.96689908523661</v>
      </c>
      <c r="Q131" s="312">
        <f t="shared" si="18"/>
        <v>-987.32623706694153</v>
      </c>
      <c r="R131" s="312">
        <f t="shared" si="18"/>
        <v>-1007.0727618082802</v>
      </c>
      <c r="S131" s="312">
        <f t="shared" si="18"/>
        <v>-1027.2142170444461</v>
      </c>
      <c r="T131" s="312">
        <f t="shared" si="18"/>
        <v>-1047.7585013853345</v>
      </c>
      <c r="U131" s="312">
        <f t="shared" si="18"/>
        <v>-1068.7136714130415</v>
      </c>
      <c r="V131" s="312">
        <f t="shared" si="18"/>
        <v>-1090.0879448413025</v>
      </c>
      <c r="W131" s="312">
        <f t="shared" si="18"/>
        <v>-1111.8897037381282</v>
      </c>
      <c r="X131" s="312">
        <f t="shared" si="18"/>
        <v>-1134.1274978128909</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-778.5</v>
      </c>
      <c r="F132" s="321">
        <f t="shared" si="19"/>
        <v>-794.07</v>
      </c>
      <c r="G132" s="321">
        <f t="shared" si="19"/>
        <v>-809.95140000000004</v>
      </c>
      <c r="H132" s="321">
        <f t="shared" si="19"/>
        <v>-826.15042799999992</v>
      </c>
      <c r="I132" s="321">
        <f t="shared" si="19"/>
        <v>-842.67343656000003</v>
      </c>
      <c r="J132" s="321">
        <f t="shared" si="19"/>
        <v>-859.52690529120002</v>
      </c>
      <c r="K132" s="321">
        <f t="shared" si="19"/>
        <v>-876.717443397024</v>
      </c>
      <c r="L132" s="321">
        <f t="shared" si="19"/>
        <v>-894.25179226496437</v>
      </c>
      <c r="M132" s="321">
        <f t="shared" si="19"/>
        <v>-912.13682811026376</v>
      </c>
      <c r="N132" s="321">
        <f t="shared" si="19"/>
        <v>-930.37956467246897</v>
      </c>
      <c r="O132" s="321">
        <f t="shared" si="19"/>
        <v>-948.98715596591842</v>
      </c>
      <c r="P132" s="321">
        <f t="shared" si="19"/>
        <v>-967.96689908523661</v>
      </c>
      <c r="Q132" s="321">
        <f t="shared" si="19"/>
        <v>-987.32623706694153</v>
      </c>
      <c r="R132" s="321">
        <f t="shared" si="19"/>
        <v>-1007.0727618082802</v>
      </c>
      <c r="S132" s="321">
        <f t="shared" si="19"/>
        <v>-1027.2142170444461</v>
      </c>
      <c r="T132" s="321">
        <f t="shared" si="19"/>
        <v>493.59721308037433</v>
      </c>
      <c r="U132" s="321">
        <f t="shared" si="19"/>
        <v>503.46915734198183</v>
      </c>
      <c r="V132" s="321">
        <f t="shared" si="19"/>
        <v>513.53854048882135</v>
      </c>
      <c r="W132" s="321">
        <f t="shared" si="19"/>
        <v>523.809311298598</v>
      </c>
      <c r="X132" s="321">
        <f t="shared" si="19"/>
        <v>534.28549752457002</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-1729.5224999999998</v>
      </c>
      <c r="F134" s="312">
        <f t="shared" si="20"/>
        <v>-1729.5224999999998</v>
      </c>
      <c r="G134" s="312">
        <f t="shared" si="20"/>
        <v>-1729.5224999999998</v>
      </c>
      <c r="H134" s="312">
        <f t="shared" si="20"/>
        <v>-1729.5224999999998</v>
      </c>
      <c r="I134" s="312">
        <f t="shared" si="20"/>
        <v>-1729.5224999999998</v>
      </c>
      <c r="J134" s="312">
        <f t="shared" si="20"/>
        <v>-1729.5224999999998</v>
      </c>
      <c r="K134" s="312">
        <f t="shared" si="20"/>
        <v>-1729.5224999999998</v>
      </c>
      <c r="L134" s="312">
        <f t="shared" si="20"/>
        <v>-1729.5224999999998</v>
      </c>
      <c r="M134" s="312">
        <f t="shared" si="20"/>
        <v>-1729.5224999999998</v>
      </c>
      <c r="N134" s="312">
        <f t="shared" si="20"/>
        <v>-1729.5224999999998</v>
      </c>
      <c r="O134" s="312">
        <f t="shared" si="20"/>
        <v>-1729.5224999999998</v>
      </c>
      <c r="P134" s="312">
        <f t="shared" si="20"/>
        <v>-1729.5224999999998</v>
      </c>
      <c r="Q134" s="312">
        <f t="shared" si="20"/>
        <v>-1729.5224999999998</v>
      </c>
      <c r="R134" s="312">
        <f t="shared" si="20"/>
        <v>-1729.5224999999998</v>
      </c>
      <c r="S134" s="312">
        <f t="shared" si="20"/>
        <v>-1729.5224999999998</v>
      </c>
      <c r="T134" s="312">
        <f t="shared" si="20"/>
        <v>-1729.5224999999998</v>
      </c>
      <c r="U134" s="312">
        <f t="shared" si="20"/>
        <v>-1729.5224999999998</v>
      </c>
      <c r="V134" s="312">
        <f t="shared" si="20"/>
        <v>-1729.5224999999998</v>
      </c>
      <c r="W134" s="312">
        <f t="shared" si="20"/>
        <v>-1729.5224999999998</v>
      </c>
      <c r="X134" s="312">
        <f t="shared" si="20"/>
        <v>-1729.5224999999998</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-1271.1990374999998</v>
      </c>
      <c r="F135" s="312">
        <f t="shared" si="21"/>
        <v>-1213.3885295304997</v>
      </c>
      <c r="G135" s="312">
        <f t="shared" si="21"/>
        <v>-1152.5429698926009</v>
      </c>
      <c r="H135" s="312">
        <f t="shared" si="21"/>
        <v>-1088.5030183737124</v>
      </c>
      <c r="I135" s="312">
        <f t="shared" si="21"/>
        <v>-1021.1009694000824</v>
      </c>
      <c r="J135" s="312">
        <f t="shared" si="21"/>
        <v>-950.16031285533654</v>
      </c>
      <c r="K135" s="312">
        <f t="shared" si="21"/>
        <v>-875.49527184199167</v>
      </c>
      <c r="L135" s="312">
        <f t="shared" si="21"/>
        <v>-796.9103161754465</v>
      </c>
      <c r="M135" s="312">
        <f t="shared" si="21"/>
        <v>-714.19965033640744</v>
      </c>
      <c r="N135" s="312">
        <f t="shared" si="21"/>
        <v>-627.14667454081871</v>
      </c>
      <c r="O135" s="312">
        <f t="shared" si="21"/>
        <v>-535.52341751596168</v>
      </c>
      <c r="P135" s="312">
        <f t="shared" si="21"/>
        <v>-439.08993949729978</v>
      </c>
      <c r="Q135" s="312">
        <f t="shared" si="21"/>
        <v>-337.59370388265791</v>
      </c>
      <c r="R135" s="312">
        <f t="shared" si="21"/>
        <v>-230.76891589824757</v>
      </c>
      <c r="S135" s="312">
        <f t="shared" si="21"/>
        <v>-118.33582654465559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-1101.1525327523814</v>
      </c>
      <c r="F136" s="312">
        <f t="shared" si="22"/>
        <v>-1158.9630407218813</v>
      </c>
      <c r="G136" s="312">
        <f t="shared" si="22"/>
        <v>-1219.8086003597803</v>
      </c>
      <c r="H136" s="312">
        <f t="shared" si="22"/>
        <v>-1283.8485518786686</v>
      </c>
      <c r="I136" s="312">
        <f t="shared" si="22"/>
        <v>-1351.2506008522987</v>
      </c>
      <c r="J136" s="312">
        <f t="shared" si="22"/>
        <v>-1422.1912573970444</v>
      </c>
      <c r="K136" s="312">
        <f t="shared" si="22"/>
        <v>-1496.8562984103892</v>
      </c>
      <c r="L136" s="312">
        <f t="shared" si="22"/>
        <v>-1575.4412540769347</v>
      </c>
      <c r="M136" s="312">
        <f t="shared" si="22"/>
        <v>-1658.1519199159736</v>
      </c>
      <c r="N136" s="312">
        <f t="shared" si="22"/>
        <v>-1745.2048957115621</v>
      </c>
      <c r="O136" s="312">
        <f t="shared" si="22"/>
        <v>-1836.8281527364193</v>
      </c>
      <c r="P136" s="312">
        <f t="shared" si="22"/>
        <v>-1933.2616307550813</v>
      </c>
      <c r="Q136" s="312">
        <f t="shared" si="22"/>
        <v>-2034.7578663697229</v>
      </c>
      <c r="R136" s="312">
        <f t="shared" si="22"/>
        <v>-2141.5826543541339</v>
      </c>
      <c r="S136" s="312">
        <f t="shared" si="22"/>
        <v>-2254.0157437077255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-2372.351570252381</v>
      </c>
      <c r="F137" s="321">
        <f t="shared" si="23"/>
        <v>-2372.351570252381</v>
      </c>
      <c r="G137" s="321">
        <f t="shared" si="23"/>
        <v>-2372.351570252381</v>
      </c>
      <c r="H137" s="321">
        <f t="shared" si="23"/>
        <v>-2372.351570252381</v>
      </c>
      <c r="I137" s="321">
        <f t="shared" si="23"/>
        <v>-2372.351570252381</v>
      </c>
      <c r="J137" s="321">
        <f t="shared" si="23"/>
        <v>-2372.351570252381</v>
      </c>
      <c r="K137" s="321">
        <f t="shared" si="23"/>
        <v>-2372.351570252381</v>
      </c>
      <c r="L137" s="321">
        <f t="shared" si="23"/>
        <v>-2372.351570252381</v>
      </c>
      <c r="M137" s="321">
        <f t="shared" si="23"/>
        <v>-2372.351570252381</v>
      </c>
      <c r="N137" s="321">
        <f t="shared" si="23"/>
        <v>-2372.351570252381</v>
      </c>
      <c r="O137" s="321">
        <f t="shared" si="23"/>
        <v>-2372.351570252381</v>
      </c>
      <c r="P137" s="321">
        <f t="shared" si="23"/>
        <v>-2372.351570252381</v>
      </c>
      <c r="Q137" s="321">
        <f t="shared" si="23"/>
        <v>-2372.351570252381</v>
      </c>
      <c r="R137" s="321">
        <f t="shared" si="23"/>
        <v>-2372.3515702523814</v>
      </c>
      <c r="S137" s="321">
        <f t="shared" si="23"/>
        <v>-2372.351570252381</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-3779.2215374999996</v>
      </c>
      <c r="F139" s="312">
        <f t="shared" si="24"/>
        <v>-3736.9810295304997</v>
      </c>
      <c r="G139" s="312">
        <f t="shared" si="24"/>
        <v>-3692.0168698926009</v>
      </c>
      <c r="H139" s="312">
        <f t="shared" si="24"/>
        <v>-3644.1759463737126</v>
      </c>
      <c r="I139" s="312">
        <f t="shared" si="24"/>
        <v>-3593.2969059600819</v>
      </c>
      <c r="J139" s="312">
        <f t="shared" si="24"/>
        <v>-3539.2097181465365</v>
      </c>
      <c r="K139" s="312">
        <f t="shared" si="24"/>
        <v>-3481.7352152390158</v>
      </c>
      <c r="L139" s="312">
        <f t="shared" si="24"/>
        <v>-3420.6846084404106</v>
      </c>
      <c r="M139" s="312">
        <f t="shared" si="24"/>
        <v>-3355.8589784466712</v>
      </c>
      <c r="N139" s="312">
        <f t="shared" si="24"/>
        <v>-3287.0487392132877</v>
      </c>
      <c r="O139" s="312">
        <f t="shared" si="24"/>
        <v>-3214.0330734818799</v>
      </c>
      <c r="P139" s="312">
        <f t="shared" si="24"/>
        <v>-3136.5793385825364</v>
      </c>
      <c r="Q139" s="312">
        <f t="shared" si="24"/>
        <v>-3054.4424409495991</v>
      </c>
      <c r="R139" s="312">
        <f t="shared" si="24"/>
        <v>-2967.3641777065277</v>
      </c>
      <c r="S139" s="312">
        <f t="shared" si="24"/>
        <v>-2875.0725435891013</v>
      </c>
      <c r="T139" s="312">
        <f t="shared" si="24"/>
        <v>-1235.9252869196255</v>
      </c>
      <c r="U139" s="312">
        <f t="shared" si="24"/>
        <v>-1226.053342658018</v>
      </c>
      <c r="V139" s="312">
        <f t="shared" si="24"/>
        <v>-1215.9839595111785</v>
      </c>
      <c r="W139" s="312">
        <f t="shared" si="24"/>
        <v>-1205.7131887014018</v>
      </c>
      <c r="X139" s="312">
        <f t="shared" si="24"/>
        <v>-1195.2370024754298</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718.05209212499994</v>
      </c>
      <c r="F140" s="312">
        <f t="shared" si="25"/>
        <v>710.02639561079491</v>
      </c>
      <c r="G140" s="312">
        <f t="shared" si="25"/>
        <v>701.48320527959413</v>
      </c>
      <c r="H140" s="312">
        <f t="shared" si="25"/>
        <v>692.39342981100538</v>
      </c>
      <c r="I140" s="312">
        <f t="shared" si="25"/>
        <v>682.72641213241559</v>
      </c>
      <c r="J140" s="312">
        <f t="shared" si="25"/>
        <v>672.44984644784199</v>
      </c>
      <c r="K140" s="312">
        <f t="shared" si="25"/>
        <v>661.52969089541307</v>
      </c>
      <c r="L140" s="312">
        <f t="shared" si="25"/>
        <v>649.93007560367801</v>
      </c>
      <c r="M140" s="312">
        <f t="shared" si="25"/>
        <v>637.61320590486753</v>
      </c>
      <c r="N140" s="312">
        <f t="shared" si="25"/>
        <v>624.53926045052469</v>
      </c>
      <c r="O140" s="312">
        <f t="shared" si="25"/>
        <v>610.66628396155716</v>
      </c>
      <c r="P140" s="312">
        <f t="shared" si="25"/>
        <v>595.9500743306819</v>
      </c>
      <c r="Q140" s="312">
        <f t="shared" si="25"/>
        <v>580.34406378042388</v>
      </c>
      <c r="R140" s="312">
        <f t="shared" si="25"/>
        <v>563.79919376424027</v>
      </c>
      <c r="S140" s="312">
        <f t="shared" si="25"/>
        <v>546.26378328192925</v>
      </c>
      <c r="T140" s="312">
        <f t="shared" si="25"/>
        <v>234.82580451472884</v>
      </c>
      <c r="U140" s="312">
        <f t="shared" si="25"/>
        <v>232.95013510502341</v>
      </c>
      <c r="V140" s="312">
        <f t="shared" si="25"/>
        <v>231.0369523071239</v>
      </c>
      <c r="W140" s="312">
        <f t="shared" si="25"/>
        <v>229.08550585326634</v>
      </c>
      <c r="X140" s="312">
        <f t="shared" si="25"/>
        <v>227.09503047033166</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-2432.799478127381</v>
      </c>
      <c r="F142" s="321">
        <f t="shared" si="26"/>
        <v>-2456.395174641586</v>
      </c>
      <c r="G142" s="321">
        <f t="shared" si="26"/>
        <v>-2480.8197649727867</v>
      </c>
      <c r="H142" s="321">
        <f t="shared" si="26"/>
        <v>-2506.1085684413756</v>
      </c>
      <c r="I142" s="321">
        <f t="shared" si="26"/>
        <v>-2532.2985946799654</v>
      </c>
      <c r="J142" s="321">
        <f t="shared" si="26"/>
        <v>-2559.4286290957389</v>
      </c>
      <c r="K142" s="321">
        <f t="shared" si="26"/>
        <v>-2587.5393227539917</v>
      </c>
      <c r="L142" s="321">
        <f t="shared" si="26"/>
        <v>-2616.6732869136677</v>
      </c>
      <c r="M142" s="321">
        <f t="shared" si="26"/>
        <v>-2646.8751924577773</v>
      </c>
      <c r="N142" s="321">
        <f t="shared" si="26"/>
        <v>-2678.1918744743252</v>
      </c>
      <c r="O142" s="321">
        <f t="shared" si="26"/>
        <v>-2710.6724422567422</v>
      </c>
      <c r="P142" s="321">
        <f t="shared" si="26"/>
        <v>-2744.3683950069353</v>
      </c>
      <c r="Q142" s="321">
        <f t="shared" si="26"/>
        <v>-2779.3337435388989</v>
      </c>
      <c r="R142" s="321">
        <f t="shared" si="26"/>
        <v>-2815.625138296421</v>
      </c>
      <c r="S142" s="321">
        <f t="shared" si="26"/>
        <v>-2853.3020040148976</v>
      </c>
      <c r="T142" s="321">
        <f t="shared" si="26"/>
        <v>728.42301759510315</v>
      </c>
      <c r="U142" s="321">
        <f t="shared" si="26"/>
        <v>736.4192924470052</v>
      </c>
      <c r="V142" s="321">
        <f t="shared" si="26"/>
        <v>744.57549279594525</v>
      </c>
      <c r="W142" s="321">
        <f t="shared" si="26"/>
        <v>752.89481715186434</v>
      </c>
      <c r="X142" s="321">
        <f t="shared" si="26"/>
        <v>761.38052799490174</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-34590.449999999997</v>
      </c>
      <c r="E143" s="312">
        <f t="shared" ref="E143:AR143" si="27">E132+E140</f>
        <v>-60.447907875000055</v>
      </c>
      <c r="F143" s="312">
        <f t="shared" si="27"/>
        <v>-84.043604389205143</v>
      </c>
      <c r="G143" s="312">
        <f t="shared" si="27"/>
        <v>-108.4681947204059</v>
      </c>
      <c r="H143" s="312">
        <f t="shared" si="27"/>
        <v>-133.75699818899454</v>
      </c>
      <c r="I143" s="312">
        <f t="shared" si="27"/>
        <v>-159.94702442758444</v>
      </c>
      <c r="J143" s="312">
        <f t="shared" si="27"/>
        <v>-187.07705884335803</v>
      </c>
      <c r="K143" s="312">
        <f t="shared" si="27"/>
        <v>-215.18775250161093</v>
      </c>
      <c r="L143" s="312">
        <f t="shared" si="27"/>
        <v>-244.32171666128636</v>
      </c>
      <c r="M143" s="312">
        <f t="shared" si="27"/>
        <v>-274.52362220539624</v>
      </c>
      <c r="N143" s="312">
        <f t="shared" si="27"/>
        <v>-305.84030422194428</v>
      </c>
      <c r="O143" s="312">
        <f t="shared" si="27"/>
        <v>-338.32087200436126</v>
      </c>
      <c r="P143" s="312">
        <f t="shared" si="27"/>
        <v>-372.0168247545547</v>
      </c>
      <c r="Q143" s="312">
        <f t="shared" si="27"/>
        <v>-406.98217328651765</v>
      </c>
      <c r="R143" s="312">
        <f t="shared" si="27"/>
        <v>-443.27356804403996</v>
      </c>
      <c r="S143" s="312">
        <f t="shared" si="27"/>
        <v>-480.95043376251681</v>
      </c>
      <c r="T143" s="312">
        <f t="shared" si="27"/>
        <v>728.42301759510315</v>
      </c>
      <c r="U143" s="312">
        <f t="shared" si="27"/>
        <v>736.4192924470052</v>
      </c>
      <c r="V143" s="312">
        <f t="shared" si="27"/>
        <v>744.57549279594525</v>
      </c>
      <c r="W143" s="312">
        <f t="shared" si="27"/>
        <v>752.89481715186434</v>
      </c>
      <c r="X143" s="312">
        <f t="shared" si="27"/>
        <v>761.38052799490174</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-10377.134999999998</v>
      </c>
      <c r="E144" s="312">
        <f t="shared" ref="E144:AR144" si="28">E142</f>
        <v>-2432.799478127381</v>
      </c>
      <c r="F144" s="312">
        <f t="shared" si="28"/>
        <v>-2456.395174641586</v>
      </c>
      <c r="G144" s="312">
        <f t="shared" si="28"/>
        <v>-2480.8197649727867</v>
      </c>
      <c r="H144" s="312">
        <f t="shared" si="28"/>
        <v>-2506.1085684413756</v>
      </c>
      <c r="I144" s="312">
        <f t="shared" si="28"/>
        <v>-2532.2985946799654</v>
      </c>
      <c r="J144" s="312">
        <f t="shared" si="28"/>
        <v>-2559.4286290957389</v>
      </c>
      <c r="K144" s="312">
        <f t="shared" si="28"/>
        <v>-2587.5393227539917</v>
      </c>
      <c r="L144" s="312">
        <f t="shared" si="28"/>
        <v>-2616.6732869136677</v>
      </c>
      <c r="M144" s="312">
        <f t="shared" si="28"/>
        <v>-2646.8751924577773</v>
      </c>
      <c r="N144" s="312">
        <f t="shared" si="28"/>
        <v>-2678.1918744743252</v>
      </c>
      <c r="O144" s="312">
        <f t="shared" si="28"/>
        <v>-2710.6724422567422</v>
      </c>
      <c r="P144" s="312">
        <f t="shared" si="28"/>
        <v>-2744.3683950069353</v>
      </c>
      <c r="Q144" s="312">
        <f t="shared" si="28"/>
        <v>-2779.3337435388989</v>
      </c>
      <c r="R144" s="312">
        <f t="shared" si="28"/>
        <v>-2815.625138296421</v>
      </c>
      <c r="S144" s="312">
        <f t="shared" si="28"/>
        <v>-2853.3020040148976</v>
      </c>
      <c r="T144" s="312">
        <f t="shared" si="28"/>
        <v>728.42301759510315</v>
      </c>
      <c r="U144" s="312">
        <f t="shared" si="28"/>
        <v>736.4192924470052</v>
      </c>
      <c r="V144" s="312">
        <f t="shared" si="28"/>
        <v>744.57549279594525</v>
      </c>
      <c r="W144" s="312">
        <f t="shared" si="28"/>
        <v>752.89481715186434</v>
      </c>
      <c r="X144" s="312">
        <f t="shared" si="28"/>
        <v>761.38052799490174</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22500</v>
      </c>
      <c r="F145" s="312">
        <f t="shared" si="29"/>
        <v>22500</v>
      </c>
      <c r="G145" s="312">
        <f t="shared" si="29"/>
        <v>22500</v>
      </c>
      <c r="H145" s="312">
        <f t="shared" si="29"/>
        <v>22500</v>
      </c>
      <c r="I145" s="312">
        <f t="shared" si="29"/>
        <v>22500</v>
      </c>
      <c r="J145" s="312">
        <f t="shared" si="29"/>
        <v>22500</v>
      </c>
      <c r="K145" s="312">
        <f t="shared" si="29"/>
        <v>22500</v>
      </c>
      <c r="L145" s="312">
        <f t="shared" si="29"/>
        <v>22500</v>
      </c>
      <c r="M145" s="312">
        <f t="shared" si="29"/>
        <v>22500</v>
      </c>
      <c r="N145" s="312">
        <f t="shared" si="29"/>
        <v>22500</v>
      </c>
      <c r="O145" s="312">
        <f t="shared" si="29"/>
        <v>22500</v>
      </c>
      <c r="P145" s="312">
        <f t="shared" si="29"/>
        <v>22500</v>
      </c>
      <c r="Q145" s="312">
        <f t="shared" si="29"/>
        <v>22500</v>
      </c>
      <c r="R145" s="312">
        <f t="shared" si="29"/>
        <v>22500</v>
      </c>
      <c r="S145" s="312">
        <f t="shared" si="29"/>
        <v>22500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34590.449999999997</v>
      </c>
      <c r="E146" s="323">
        <f t="shared" ref="E146:AR146" si="30">IF(E112&lt;=$C76,D146-($C$5*E118+E132+E135),D146-(E132+E135))</f>
        <v>32230.149037499996</v>
      </c>
      <c r="F146" s="323">
        <f t="shared" si="30"/>
        <v>29827.607567030496</v>
      </c>
      <c r="G146" s="323">
        <f t="shared" si="30"/>
        <v>27380.101936923096</v>
      </c>
      <c r="H146" s="323">
        <f t="shared" si="30"/>
        <v>24884.755383296808</v>
      </c>
      <c r="I146" s="323">
        <f t="shared" si="30"/>
        <v>22338.529789256889</v>
      </c>
      <c r="J146" s="323">
        <f t="shared" si="30"/>
        <v>19738.217007403426</v>
      </c>
      <c r="K146" s="323">
        <f t="shared" si="30"/>
        <v>17080.429722642442</v>
      </c>
      <c r="L146" s="323">
        <f t="shared" si="30"/>
        <v>14361.591831082853</v>
      </c>
      <c r="M146" s="323">
        <f t="shared" si="30"/>
        <v>11577.928309529525</v>
      </c>
      <c r="N146" s="323">
        <f t="shared" si="30"/>
        <v>8725.4545487428131</v>
      </c>
      <c r="O146" s="323">
        <f t="shared" si="30"/>
        <v>5799.9651222246939</v>
      </c>
      <c r="P146" s="323">
        <f t="shared" si="30"/>
        <v>2797.0219608072302</v>
      </c>
      <c r="Q146" s="323">
        <f t="shared" si="30"/>
        <v>-288.05809824317021</v>
      </c>
      <c r="R146" s="323">
        <f t="shared" si="30"/>
        <v>-3460.2164205366425</v>
      </c>
      <c r="S146" s="323">
        <f t="shared" si="30"/>
        <v>-6724.6663769475417</v>
      </c>
      <c r="T146" s="323">
        <f t="shared" si="30"/>
        <v>-7218.2635900279165</v>
      </c>
      <c r="U146" s="323">
        <f t="shared" si="30"/>
        <v>-7721.7327473698988</v>
      </c>
      <c r="V146" s="323">
        <f t="shared" si="30"/>
        <v>-8235.2712878587208</v>
      </c>
      <c r="W146" s="323">
        <f t="shared" si="30"/>
        <v>-8759.0805991573179</v>
      </c>
      <c r="X146" s="323">
        <f t="shared" si="30"/>
        <v>-9293.3660966818879</v>
      </c>
      <c r="Y146" s="323">
        <f t="shared" si="30"/>
        <v>-9293.3660966818879</v>
      </c>
      <c r="Z146" s="323">
        <f t="shared" si="30"/>
        <v>-9293.3660966818879</v>
      </c>
      <c r="AA146" s="323">
        <f t="shared" si="30"/>
        <v>-9293.3660966818879</v>
      </c>
      <c r="AB146" s="323">
        <f t="shared" si="30"/>
        <v>-9293.3660966818879</v>
      </c>
      <c r="AC146" s="323">
        <f t="shared" si="30"/>
        <v>-9293.3660966818879</v>
      </c>
      <c r="AD146" s="323">
        <f t="shared" si="30"/>
        <v>-9293.3660966818879</v>
      </c>
      <c r="AE146" s="323">
        <f t="shared" si="30"/>
        <v>-9293.3660966818879</v>
      </c>
      <c r="AF146" s="323">
        <f t="shared" si="30"/>
        <v>-9293.3660966818879</v>
      </c>
      <c r="AG146" s="323">
        <f t="shared" si="30"/>
        <v>-9293.3660966818879</v>
      </c>
      <c r="AH146" s="323">
        <f t="shared" si="30"/>
        <v>-9293.3660966818879</v>
      </c>
      <c r="AI146" s="323">
        <f t="shared" si="30"/>
        <v>-9293.3660966818879</v>
      </c>
      <c r="AJ146" s="323">
        <f t="shared" si="30"/>
        <v>-9293.3660966818879</v>
      </c>
      <c r="AK146" s="323">
        <f t="shared" si="30"/>
        <v>-9293.3660966818879</v>
      </c>
      <c r="AL146" s="323">
        <f t="shared" si="30"/>
        <v>-9293.3660966818879</v>
      </c>
      <c r="AM146" s="323">
        <f t="shared" si="30"/>
        <v>-9293.3660966818879</v>
      </c>
      <c r="AN146" s="323">
        <f t="shared" si="30"/>
        <v>-9293.3660966818879</v>
      </c>
      <c r="AO146" s="323">
        <f t="shared" si="30"/>
        <v>-9293.3660966818879</v>
      </c>
      <c r="AP146" s="323">
        <f t="shared" si="30"/>
        <v>-9293.3660966818879</v>
      </c>
      <c r="AQ146" s="323">
        <f t="shared" si="30"/>
        <v>-9293.3660966818879</v>
      </c>
      <c r="AR146" s="324">
        <f t="shared" si="30"/>
        <v>-9293.3660966818879</v>
      </c>
    </row>
    <row r="147" spans="1:44" ht="12.95" customHeight="1">
      <c r="B147" s="267" t="s">
        <v>577</v>
      </c>
      <c r="C147" s="268"/>
      <c r="D147" s="325"/>
      <c r="E147" s="326">
        <f t="shared" ref="E147:AR147" si="31">IF(E112&gt;$C$74,"",(-$C$94*(E139+$C$5*E118)+E132+$C$5*E118)/-E137)</f>
        <v>1.4802410132455264</v>
      </c>
      <c r="F147" s="326">
        <f t="shared" si="31"/>
        <v>1.4702948919327841</v>
      </c>
      <c r="G147" s="326">
        <f t="shared" si="31"/>
        <v>1.4599993730739993</v>
      </c>
      <c r="H147" s="326">
        <f t="shared" si="31"/>
        <v>1.4493395687744628</v>
      </c>
      <c r="I147" s="326">
        <f t="shared" si="31"/>
        <v>1.4382998786345214</v>
      </c>
      <c r="J147" s="326">
        <f t="shared" si="31"/>
        <v>1.4268639537252603</v>
      </c>
      <c r="K147" s="326">
        <f t="shared" si="31"/>
        <v>1.4150146587005508</v>
      </c>
      <c r="L147" s="326">
        <f t="shared" si="31"/>
        <v>1.402734031948178</v>
      </c>
      <c r="M147" s="326">
        <f t="shared" si="31"/>
        <v>1.3900032436776619</v>
      </c>
      <c r="N147" s="326">
        <f t="shared" si="31"/>
        <v>1.3768025518370268</v>
      </c>
      <c r="O147" s="326">
        <f t="shared" si="31"/>
        <v>1.3631112557451235</v>
      </c>
      <c r="P147" s="326">
        <f t="shared" si="31"/>
        <v>1.3489076473201678</v>
      </c>
      <c r="Q147" s="326">
        <f t="shared" si="31"/>
        <v>1.3341689597789097</v>
      </c>
      <c r="R147" s="326">
        <f t="shared" si="31"/>
        <v>1.3188713136742636</v>
      </c>
      <c r="S147" s="326">
        <f t="shared" si="31"/>
        <v>1.3029896601323021</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-23173.105313784323</v>
      </c>
      <c r="D150" s="271" t="s">
        <v>580</v>
      </c>
    </row>
    <row r="151" spans="1:44">
      <c r="B151" s="72" t="s">
        <v>581</v>
      </c>
      <c r="C151" s="272">
        <f>(1-$C$94)*NPV($C$91,E145:AR145)</f>
        <v>171363.63987754821</v>
      </c>
      <c r="D151" s="271" t="str">
        <f>$C$7</f>
        <v>kWh</v>
      </c>
      <c r="F151" s="273"/>
    </row>
    <row r="152" spans="1:44">
      <c r="B152" s="72" t="s">
        <v>582</v>
      </c>
      <c r="C152" s="272">
        <f>$C$41*1000000</f>
        <v>34590.449999999997</v>
      </c>
      <c r="D152" s="271" t="s">
        <v>528</v>
      </c>
      <c r="F152" s="46"/>
    </row>
    <row r="153" spans="1:44">
      <c r="B153" s="72" t="s">
        <v>583</v>
      </c>
      <c r="C153" s="274">
        <f>AVERAGE(E147:AR147)</f>
        <v>1.3985094668133826</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-0.13713314280232791</v>
      </c>
      <c r="D155" s="271"/>
      <c r="F155" s="46"/>
      <c r="G155" s="47"/>
    </row>
    <row r="156" spans="1:44">
      <c r="B156" s="72" t="s">
        <v>586</v>
      </c>
      <c r="C156" s="95" t="str">
        <f>IFERROR(IRR(D144:AR144),"n.v.t.")</f>
        <v>n.v.t.</v>
      </c>
      <c r="D156" s="271"/>
      <c r="G156" s="47"/>
    </row>
    <row r="157" spans="1:44">
      <c r="B157" s="72" t="s">
        <v>587</v>
      </c>
      <c r="C157" s="272">
        <f>$C$92*C152-C97</f>
        <v>24213.314999999995</v>
      </c>
      <c r="D157" s="271" t="s">
        <v>528</v>
      </c>
      <c r="F157" s="33"/>
    </row>
    <row r="158" spans="1:44">
      <c r="B158" s="72" t="s">
        <v>588</v>
      </c>
      <c r="C158" s="272">
        <f>$C$93*C152-C98</f>
        <v>10377.134999999998</v>
      </c>
      <c r="D158" s="271" t="s">
        <v>528</v>
      </c>
      <c r="F158" s="33"/>
    </row>
    <row r="159" spans="1:44">
      <c r="B159" s="72" t="s">
        <v>332</v>
      </c>
      <c r="C159" s="95">
        <f>IF(AND(E115&gt;0,E116&gt;0),ROUND(E116/E115,2),0)</f>
        <v>0</v>
      </c>
      <c r="D159" s="271" t="s">
        <v>589</v>
      </c>
      <c r="F159" s="33"/>
    </row>
    <row r="160" spans="1:44">
      <c r="B160" s="72" t="s">
        <v>590</v>
      </c>
      <c r="C160" s="95">
        <f>IF(C159=0,MAX(C29:C30),E118/SUM(C26,C28))</f>
        <v>1500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23" priority="3" operator="containsText" text="Pas op">
      <formula>NOT(ISERROR(SEARCH("Pas op",G1)))</formula>
    </cfRule>
  </conditionalFormatting>
  <conditionalFormatting sqref="G188">
    <cfRule type="containsText" dxfId="22" priority="2" operator="containsText" text="Pas op">
      <formula>NOT(ISERROR(SEARCH("Pas op",G188)))</formula>
    </cfRule>
  </conditionalFormatting>
  <conditionalFormatting sqref="G105">
    <cfRule type="containsText" dxfId="21"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EC0C5F6F-BE54-44D4-B76D-EB232A3FAA5A}">
      <formula1>"ja,nee"</formula1>
    </dataValidation>
    <dataValidation type="list" allowBlank="1" showErrorMessage="1" error="Alleen de opties aangegeven in de dropdownlijst zijn toegestaan" sqref="C7" xr:uid="{36EF025E-F8FD-445D-AAFA-F17EEDBEF82F}">
      <formula1>"t CO2,kWh"</formula1>
    </dataValidation>
    <dataValidation type="list" allowBlank="1" showErrorMessage="1" error="Alleen de opties aangegeven in de dropdownlijst zijn toegestaan" sqref="C14" xr:uid="{2AC14255-184C-40D3-8458-D7B1EA49FFBD}">
      <formula1>"Nee,Ja,Geen warmte"</formula1>
    </dataValidation>
    <dataValidation type="list" allowBlank="1" showErrorMessage="1" error="Alleen de opties aangegeven in de dropdownlijst zijn toegestaan" sqref="C9" xr:uid="{174F2E85-64EB-49A1-9325-6C15375AEA79}">
      <formula1>"Elektriciteit,Lagetemperatuurwarmte,Hogetemperatuurwarmte,Moleculen,CCS/CCU,Generiek"</formula1>
    </dataValidation>
    <dataValidation type="decimal" allowBlank="1" showErrorMessage="1" error="Alleen getallen tussen 0 en 1.0 toegestaan. Vul in met een punt, geen comma" sqref="C17:C18" xr:uid="{B43AE0C7-6706-4671-8A7D-BDBD3DA48D54}">
      <formula1>0</formula1>
      <formula2>1</formula2>
    </dataValidation>
    <dataValidation type="decimal" operator="notBetween" allowBlank="1" showInputMessage="1" sqref="C39:C49" xr:uid="{B2D2C67A-E1A1-40C3-A2D2-2D487D1F136B}">
      <formula1>0</formula1>
      <formula2>0</formula2>
    </dataValidation>
    <dataValidation type="decimal" operator="notBetween" allowBlank="1" showInputMessage="1" showErrorMessage="1" sqref="C52:C60 C63:C65 C67:C70" xr:uid="{58CAD677-6EFD-4B0D-8A90-AC53F75F9761}">
      <formula1>0</formula1>
      <formula2>0</formula2>
    </dataValidation>
    <dataValidation type="decimal" operator="greaterThanOrEqual" allowBlank="1" showInputMessage="1" sqref="C21 C24:C30 C33:C36" xr:uid="{6521507E-AD1A-4D92-A9C9-660CA236725D}">
      <formula1>0</formula1>
    </dataValidation>
    <dataValidation type="decimal" operator="greaterThanOrEqual" allowBlank="1" showInputMessage="1" showErrorMessage="1" sqref="C73:C77" xr:uid="{6AB8D55A-5F34-4D00-B92C-72FF0BA05FFD}">
      <formula1>0</formula1>
    </dataValidation>
    <dataValidation type="decimal" operator="greaterThan" allowBlank="1" showInputMessage="1" showErrorMessage="1" sqref="C80:C86 C89:C94" xr:uid="{B2C22CFB-4159-46C8-8252-110EA6ACE3FD}">
      <formula1>0</formula1>
    </dataValidation>
    <dataValidation type="list" operator="greaterThanOrEqual" allowBlank="1" showInputMessage="1" sqref="C23" xr:uid="{87E520F6-8AFB-48DD-B693-2E9E4789C7B5}">
      <formula1>"Ja"</formula1>
    </dataValidation>
    <dataValidation type="decimal" operator="greaterThan" allowBlank="1" showInputMessage="1" showErrorMessage="1" error="Alleen getallen boven de 0 toegstaan" sqref="C22" xr:uid="{2787A0B2-7FD3-4A71-9E77-25B76B5AD5B7}">
      <formula1>0</formula1>
    </dataValidation>
    <dataValidation operator="notBetween" allowBlank="1" showInputMessage="1" showErrorMessage="1" sqref="C66" xr:uid="{4AAC795B-7FE9-4AB2-92E2-89373A7750A8}"/>
  </dataValidations>
  <pageMargins left="0.7" right="0.7" top="0.75" bottom="0.75" header="0.3" footer="0.3"/>
  <pageSetup paperSize="9" scale="1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6D38-DF2E-44F9-8B53-A41F84BF6CC1}">
  <sheetPr codeName="Sheet107">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621</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0.21099999999999999</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1369.3693693693695</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IFERROR(INDEX(Correcties!$A$1:$I$334,MATCH('15'!C12,Correcties!$A$1:$A$334,0),5),"")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15</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1380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2290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3.4590449999999995E-2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13.8</v>
      </c>
      <c r="D43" s="75" t="str">
        <f>CONCATENATE("Euro/",$C$8,"/jaar")</f>
        <v>Euro/kW/jaar</v>
      </c>
      <c r="E43" s="417" t="s">
        <v>463</v>
      </c>
      <c r="F43" s="431"/>
      <c r="G43" s="431"/>
      <c r="H43" s="431"/>
      <c r="I43" s="431"/>
      <c r="J43" s="431"/>
      <c r="K43" s="431"/>
      <c r="L43" s="431"/>
      <c r="M43" s="432"/>
    </row>
    <row r="44" spans="2:13" ht="15" customHeight="1">
      <c r="B44" s="72" t="s">
        <v>465</v>
      </c>
      <c r="C44" s="239">
        <f>(C42*C21+C43*SUM(C26,C28))/1000</f>
        <v>0.20699999999999999</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2.5399999999999999E-2</v>
      </c>
      <c r="D48" s="75" t="str">
        <f>CONCATENATE("Euro/",$C$7)</f>
        <v>Euro/kWh</v>
      </c>
      <c r="E48" s="417"/>
      <c r="F48" s="431"/>
      <c r="G48" s="431"/>
      <c r="H48" s="431"/>
      <c r="I48" s="431"/>
      <c r="J48" s="431"/>
      <c r="K48" s="431"/>
      <c r="L48" s="431"/>
      <c r="M48" s="432"/>
    </row>
    <row r="49" spans="2:13" ht="15" customHeight="1">
      <c r="B49" s="73" t="s">
        <v>472</v>
      </c>
      <c r="C49" s="331">
        <f>SUM(C45:C48)</f>
        <v>2.5399999999999999E-2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1380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310500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414000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-34590.449999999997</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20700</v>
      </c>
      <c r="F115" s="312">
        <f t="shared" si="4"/>
        <v>20700</v>
      </c>
      <c r="G115" s="312">
        <f t="shared" si="4"/>
        <v>20700</v>
      </c>
      <c r="H115" s="312">
        <f t="shared" si="4"/>
        <v>20700</v>
      </c>
      <c r="I115" s="312">
        <f t="shared" si="4"/>
        <v>20700</v>
      </c>
      <c r="J115" s="312">
        <f t="shared" si="4"/>
        <v>20700</v>
      </c>
      <c r="K115" s="312">
        <f t="shared" si="4"/>
        <v>20700</v>
      </c>
      <c r="L115" s="312">
        <f t="shared" si="4"/>
        <v>20700</v>
      </c>
      <c r="M115" s="312">
        <f t="shared" si="4"/>
        <v>20700</v>
      </c>
      <c r="N115" s="312">
        <f t="shared" si="4"/>
        <v>20700</v>
      </c>
      <c r="O115" s="312">
        <f t="shared" si="4"/>
        <v>20700</v>
      </c>
      <c r="P115" s="312">
        <f t="shared" si="4"/>
        <v>20700</v>
      </c>
      <c r="Q115" s="312">
        <f t="shared" si="4"/>
        <v>20700</v>
      </c>
      <c r="R115" s="312">
        <f t="shared" si="4"/>
        <v>20700</v>
      </c>
      <c r="S115" s="312">
        <f t="shared" si="4"/>
        <v>20700</v>
      </c>
      <c r="T115" s="312">
        <f t="shared" si="4"/>
        <v>20700</v>
      </c>
      <c r="U115" s="312">
        <f t="shared" si="4"/>
        <v>20700</v>
      </c>
      <c r="V115" s="312">
        <f t="shared" si="4"/>
        <v>20700</v>
      </c>
      <c r="W115" s="312">
        <f t="shared" si="4"/>
        <v>20700</v>
      </c>
      <c r="X115" s="312">
        <f t="shared" si="4"/>
        <v>20700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20700</v>
      </c>
      <c r="F118" s="315">
        <f t="shared" si="7"/>
        <v>20700</v>
      </c>
      <c r="G118" s="315">
        <f t="shared" si="7"/>
        <v>20700</v>
      </c>
      <c r="H118" s="315">
        <f t="shared" si="7"/>
        <v>20700</v>
      </c>
      <c r="I118" s="315">
        <f t="shared" si="7"/>
        <v>20700</v>
      </c>
      <c r="J118" s="315">
        <f t="shared" si="7"/>
        <v>20700</v>
      </c>
      <c r="K118" s="315">
        <f t="shared" si="7"/>
        <v>20700</v>
      </c>
      <c r="L118" s="315">
        <f t="shared" si="7"/>
        <v>20700</v>
      </c>
      <c r="M118" s="315">
        <f t="shared" si="7"/>
        <v>20700</v>
      </c>
      <c r="N118" s="315">
        <f t="shared" si="7"/>
        <v>20700</v>
      </c>
      <c r="O118" s="315">
        <f t="shared" si="7"/>
        <v>20700</v>
      </c>
      <c r="P118" s="315">
        <f t="shared" si="7"/>
        <v>20700</v>
      </c>
      <c r="Q118" s="315">
        <f t="shared" si="7"/>
        <v>20700</v>
      </c>
      <c r="R118" s="315">
        <f t="shared" si="7"/>
        <v>20700</v>
      </c>
      <c r="S118" s="315">
        <f t="shared" si="7"/>
        <v>20700</v>
      </c>
      <c r="T118" s="315">
        <f t="shared" si="7"/>
        <v>20700</v>
      </c>
      <c r="U118" s="315">
        <f t="shared" si="7"/>
        <v>20700</v>
      </c>
      <c r="V118" s="315">
        <f t="shared" si="7"/>
        <v>20700</v>
      </c>
      <c r="W118" s="315">
        <f t="shared" si="7"/>
        <v>20700</v>
      </c>
      <c r="X118" s="315">
        <f t="shared" si="7"/>
        <v>20700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-732.78</v>
      </c>
      <c r="F120" s="312">
        <f t="shared" si="8"/>
        <v>-747.43560000000002</v>
      </c>
      <c r="G120" s="312">
        <f t="shared" si="8"/>
        <v>-762.38431199999991</v>
      </c>
      <c r="H120" s="312">
        <f t="shared" si="8"/>
        <v>-777.63199823999992</v>
      </c>
      <c r="I120" s="312">
        <f t="shared" si="8"/>
        <v>-793.18463820479997</v>
      </c>
      <c r="J120" s="312">
        <f t="shared" si="8"/>
        <v>-809.04833096889593</v>
      </c>
      <c r="K120" s="312">
        <f t="shared" si="8"/>
        <v>-825.22929758827399</v>
      </c>
      <c r="L120" s="312">
        <f t="shared" si="8"/>
        <v>-841.73388354003919</v>
      </c>
      <c r="M120" s="312">
        <f t="shared" si="8"/>
        <v>-858.56856121084013</v>
      </c>
      <c r="N120" s="312">
        <f t="shared" si="8"/>
        <v>-875.73993243505686</v>
      </c>
      <c r="O120" s="312">
        <f t="shared" si="8"/>
        <v>-893.25473108375809</v>
      </c>
      <c r="P120" s="312">
        <f t="shared" si="8"/>
        <v>-911.11982570543307</v>
      </c>
      <c r="Q120" s="312">
        <f t="shared" si="8"/>
        <v>-929.3422222195419</v>
      </c>
      <c r="R120" s="312">
        <f t="shared" si="8"/>
        <v>-947.92906666393264</v>
      </c>
      <c r="S120" s="312">
        <f t="shared" si="8"/>
        <v>-966.88764799721139</v>
      </c>
      <c r="T120" s="312">
        <f t="shared" si="8"/>
        <v>-986.22540095715533</v>
      </c>
      <c r="U120" s="312">
        <f t="shared" si="8"/>
        <v>-1005.9499089762986</v>
      </c>
      <c r="V120" s="312">
        <f t="shared" si="8"/>
        <v>-1026.0689071558247</v>
      </c>
      <c r="W120" s="312">
        <f t="shared" si="8"/>
        <v>-1046.5902852989411</v>
      </c>
      <c r="X120" s="312">
        <f t="shared" si="8"/>
        <v>-1067.52209100492</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1418.0472573084521</v>
      </c>
      <c r="U127" s="312">
        <f t="shared" si="15"/>
        <v>1446.4082024546215</v>
      </c>
      <c r="V127" s="312">
        <f t="shared" si="15"/>
        <v>1475.3363665037141</v>
      </c>
      <c r="W127" s="312">
        <f t="shared" si="15"/>
        <v>1504.8430938337881</v>
      </c>
      <c r="X127" s="312">
        <f t="shared" si="15"/>
        <v>1534.9399557104639</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1418.0472573084521</v>
      </c>
      <c r="U130" s="312">
        <f t="shared" si="17"/>
        <v>1446.4082024546215</v>
      </c>
      <c r="V130" s="312">
        <f t="shared" si="17"/>
        <v>1475.3363665037141</v>
      </c>
      <c r="W130" s="312">
        <f t="shared" si="17"/>
        <v>1504.8430938337881</v>
      </c>
      <c r="X130" s="312">
        <f t="shared" si="17"/>
        <v>1534.9399557104639</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-732.78</v>
      </c>
      <c r="F131" s="312">
        <f t="shared" si="18"/>
        <v>-747.43560000000002</v>
      </c>
      <c r="G131" s="312">
        <f t="shared" si="18"/>
        <v>-762.38431199999991</v>
      </c>
      <c r="H131" s="312">
        <f t="shared" si="18"/>
        <v>-777.63199823999992</v>
      </c>
      <c r="I131" s="312">
        <f t="shared" si="18"/>
        <v>-793.18463820479997</v>
      </c>
      <c r="J131" s="312">
        <f t="shared" si="18"/>
        <v>-809.04833096889593</v>
      </c>
      <c r="K131" s="312">
        <f t="shared" si="18"/>
        <v>-825.22929758827399</v>
      </c>
      <c r="L131" s="312">
        <f t="shared" si="18"/>
        <v>-841.73388354003919</v>
      </c>
      <c r="M131" s="312">
        <f t="shared" si="18"/>
        <v>-858.56856121084013</v>
      </c>
      <c r="N131" s="312">
        <f t="shared" si="18"/>
        <v>-875.73993243505686</v>
      </c>
      <c r="O131" s="312">
        <f t="shared" si="18"/>
        <v>-893.25473108375809</v>
      </c>
      <c r="P131" s="312">
        <f t="shared" si="18"/>
        <v>-911.11982570543307</v>
      </c>
      <c r="Q131" s="312">
        <f t="shared" si="18"/>
        <v>-929.3422222195419</v>
      </c>
      <c r="R131" s="312">
        <f t="shared" si="18"/>
        <v>-947.92906666393264</v>
      </c>
      <c r="S131" s="312">
        <f t="shared" si="18"/>
        <v>-966.88764799721139</v>
      </c>
      <c r="T131" s="312">
        <f t="shared" si="18"/>
        <v>-986.22540095715533</v>
      </c>
      <c r="U131" s="312">
        <f t="shared" si="18"/>
        <v>-1005.9499089762986</v>
      </c>
      <c r="V131" s="312">
        <f t="shared" si="18"/>
        <v>-1026.0689071558247</v>
      </c>
      <c r="W131" s="312">
        <f t="shared" si="18"/>
        <v>-1046.5902852989411</v>
      </c>
      <c r="X131" s="312">
        <f t="shared" si="18"/>
        <v>-1067.52209100492</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-732.78</v>
      </c>
      <c r="F132" s="321">
        <f t="shared" si="19"/>
        <v>-747.43560000000002</v>
      </c>
      <c r="G132" s="321">
        <f t="shared" si="19"/>
        <v>-762.38431199999991</v>
      </c>
      <c r="H132" s="321">
        <f t="shared" si="19"/>
        <v>-777.63199823999992</v>
      </c>
      <c r="I132" s="321">
        <f t="shared" si="19"/>
        <v>-793.18463820479997</v>
      </c>
      <c r="J132" s="321">
        <f t="shared" si="19"/>
        <v>-809.04833096889593</v>
      </c>
      <c r="K132" s="321">
        <f t="shared" si="19"/>
        <v>-825.22929758827399</v>
      </c>
      <c r="L132" s="321">
        <f t="shared" si="19"/>
        <v>-841.73388354003919</v>
      </c>
      <c r="M132" s="321">
        <f t="shared" si="19"/>
        <v>-858.56856121084013</v>
      </c>
      <c r="N132" s="321">
        <f t="shared" si="19"/>
        <v>-875.73993243505686</v>
      </c>
      <c r="O132" s="321">
        <f t="shared" si="19"/>
        <v>-893.25473108375809</v>
      </c>
      <c r="P132" s="321">
        <f t="shared" si="19"/>
        <v>-911.11982570543307</v>
      </c>
      <c r="Q132" s="321">
        <f t="shared" si="19"/>
        <v>-929.3422222195419</v>
      </c>
      <c r="R132" s="321">
        <f t="shared" si="19"/>
        <v>-947.92906666393264</v>
      </c>
      <c r="S132" s="321">
        <f t="shared" si="19"/>
        <v>-966.88764799721139</v>
      </c>
      <c r="T132" s="321">
        <f t="shared" si="19"/>
        <v>431.82185635129679</v>
      </c>
      <c r="U132" s="321">
        <f t="shared" si="19"/>
        <v>440.45829347832284</v>
      </c>
      <c r="V132" s="321">
        <f t="shared" si="19"/>
        <v>449.26745934788937</v>
      </c>
      <c r="W132" s="321">
        <f t="shared" si="19"/>
        <v>458.25280853484696</v>
      </c>
      <c r="X132" s="321">
        <f t="shared" si="19"/>
        <v>467.41786470554393</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-1729.5224999999998</v>
      </c>
      <c r="F134" s="312">
        <f t="shared" si="20"/>
        <v>-1729.5224999999998</v>
      </c>
      <c r="G134" s="312">
        <f t="shared" si="20"/>
        <v>-1729.5224999999998</v>
      </c>
      <c r="H134" s="312">
        <f t="shared" si="20"/>
        <v>-1729.5224999999998</v>
      </c>
      <c r="I134" s="312">
        <f t="shared" si="20"/>
        <v>-1729.5224999999998</v>
      </c>
      <c r="J134" s="312">
        <f t="shared" si="20"/>
        <v>-1729.5224999999998</v>
      </c>
      <c r="K134" s="312">
        <f t="shared" si="20"/>
        <v>-1729.5224999999998</v>
      </c>
      <c r="L134" s="312">
        <f t="shared" si="20"/>
        <v>-1729.5224999999998</v>
      </c>
      <c r="M134" s="312">
        <f t="shared" si="20"/>
        <v>-1729.5224999999998</v>
      </c>
      <c r="N134" s="312">
        <f t="shared" si="20"/>
        <v>-1729.5224999999998</v>
      </c>
      <c r="O134" s="312">
        <f t="shared" si="20"/>
        <v>-1729.5224999999998</v>
      </c>
      <c r="P134" s="312">
        <f t="shared" si="20"/>
        <v>-1729.5224999999998</v>
      </c>
      <c r="Q134" s="312">
        <f t="shared" si="20"/>
        <v>-1729.5224999999998</v>
      </c>
      <c r="R134" s="312">
        <f t="shared" si="20"/>
        <v>-1729.5224999999998</v>
      </c>
      <c r="S134" s="312">
        <f t="shared" si="20"/>
        <v>-1729.5224999999998</v>
      </c>
      <c r="T134" s="312">
        <f t="shared" si="20"/>
        <v>-1729.5224999999998</v>
      </c>
      <c r="U134" s="312">
        <f t="shared" si="20"/>
        <v>-1729.5224999999998</v>
      </c>
      <c r="V134" s="312">
        <f t="shared" si="20"/>
        <v>-1729.5224999999998</v>
      </c>
      <c r="W134" s="312">
        <f t="shared" si="20"/>
        <v>-1729.5224999999998</v>
      </c>
      <c r="X134" s="312">
        <f t="shared" si="20"/>
        <v>-1729.5224999999998</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-1271.1990374999998</v>
      </c>
      <c r="F135" s="312">
        <f t="shared" si="21"/>
        <v>-1213.3885295304997</v>
      </c>
      <c r="G135" s="312">
        <f t="shared" si="21"/>
        <v>-1152.5429698926009</v>
      </c>
      <c r="H135" s="312">
        <f t="shared" si="21"/>
        <v>-1088.5030183737124</v>
      </c>
      <c r="I135" s="312">
        <f t="shared" si="21"/>
        <v>-1021.1009694000824</v>
      </c>
      <c r="J135" s="312">
        <f t="shared" si="21"/>
        <v>-950.16031285533654</v>
      </c>
      <c r="K135" s="312">
        <f t="shared" si="21"/>
        <v>-875.49527184199167</v>
      </c>
      <c r="L135" s="312">
        <f t="shared" si="21"/>
        <v>-796.9103161754465</v>
      </c>
      <c r="M135" s="312">
        <f t="shared" si="21"/>
        <v>-714.19965033640744</v>
      </c>
      <c r="N135" s="312">
        <f t="shared" si="21"/>
        <v>-627.14667454081871</v>
      </c>
      <c r="O135" s="312">
        <f t="shared" si="21"/>
        <v>-535.52341751596168</v>
      </c>
      <c r="P135" s="312">
        <f t="shared" si="21"/>
        <v>-439.08993949729978</v>
      </c>
      <c r="Q135" s="312">
        <f t="shared" si="21"/>
        <v>-337.59370388265791</v>
      </c>
      <c r="R135" s="312">
        <f t="shared" si="21"/>
        <v>-230.76891589824757</v>
      </c>
      <c r="S135" s="312">
        <f t="shared" si="21"/>
        <v>-118.33582654465559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-1101.1525327523814</v>
      </c>
      <c r="F136" s="312">
        <f t="shared" si="22"/>
        <v>-1158.9630407218813</v>
      </c>
      <c r="G136" s="312">
        <f t="shared" si="22"/>
        <v>-1219.8086003597803</v>
      </c>
      <c r="H136" s="312">
        <f t="shared" si="22"/>
        <v>-1283.8485518786686</v>
      </c>
      <c r="I136" s="312">
        <f t="shared" si="22"/>
        <v>-1351.2506008522987</v>
      </c>
      <c r="J136" s="312">
        <f t="shared" si="22"/>
        <v>-1422.1912573970444</v>
      </c>
      <c r="K136" s="312">
        <f t="shared" si="22"/>
        <v>-1496.8562984103892</v>
      </c>
      <c r="L136" s="312">
        <f t="shared" si="22"/>
        <v>-1575.4412540769347</v>
      </c>
      <c r="M136" s="312">
        <f t="shared" si="22"/>
        <v>-1658.1519199159736</v>
      </c>
      <c r="N136" s="312">
        <f t="shared" si="22"/>
        <v>-1745.2048957115621</v>
      </c>
      <c r="O136" s="312">
        <f t="shared" si="22"/>
        <v>-1836.8281527364193</v>
      </c>
      <c r="P136" s="312">
        <f t="shared" si="22"/>
        <v>-1933.2616307550813</v>
      </c>
      <c r="Q136" s="312">
        <f t="shared" si="22"/>
        <v>-2034.7578663697229</v>
      </c>
      <c r="R136" s="312">
        <f t="shared" si="22"/>
        <v>-2141.5826543541339</v>
      </c>
      <c r="S136" s="312">
        <f t="shared" si="22"/>
        <v>-2254.0157437077255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-2372.351570252381</v>
      </c>
      <c r="F137" s="321">
        <f t="shared" si="23"/>
        <v>-2372.351570252381</v>
      </c>
      <c r="G137" s="321">
        <f t="shared" si="23"/>
        <v>-2372.351570252381</v>
      </c>
      <c r="H137" s="321">
        <f t="shared" si="23"/>
        <v>-2372.351570252381</v>
      </c>
      <c r="I137" s="321">
        <f t="shared" si="23"/>
        <v>-2372.351570252381</v>
      </c>
      <c r="J137" s="321">
        <f t="shared" si="23"/>
        <v>-2372.351570252381</v>
      </c>
      <c r="K137" s="321">
        <f t="shared" si="23"/>
        <v>-2372.351570252381</v>
      </c>
      <c r="L137" s="321">
        <f t="shared" si="23"/>
        <v>-2372.351570252381</v>
      </c>
      <c r="M137" s="321">
        <f t="shared" si="23"/>
        <v>-2372.351570252381</v>
      </c>
      <c r="N137" s="321">
        <f t="shared" si="23"/>
        <v>-2372.351570252381</v>
      </c>
      <c r="O137" s="321">
        <f t="shared" si="23"/>
        <v>-2372.351570252381</v>
      </c>
      <c r="P137" s="321">
        <f t="shared" si="23"/>
        <v>-2372.351570252381</v>
      </c>
      <c r="Q137" s="321">
        <f t="shared" si="23"/>
        <v>-2372.351570252381</v>
      </c>
      <c r="R137" s="321">
        <f t="shared" si="23"/>
        <v>-2372.3515702523814</v>
      </c>
      <c r="S137" s="321">
        <f t="shared" si="23"/>
        <v>-2372.351570252381</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-3733.5015374999994</v>
      </c>
      <c r="F139" s="312">
        <f t="shared" si="24"/>
        <v>-3690.3466295304997</v>
      </c>
      <c r="G139" s="312">
        <f t="shared" si="24"/>
        <v>-3644.4497818926006</v>
      </c>
      <c r="H139" s="312">
        <f t="shared" si="24"/>
        <v>-3595.6575166137118</v>
      </c>
      <c r="I139" s="312">
        <f t="shared" si="24"/>
        <v>-3543.808107604882</v>
      </c>
      <c r="J139" s="312">
        <f t="shared" si="24"/>
        <v>-3488.7311438242323</v>
      </c>
      <c r="K139" s="312">
        <f t="shared" si="24"/>
        <v>-3430.2470694302656</v>
      </c>
      <c r="L139" s="312">
        <f t="shared" si="24"/>
        <v>-3368.1666997154853</v>
      </c>
      <c r="M139" s="312">
        <f t="shared" si="24"/>
        <v>-3302.2907115472476</v>
      </c>
      <c r="N139" s="312">
        <f t="shared" si="24"/>
        <v>-3232.4091069758756</v>
      </c>
      <c r="O139" s="312">
        <f t="shared" si="24"/>
        <v>-3158.3006485997198</v>
      </c>
      <c r="P139" s="312">
        <f t="shared" si="24"/>
        <v>-3079.7322652027328</v>
      </c>
      <c r="Q139" s="312">
        <f t="shared" si="24"/>
        <v>-2996.4584261021996</v>
      </c>
      <c r="R139" s="312">
        <f t="shared" si="24"/>
        <v>-2908.2204825621802</v>
      </c>
      <c r="S139" s="312">
        <f t="shared" si="24"/>
        <v>-2814.7459745418669</v>
      </c>
      <c r="T139" s="312">
        <f t="shared" si="24"/>
        <v>-1297.7006436487031</v>
      </c>
      <c r="U139" s="312">
        <f t="shared" si="24"/>
        <v>-1289.0642065216771</v>
      </c>
      <c r="V139" s="312">
        <f t="shared" si="24"/>
        <v>-1280.2550406521104</v>
      </c>
      <c r="W139" s="312">
        <f t="shared" si="24"/>
        <v>-1271.2696914651528</v>
      </c>
      <c r="X139" s="312">
        <f t="shared" si="24"/>
        <v>-1262.1046352944559</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709.36529212499988</v>
      </c>
      <c r="F140" s="312">
        <f t="shared" si="25"/>
        <v>701.165859610795</v>
      </c>
      <c r="G140" s="312">
        <f t="shared" si="25"/>
        <v>692.44545855959416</v>
      </c>
      <c r="H140" s="312">
        <f t="shared" si="25"/>
        <v>683.17492815660523</v>
      </c>
      <c r="I140" s="312">
        <f t="shared" si="25"/>
        <v>673.32354044492763</v>
      </c>
      <c r="J140" s="312">
        <f t="shared" si="25"/>
        <v>662.85891732660411</v>
      </c>
      <c r="K140" s="312">
        <f t="shared" si="25"/>
        <v>651.74694319175046</v>
      </c>
      <c r="L140" s="312">
        <f t="shared" si="25"/>
        <v>639.95167294594216</v>
      </c>
      <c r="M140" s="312">
        <f t="shared" si="25"/>
        <v>627.43523519397706</v>
      </c>
      <c r="N140" s="312">
        <f t="shared" si="25"/>
        <v>614.15773032541642</v>
      </c>
      <c r="O140" s="312">
        <f t="shared" si="25"/>
        <v>600.07712323394674</v>
      </c>
      <c r="P140" s="312">
        <f t="shared" si="25"/>
        <v>585.14913038851921</v>
      </c>
      <c r="Q140" s="312">
        <f t="shared" si="25"/>
        <v>569.32710095941798</v>
      </c>
      <c r="R140" s="312">
        <f t="shared" si="25"/>
        <v>552.56189168681419</v>
      </c>
      <c r="S140" s="312">
        <f t="shared" si="25"/>
        <v>534.80173516295474</v>
      </c>
      <c r="T140" s="312">
        <f t="shared" si="25"/>
        <v>246.5631222932536</v>
      </c>
      <c r="U140" s="312">
        <f t="shared" si="25"/>
        <v>244.92219923911864</v>
      </c>
      <c r="V140" s="312">
        <f t="shared" si="25"/>
        <v>243.248457723901</v>
      </c>
      <c r="W140" s="312">
        <f t="shared" si="25"/>
        <v>241.54124137837906</v>
      </c>
      <c r="X140" s="312">
        <f t="shared" si="25"/>
        <v>239.79988070594661</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-2395.7662781273807</v>
      </c>
      <c r="F142" s="321">
        <f t="shared" si="26"/>
        <v>-2418.6213106415858</v>
      </c>
      <c r="G142" s="321">
        <f t="shared" si="26"/>
        <v>-2442.290423692787</v>
      </c>
      <c r="H142" s="321">
        <f t="shared" si="26"/>
        <v>-2466.8086403357756</v>
      </c>
      <c r="I142" s="321">
        <f t="shared" si="26"/>
        <v>-2492.2126680122528</v>
      </c>
      <c r="J142" s="321">
        <f t="shared" si="26"/>
        <v>-2518.540983894673</v>
      </c>
      <c r="K142" s="321">
        <f t="shared" si="26"/>
        <v>-2545.833924648904</v>
      </c>
      <c r="L142" s="321">
        <f t="shared" si="26"/>
        <v>-2574.1337808464777</v>
      </c>
      <c r="M142" s="321">
        <f t="shared" si="26"/>
        <v>-2603.484896269244</v>
      </c>
      <c r="N142" s="321">
        <f t="shared" si="26"/>
        <v>-2633.933772362021</v>
      </c>
      <c r="O142" s="321">
        <f t="shared" si="26"/>
        <v>-2665.5291781021924</v>
      </c>
      <c r="P142" s="321">
        <f t="shared" si="26"/>
        <v>-2698.3222655692948</v>
      </c>
      <c r="Q142" s="321">
        <f t="shared" si="26"/>
        <v>-2732.366691512505</v>
      </c>
      <c r="R142" s="321">
        <f t="shared" si="26"/>
        <v>-2767.7187452294997</v>
      </c>
      <c r="S142" s="321">
        <f t="shared" si="26"/>
        <v>-2804.4374830866377</v>
      </c>
      <c r="T142" s="321">
        <f t="shared" si="26"/>
        <v>678.38497864455042</v>
      </c>
      <c r="U142" s="321">
        <f t="shared" si="26"/>
        <v>685.38049271744148</v>
      </c>
      <c r="V142" s="321">
        <f t="shared" si="26"/>
        <v>692.51591707179034</v>
      </c>
      <c r="W142" s="321">
        <f t="shared" si="26"/>
        <v>699.79404991322599</v>
      </c>
      <c r="X142" s="321">
        <f t="shared" si="26"/>
        <v>707.21774541149057</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-34590.449999999997</v>
      </c>
      <c r="E143" s="312">
        <f t="shared" ref="E143:AR143" si="27">E132+E140</f>
        <v>-23.41470787500009</v>
      </c>
      <c r="F143" s="312">
        <f t="shared" si="27"/>
        <v>-46.269740389205026</v>
      </c>
      <c r="G143" s="312">
        <f t="shared" si="27"/>
        <v>-69.938853440405751</v>
      </c>
      <c r="H143" s="312">
        <f t="shared" si="27"/>
        <v>-94.457070083394683</v>
      </c>
      <c r="I143" s="312">
        <f t="shared" si="27"/>
        <v>-119.86109775987234</v>
      </c>
      <c r="J143" s="312">
        <f t="shared" si="27"/>
        <v>-146.18941364229181</v>
      </c>
      <c r="K143" s="312">
        <f t="shared" si="27"/>
        <v>-173.48235439652353</v>
      </c>
      <c r="L143" s="312">
        <f t="shared" si="27"/>
        <v>-201.78221059409702</v>
      </c>
      <c r="M143" s="312">
        <f t="shared" si="27"/>
        <v>-231.13332601686307</v>
      </c>
      <c r="N143" s="312">
        <f t="shared" si="27"/>
        <v>-261.58220210964043</v>
      </c>
      <c r="O143" s="312">
        <f t="shared" si="27"/>
        <v>-293.17760784981135</v>
      </c>
      <c r="P143" s="312">
        <f t="shared" si="27"/>
        <v>-325.97069531691386</v>
      </c>
      <c r="Q143" s="312">
        <f t="shared" si="27"/>
        <v>-360.01512126012392</v>
      </c>
      <c r="R143" s="312">
        <f t="shared" si="27"/>
        <v>-395.36717497711845</v>
      </c>
      <c r="S143" s="312">
        <f t="shared" si="27"/>
        <v>-432.08591283425665</v>
      </c>
      <c r="T143" s="312">
        <f t="shared" si="27"/>
        <v>678.38497864455042</v>
      </c>
      <c r="U143" s="312">
        <f t="shared" si="27"/>
        <v>685.38049271744148</v>
      </c>
      <c r="V143" s="312">
        <f t="shared" si="27"/>
        <v>692.51591707179034</v>
      </c>
      <c r="W143" s="312">
        <f t="shared" si="27"/>
        <v>699.79404991322599</v>
      </c>
      <c r="X143" s="312">
        <f t="shared" si="27"/>
        <v>707.21774541149057</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-10377.134999999998</v>
      </c>
      <c r="E144" s="312">
        <f t="shared" ref="E144:AR144" si="28">E142</f>
        <v>-2395.7662781273807</v>
      </c>
      <c r="F144" s="312">
        <f t="shared" si="28"/>
        <v>-2418.6213106415858</v>
      </c>
      <c r="G144" s="312">
        <f t="shared" si="28"/>
        <v>-2442.290423692787</v>
      </c>
      <c r="H144" s="312">
        <f t="shared" si="28"/>
        <v>-2466.8086403357756</v>
      </c>
      <c r="I144" s="312">
        <f t="shared" si="28"/>
        <v>-2492.2126680122528</v>
      </c>
      <c r="J144" s="312">
        <f t="shared" si="28"/>
        <v>-2518.540983894673</v>
      </c>
      <c r="K144" s="312">
        <f t="shared" si="28"/>
        <v>-2545.833924648904</v>
      </c>
      <c r="L144" s="312">
        <f t="shared" si="28"/>
        <v>-2574.1337808464777</v>
      </c>
      <c r="M144" s="312">
        <f t="shared" si="28"/>
        <v>-2603.484896269244</v>
      </c>
      <c r="N144" s="312">
        <f t="shared" si="28"/>
        <v>-2633.933772362021</v>
      </c>
      <c r="O144" s="312">
        <f t="shared" si="28"/>
        <v>-2665.5291781021924</v>
      </c>
      <c r="P144" s="312">
        <f t="shared" si="28"/>
        <v>-2698.3222655692948</v>
      </c>
      <c r="Q144" s="312">
        <f t="shared" si="28"/>
        <v>-2732.366691512505</v>
      </c>
      <c r="R144" s="312">
        <f t="shared" si="28"/>
        <v>-2767.7187452294997</v>
      </c>
      <c r="S144" s="312">
        <f t="shared" si="28"/>
        <v>-2804.4374830866377</v>
      </c>
      <c r="T144" s="312">
        <f t="shared" si="28"/>
        <v>678.38497864455042</v>
      </c>
      <c r="U144" s="312">
        <f t="shared" si="28"/>
        <v>685.38049271744148</v>
      </c>
      <c r="V144" s="312">
        <f t="shared" si="28"/>
        <v>692.51591707179034</v>
      </c>
      <c r="W144" s="312">
        <f t="shared" si="28"/>
        <v>699.79404991322599</v>
      </c>
      <c r="X144" s="312">
        <f t="shared" si="28"/>
        <v>707.21774541149057</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20700</v>
      </c>
      <c r="F145" s="312">
        <f t="shared" si="29"/>
        <v>20700</v>
      </c>
      <c r="G145" s="312">
        <f t="shared" si="29"/>
        <v>20700</v>
      </c>
      <c r="H145" s="312">
        <f t="shared" si="29"/>
        <v>20700</v>
      </c>
      <c r="I145" s="312">
        <f t="shared" si="29"/>
        <v>20700</v>
      </c>
      <c r="J145" s="312">
        <f t="shared" si="29"/>
        <v>20700</v>
      </c>
      <c r="K145" s="312">
        <f t="shared" si="29"/>
        <v>20700</v>
      </c>
      <c r="L145" s="312">
        <f t="shared" si="29"/>
        <v>20700</v>
      </c>
      <c r="M145" s="312">
        <f t="shared" si="29"/>
        <v>20700</v>
      </c>
      <c r="N145" s="312">
        <f t="shared" si="29"/>
        <v>20700</v>
      </c>
      <c r="O145" s="312">
        <f t="shared" si="29"/>
        <v>20700</v>
      </c>
      <c r="P145" s="312">
        <f t="shared" si="29"/>
        <v>20700</v>
      </c>
      <c r="Q145" s="312">
        <f t="shared" si="29"/>
        <v>20700</v>
      </c>
      <c r="R145" s="312">
        <f t="shared" si="29"/>
        <v>20700</v>
      </c>
      <c r="S145" s="312">
        <f t="shared" si="29"/>
        <v>20700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34590.449999999997</v>
      </c>
      <c r="E146" s="323">
        <f t="shared" ref="E146:AR146" si="30">IF(E112&lt;=$C76,D146-($C$5*E118+E132+E135),D146-(E132+E135))</f>
        <v>32226.729037499998</v>
      </c>
      <c r="F146" s="323">
        <f t="shared" si="30"/>
        <v>29819.853167030498</v>
      </c>
      <c r="G146" s="323">
        <f t="shared" si="30"/>
        <v>27367.080448923101</v>
      </c>
      <c r="H146" s="323">
        <f t="shared" si="30"/>
        <v>24865.515465536813</v>
      </c>
      <c r="I146" s="323">
        <f t="shared" si="30"/>
        <v>22312.101073141697</v>
      </c>
      <c r="J146" s="323">
        <f t="shared" si="30"/>
        <v>19703.60971696593</v>
      </c>
      <c r="K146" s="323">
        <f t="shared" si="30"/>
        <v>17036.634286396195</v>
      </c>
      <c r="L146" s="323">
        <f t="shared" si="30"/>
        <v>14307.578486111681</v>
      </c>
      <c r="M146" s="323">
        <f t="shared" si="30"/>
        <v>11512.646697658929</v>
      </c>
      <c r="N146" s="323">
        <f t="shared" si="30"/>
        <v>8647.8333046348052</v>
      </c>
      <c r="O146" s="323">
        <f t="shared" si="30"/>
        <v>5708.9114532345247</v>
      </c>
      <c r="P146" s="323">
        <f t="shared" si="30"/>
        <v>2691.4212184372577</v>
      </c>
      <c r="Q146" s="323">
        <f t="shared" si="30"/>
        <v>-409.34285546054252</v>
      </c>
      <c r="R146" s="323">
        <f t="shared" si="30"/>
        <v>-3598.3448728983622</v>
      </c>
      <c r="S146" s="323">
        <f t="shared" si="30"/>
        <v>-6880.8213983564947</v>
      </c>
      <c r="T146" s="323">
        <f t="shared" si="30"/>
        <v>-7312.6432547077911</v>
      </c>
      <c r="U146" s="323">
        <f t="shared" si="30"/>
        <v>-7753.1015481861141</v>
      </c>
      <c r="V146" s="323">
        <f t="shared" si="30"/>
        <v>-8202.3690075340037</v>
      </c>
      <c r="W146" s="323">
        <f t="shared" si="30"/>
        <v>-8660.6218160688513</v>
      </c>
      <c r="X146" s="323">
        <f t="shared" si="30"/>
        <v>-9128.0396807743946</v>
      </c>
      <c r="Y146" s="323">
        <f t="shared" si="30"/>
        <v>-9128.0396807743946</v>
      </c>
      <c r="Z146" s="323">
        <f t="shared" si="30"/>
        <v>-9128.0396807743946</v>
      </c>
      <c r="AA146" s="323">
        <f t="shared" si="30"/>
        <v>-9128.0396807743946</v>
      </c>
      <c r="AB146" s="323">
        <f t="shared" si="30"/>
        <v>-9128.0396807743946</v>
      </c>
      <c r="AC146" s="323">
        <f t="shared" si="30"/>
        <v>-9128.0396807743946</v>
      </c>
      <c r="AD146" s="323">
        <f t="shared" si="30"/>
        <v>-9128.0396807743946</v>
      </c>
      <c r="AE146" s="323">
        <f t="shared" si="30"/>
        <v>-9128.0396807743946</v>
      </c>
      <c r="AF146" s="323">
        <f t="shared" si="30"/>
        <v>-9128.0396807743946</v>
      </c>
      <c r="AG146" s="323">
        <f t="shared" si="30"/>
        <v>-9128.0396807743946</v>
      </c>
      <c r="AH146" s="323">
        <f t="shared" si="30"/>
        <v>-9128.0396807743946</v>
      </c>
      <c r="AI146" s="323">
        <f t="shared" si="30"/>
        <v>-9128.0396807743946</v>
      </c>
      <c r="AJ146" s="323">
        <f t="shared" si="30"/>
        <v>-9128.0396807743946</v>
      </c>
      <c r="AK146" s="323">
        <f t="shared" si="30"/>
        <v>-9128.0396807743946</v>
      </c>
      <c r="AL146" s="323">
        <f t="shared" si="30"/>
        <v>-9128.0396807743946</v>
      </c>
      <c r="AM146" s="323">
        <f t="shared" si="30"/>
        <v>-9128.0396807743946</v>
      </c>
      <c r="AN146" s="323">
        <f t="shared" si="30"/>
        <v>-9128.0396807743946</v>
      </c>
      <c r="AO146" s="323">
        <f t="shared" si="30"/>
        <v>-9128.0396807743946</v>
      </c>
      <c r="AP146" s="323">
        <f t="shared" si="30"/>
        <v>-9128.0396807743946</v>
      </c>
      <c r="AQ146" s="323">
        <f t="shared" si="30"/>
        <v>-9128.0396807743946</v>
      </c>
      <c r="AR146" s="324">
        <f t="shared" si="30"/>
        <v>-9128.0396807743946</v>
      </c>
    </row>
    <row r="147" spans="1:44" ht="12.95" customHeight="1">
      <c r="B147" s="267" t="s">
        <v>577</v>
      </c>
      <c r="C147" s="268"/>
      <c r="D147" s="325"/>
      <c r="E147" s="326">
        <f t="shared" ref="E147:AR147" si="31">IF(E112&gt;$C$74,"",(-$C$94*(E139+$C$5*E118)+E132+$C$5*E118)/-E137)</f>
        <v>1.4814087153832434</v>
      </c>
      <c r="F147" s="326">
        <f t="shared" si="31"/>
        <v>1.4717748007473221</v>
      </c>
      <c r="G147" s="326">
        <f t="shared" si="31"/>
        <v>1.4617977326988951</v>
      </c>
      <c r="H147" s="326">
        <f t="shared" si="31"/>
        <v>1.4514627482259232</v>
      </c>
      <c r="I147" s="326">
        <f t="shared" si="31"/>
        <v>1.4407543743090778</v>
      </c>
      <c r="J147" s="326">
        <f t="shared" si="31"/>
        <v>1.4296563919473748</v>
      </c>
      <c r="K147" s="326">
        <f t="shared" si="31"/>
        <v>1.4181517983211747</v>
      </c>
      <c r="L147" s="326">
        <f t="shared" si="31"/>
        <v>1.4062227669952809</v>
      </c>
      <c r="M147" s="326">
        <f t="shared" si="31"/>
        <v>1.3938506060597735</v>
      </c>
      <c r="N147" s="326">
        <f t="shared" si="31"/>
        <v>1.3810157141008479</v>
      </c>
      <c r="O147" s="326">
        <f t="shared" si="31"/>
        <v>1.3676975338882877</v>
      </c>
      <c r="P147" s="326">
        <f t="shared" si="31"/>
        <v>1.3538745036602622</v>
      </c>
      <c r="Q147" s="326">
        <f t="shared" si="31"/>
        <v>1.339524005879873</v>
      </c>
      <c r="R147" s="326">
        <f t="shared" si="31"/>
        <v>1.3246223133313124</v>
      </c>
      <c r="S147" s="326">
        <f t="shared" si="31"/>
        <v>1.3091445324165591</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-22864.751392498609</v>
      </c>
      <c r="D150" s="271" t="s">
        <v>580</v>
      </c>
    </row>
    <row r="151" spans="1:44">
      <c r="B151" s="72" t="s">
        <v>581</v>
      </c>
      <c r="C151" s="272">
        <f>(1-$C$94)*NPV($C$91,E145:AR145)</f>
        <v>157654.54868734433</v>
      </c>
      <c r="D151" s="271" t="str">
        <f>$C$7</f>
        <v>kWh</v>
      </c>
      <c r="F151" s="273"/>
    </row>
    <row r="152" spans="1:44">
      <c r="B152" s="72" t="s">
        <v>582</v>
      </c>
      <c r="C152" s="272">
        <f>$C$41*1000000</f>
        <v>34590.449999999997</v>
      </c>
      <c r="D152" s="271" t="s">
        <v>528</v>
      </c>
      <c r="F152" s="46"/>
    </row>
    <row r="153" spans="1:44">
      <c r="B153" s="72" t="s">
        <v>583</v>
      </c>
      <c r="C153" s="274">
        <f>AVERAGE(E147:AR147)</f>
        <v>1.402063902531014</v>
      </c>
      <c r="D153" s="271"/>
      <c r="F153" s="46"/>
    </row>
    <row r="154" spans="1:44">
      <c r="B154" s="72" t="s">
        <v>584</v>
      </c>
      <c r="C154" s="95" t="str">
        <f>CONCATENATE(ROUND(((1-$C$94)*$C$90*$C$92+$C$93*$C$91)*100,1),"% / ",ROUND((((1+(1-$C$94)*$C$90*$C$92+$C$93*$C$91)/(1+$C$89))-1)*100,1),"%")</f>
        <v>4,9% / 2,9%</v>
      </c>
      <c r="D154" s="271"/>
      <c r="F154" s="273"/>
      <c r="G154" s="47"/>
    </row>
    <row r="155" spans="1:44">
      <c r="B155" s="72" t="s">
        <v>585</v>
      </c>
      <c r="C155" s="95">
        <f>IFERROR(IRR(D143:AR143),"n.v.t.")</f>
        <v>-0.13848519955303884</v>
      </c>
      <c r="D155" s="271"/>
      <c r="F155" s="46"/>
      <c r="G155" s="47"/>
    </row>
    <row r="156" spans="1:44">
      <c r="B156" s="72" t="s">
        <v>586</v>
      </c>
      <c r="C156" s="95" t="str">
        <f>IFERROR(IRR(D144:AR144),"n.v.t.")</f>
        <v>n.v.t.</v>
      </c>
      <c r="D156" s="271"/>
      <c r="G156" s="47"/>
    </row>
    <row r="157" spans="1:44">
      <c r="B157" s="72" t="s">
        <v>587</v>
      </c>
      <c r="C157" s="272">
        <f>$C$92*C152-C97</f>
        <v>24213.314999999995</v>
      </c>
      <c r="D157" s="271" t="s">
        <v>528</v>
      </c>
      <c r="F157" s="33"/>
    </row>
    <row r="158" spans="1:44">
      <c r="B158" s="72" t="s">
        <v>588</v>
      </c>
      <c r="C158" s="272">
        <f>$C$93*C152-C98</f>
        <v>10377.134999999998</v>
      </c>
      <c r="D158" s="271" t="s">
        <v>528</v>
      </c>
      <c r="F158" s="33"/>
    </row>
    <row r="159" spans="1:44">
      <c r="B159" s="72" t="s">
        <v>332</v>
      </c>
      <c r="C159" s="95">
        <f>IF(AND(E115&gt;0,E116&gt;0),ROUND(E116/E115,2),0)</f>
        <v>0</v>
      </c>
      <c r="D159" s="271" t="s">
        <v>589</v>
      </c>
      <c r="F159" s="33"/>
    </row>
    <row r="160" spans="1:44">
      <c r="B160" s="72" t="s">
        <v>590</v>
      </c>
      <c r="C160" s="95">
        <f>IF(C159=0,MAX(C29:C30),E118/SUM(C26,C28))</f>
        <v>1380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20" priority="3" operator="containsText" text="Pas op">
      <formula>NOT(ISERROR(SEARCH("Pas op",G1)))</formula>
    </cfRule>
  </conditionalFormatting>
  <conditionalFormatting sqref="G188">
    <cfRule type="containsText" dxfId="19" priority="2" operator="containsText" text="Pas op">
      <formula>NOT(ISERROR(SEARCH("Pas op",G188)))</formula>
    </cfRule>
  </conditionalFormatting>
  <conditionalFormatting sqref="G105">
    <cfRule type="containsText" dxfId="18"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E50E2A67-908D-4480-ABF9-4AAF3A136C04}">
      <formula1>"ja,nee"</formula1>
    </dataValidation>
    <dataValidation type="list" allowBlank="1" showErrorMessage="1" error="Alleen de opties aangegeven in de dropdownlijst zijn toegestaan" sqref="C7" xr:uid="{DC788441-557D-4C21-9C89-38BA4BFEA9D3}">
      <formula1>"t CO2,kWh"</formula1>
    </dataValidation>
    <dataValidation type="list" allowBlank="1" showErrorMessage="1" error="Alleen de opties aangegeven in de dropdownlijst zijn toegestaan" sqref="C14" xr:uid="{AC9F3B51-A9D9-4697-B080-861030E50042}">
      <formula1>"Nee,Ja,Geen warmte"</formula1>
    </dataValidation>
    <dataValidation type="list" allowBlank="1" showErrorMessage="1" error="Alleen de opties aangegeven in de dropdownlijst zijn toegestaan" sqref="C9" xr:uid="{2DEFFD1D-0C32-4013-B6CC-C6536ED55BAF}">
      <formula1>"Elektriciteit,Lagetemperatuurwarmte,Hogetemperatuurwarmte,Moleculen,CCS/CCU,Generiek"</formula1>
    </dataValidation>
    <dataValidation type="decimal" allowBlank="1" showErrorMessage="1" error="Alleen getallen tussen 0 en 1.0 toegestaan. Vul in met een punt, geen comma" sqref="C17:C18" xr:uid="{FE88F717-B193-4A4B-80E4-7B262E03D4F9}">
      <formula1>0</formula1>
      <formula2>1</formula2>
    </dataValidation>
    <dataValidation type="decimal" operator="notBetween" allowBlank="1" showInputMessage="1" sqref="C39:C49" xr:uid="{F3DAD128-842F-4880-9156-0FACFD167B9B}">
      <formula1>0</formula1>
      <formula2>0</formula2>
    </dataValidation>
    <dataValidation type="decimal" operator="notBetween" allowBlank="1" showInputMessage="1" showErrorMessage="1" sqref="C52:C60 C63:C65 C67:C70" xr:uid="{FDA10885-B9B3-4085-B3B4-F9EF98121B3C}">
      <formula1>0</formula1>
      <formula2>0</formula2>
    </dataValidation>
    <dataValidation type="decimal" operator="greaterThanOrEqual" allowBlank="1" showInputMessage="1" sqref="C21 C24:C30 C33:C36" xr:uid="{30F1F121-7A79-449F-9162-3ADBDD5A8D74}">
      <formula1>0</formula1>
    </dataValidation>
    <dataValidation type="decimal" operator="greaterThanOrEqual" allowBlank="1" showInputMessage="1" showErrorMessage="1" sqref="C73:C77" xr:uid="{35755F75-116F-4DB5-A587-389219EBCF04}">
      <formula1>0</formula1>
    </dataValidation>
    <dataValidation type="decimal" operator="greaterThan" allowBlank="1" showInputMessage="1" showErrorMessage="1" sqref="C80:C86 C89:C94" xr:uid="{163CED83-A267-4991-9D15-FC2101AD831E}">
      <formula1>0</formula1>
    </dataValidation>
    <dataValidation type="list" operator="greaterThanOrEqual" allowBlank="1" showInputMessage="1" sqref="C23" xr:uid="{1BBEB7BD-66FB-4BC3-97B1-260576882E8B}">
      <formula1>"Ja"</formula1>
    </dataValidation>
    <dataValidation type="decimal" operator="greaterThan" allowBlank="1" showInputMessage="1" showErrorMessage="1" error="Alleen getallen boven de 0 toegstaan" sqref="C22" xr:uid="{2C6C0DF3-E43E-4921-809A-8033D487D132}">
      <formula1>0</formula1>
    </dataValidation>
    <dataValidation operator="notBetween" allowBlank="1" showInputMessage="1" showErrorMessage="1" sqref="C66" xr:uid="{11D32061-82B5-4487-BAB3-D5F929C70759}"/>
  </dataValidations>
  <pageMargins left="0.7" right="0.7" top="0.75" bottom="0.75" header="0.3" footer="0.3"/>
  <pageSetup paperSize="9" scale="14"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1DBA9-DBA0-4A57-A402-641E40C34754}">
  <sheetPr codeName="Sheet108">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622</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7.0000000000000007E-2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99.099099099099121</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IFERROR(INDEX(Correcties!$A$1:$I$334,MATCH('16'!C12,Correcties!$A$1:$A$334,0),5),"")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4500</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4500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3300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1580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7.1597699999999991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15</v>
      </c>
      <c r="D43" s="75" t="str">
        <f>CONCATENATE("Euro/",$C$8,"/jaar")</f>
        <v>Euro/kW/jaar</v>
      </c>
      <c r="E43" s="417" t="s">
        <v>463</v>
      </c>
      <c r="F43" s="431"/>
      <c r="G43" s="431"/>
      <c r="H43" s="431"/>
      <c r="I43" s="431"/>
      <c r="J43" s="431"/>
      <c r="K43" s="431"/>
      <c r="L43" s="431"/>
      <c r="M43" s="432"/>
    </row>
    <row r="44" spans="2:13" ht="15" customHeight="1">
      <c r="B44" s="72" t="s">
        <v>465</v>
      </c>
      <c r="C44" s="239">
        <f>(C42*C21+C43*SUM(C26,C28))/1000</f>
        <v>67.5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2.0299999999999999E-2</v>
      </c>
      <c r="D48" s="75" t="str">
        <f>CONCATENATE("Euro/",$C$7)</f>
        <v>Euro/kWh</v>
      </c>
      <c r="E48" s="417"/>
      <c r="F48" s="431"/>
      <c r="G48" s="431"/>
      <c r="H48" s="431"/>
      <c r="I48" s="431"/>
      <c r="J48" s="431"/>
      <c r="K48" s="431"/>
      <c r="L48" s="431"/>
      <c r="M48" s="432"/>
    </row>
    <row r="49" spans="2:13" ht="15" customHeight="1">
      <c r="B49" s="73" t="s">
        <v>472</v>
      </c>
      <c r="C49" s="331">
        <f>SUM(C45:C48)</f>
        <v>2.0299999999999999E-2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3300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222750000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297000000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-7159769.9999999991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14850000</v>
      </c>
      <c r="F115" s="312">
        <f t="shared" si="4"/>
        <v>14850000</v>
      </c>
      <c r="G115" s="312">
        <f t="shared" si="4"/>
        <v>14850000</v>
      </c>
      <c r="H115" s="312">
        <f t="shared" si="4"/>
        <v>14850000</v>
      </c>
      <c r="I115" s="312">
        <f t="shared" si="4"/>
        <v>14850000</v>
      </c>
      <c r="J115" s="312">
        <f t="shared" si="4"/>
        <v>14850000</v>
      </c>
      <c r="K115" s="312">
        <f t="shared" si="4"/>
        <v>14850000</v>
      </c>
      <c r="L115" s="312">
        <f t="shared" si="4"/>
        <v>14850000</v>
      </c>
      <c r="M115" s="312">
        <f t="shared" si="4"/>
        <v>14850000</v>
      </c>
      <c r="N115" s="312">
        <f t="shared" si="4"/>
        <v>14850000</v>
      </c>
      <c r="O115" s="312">
        <f t="shared" si="4"/>
        <v>14850000</v>
      </c>
      <c r="P115" s="312">
        <f t="shared" si="4"/>
        <v>14850000</v>
      </c>
      <c r="Q115" s="312">
        <f t="shared" si="4"/>
        <v>14850000</v>
      </c>
      <c r="R115" s="312">
        <f t="shared" si="4"/>
        <v>14850000</v>
      </c>
      <c r="S115" s="312">
        <f t="shared" si="4"/>
        <v>14850000</v>
      </c>
      <c r="T115" s="312">
        <f t="shared" si="4"/>
        <v>14850000</v>
      </c>
      <c r="U115" s="312">
        <f t="shared" si="4"/>
        <v>14850000</v>
      </c>
      <c r="V115" s="312">
        <f t="shared" si="4"/>
        <v>14850000</v>
      </c>
      <c r="W115" s="312">
        <f t="shared" si="4"/>
        <v>14850000</v>
      </c>
      <c r="X115" s="312">
        <f t="shared" si="4"/>
        <v>14850000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14850000</v>
      </c>
      <c r="F118" s="315">
        <f t="shared" si="7"/>
        <v>14850000</v>
      </c>
      <c r="G118" s="315">
        <f t="shared" si="7"/>
        <v>14850000</v>
      </c>
      <c r="H118" s="315">
        <f t="shared" si="7"/>
        <v>14850000</v>
      </c>
      <c r="I118" s="315">
        <f t="shared" si="7"/>
        <v>14850000</v>
      </c>
      <c r="J118" s="315">
        <f t="shared" si="7"/>
        <v>14850000</v>
      </c>
      <c r="K118" s="315">
        <f t="shared" si="7"/>
        <v>14850000</v>
      </c>
      <c r="L118" s="315">
        <f t="shared" si="7"/>
        <v>14850000</v>
      </c>
      <c r="M118" s="315">
        <f t="shared" si="7"/>
        <v>14850000</v>
      </c>
      <c r="N118" s="315">
        <f t="shared" si="7"/>
        <v>14850000</v>
      </c>
      <c r="O118" s="315">
        <f t="shared" si="7"/>
        <v>14850000</v>
      </c>
      <c r="P118" s="315">
        <f t="shared" si="7"/>
        <v>14850000</v>
      </c>
      <c r="Q118" s="315">
        <f t="shared" si="7"/>
        <v>14850000</v>
      </c>
      <c r="R118" s="315">
        <f t="shared" si="7"/>
        <v>14850000</v>
      </c>
      <c r="S118" s="315">
        <f t="shared" si="7"/>
        <v>14850000</v>
      </c>
      <c r="T118" s="315">
        <f t="shared" si="7"/>
        <v>14850000</v>
      </c>
      <c r="U118" s="315">
        <f t="shared" si="7"/>
        <v>14850000</v>
      </c>
      <c r="V118" s="315">
        <f t="shared" si="7"/>
        <v>14850000</v>
      </c>
      <c r="W118" s="315">
        <f t="shared" si="7"/>
        <v>14850000</v>
      </c>
      <c r="X118" s="315">
        <f t="shared" si="7"/>
        <v>14850000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-368955</v>
      </c>
      <c r="F120" s="312">
        <f t="shared" si="8"/>
        <v>-376334.10000000003</v>
      </c>
      <c r="G120" s="312">
        <f t="shared" si="8"/>
        <v>-383860.78200000001</v>
      </c>
      <c r="H120" s="312">
        <f t="shared" si="8"/>
        <v>-391537.99763999996</v>
      </c>
      <c r="I120" s="312">
        <f t="shared" si="8"/>
        <v>-399368.75759280002</v>
      </c>
      <c r="J120" s="312">
        <f t="shared" si="8"/>
        <v>-407356.132744656</v>
      </c>
      <c r="K120" s="312">
        <f t="shared" si="8"/>
        <v>-415503.25539954915</v>
      </c>
      <c r="L120" s="312">
        <f t="shared" si="8"/>
        <v>-423813.32050754002</v>
      </c>
      <c r="M120" s="312">
        <f t="shared" si="8"/>
        <v>-432289.58691769087</v>
      </c>
      <c r="N120" s="312">
        <f t="shared" si="8"/>
        <v>-440935.37865604472</v>
      </c>
      <c r="O120" s="312">
        <f t="shared" si="8"/>
        <v>-449754.08622916561</v>
      </c>
      <c r="P120" s="312">
        <f t="shared" si="8"/>
        <v>-458749.16795374884</v>
      </c>
      <c r="Q120" s="312">
        <f t="shared" si="8"/>
        <v>-467924.15131282387</v>
      </c>
      <c r="R120" s="312">
        <f t="shared" si="8"/>
        <v>-477282.63433908031</v>
      </c>
      <c r="S120" s="312">
        <f t="shared" si="8"/>
        <v>-486828.28702586197</v>
      </c>
      <c r="T120" s="312">
        <f t="shared" si="8"/>
        <v>-496564.85276637907</v>
      </c>
      <c r="U120" s="312">
        <f t="shared" si="8"/>
        <v>-506496.14982170676</v>
      </c>
      <c r="V120" s="312">
        <f t="shared" si="8"/>
        <v>-516626.07281814096</v>
      </c>
      <c r="W120" s="312">
        <f t="shared" si="8"/>
        <v>-526958.59427450364</v>
      </c>
      <c r="X120" s="312">
        <f t="shared" si="8"/>
        <v>-537497.76615999371</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1017294.7715473679</v>
      </c>
      <c r="U127" s="312">
        <f t="shared" si="15"/>
        <v>1037640.6669783155</v>
      </c>
      <c r="V127" s="312">
        <f t="shared" si="15"/>
        <v>1058393.4803178818</v>
      </c>
      <c r="W127" s="312">
        <f t="shared" si="15"/>
        <v>1079561.3499242393</v>
      </c>
      <c r="X127" s="312">
        <f t="shared" si="15"/>
        <v>1101152.5769227243</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1017294.7715473679</v>
      </c>
      <c r="U130" s="312">
        <f t="shared" si="17"/>
        <v>1037640.6669783155</v>
      </c>
      <c r="V130" s="312">
        <f t="shared" si="17"/>
        <v>1058393.4803178818</v>
      </c>
      <c r="W130" s="312">
        <f t="shared" si="17"/>
        <v>1079561.3499242393</v>
      </c>
      <c r="X130" s="312">
        <f t="shared" si="17"/>
        <v>1101152.5769227243</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-368955</v>
      </c>
      <c r="F131" s="312">
        <f t="shared" si="18"/>
        <v>-376334.10000000003</v>
      </c>
      <c r="G131" s="312">
        <f t="shared" si="18"/>
        <v>-383860.78200000001</v>
      </c>
      <c r="H131" s="312">
        <f t="shared" si="18"/>
        <v>-391537.99763999996</v>
      </c>
      <c r="I131" s="312">
        <f t="shared" si="18"/>
        <v>-399368.75759280002</v>
      </c>
      <c r="J131" s="312">
        <f t="shared" si="18"/>
        <v>-407356.132744656</v>
      </c>
      <c r="K131" s="312">
        <f t="shared" si="18"/>
        <v>-415503.25539954915</v>
      </c>
      <c r="L131" s="312">
        <f t="shared" si="18"/>
        <v>-423813.32050754002</v>
      </c>
      <c r="M131" s="312">
        <f t="shared" si="18"/>
        <v>-432289.58691769087</v>
      </c>
      <c r="N131" s="312">
        <f t="shared" si="18"/>
        <v>-440935.37865604472</v>
      </c>
      <c r="O131" s="312">
        <f t="shared" si="18"/>
        <v>-449754.08622916561</v>
      </c>
      <c r="P131" s="312">
        <f t="shared" si="18"/>
        <v>-458749.16795374884</v>
      </c>
      <c r="Q131" s="312">
        <f t="shared" si="18"/>
        <v>-467924.15131282387</v>
      </c>
      <c r="R131" s="312">
        <f t="shared" si="18"/>
        <v>-477282.63433908031</v>
      </c>
      <c r="S131" s="312">
        <f t="shared" si="18"/>
        <v>-486828.28702586197</v>
      </c>
      <c r="T131" s="312">
        <f t="shared" si="18"/>
        <v>-496564.85276637907</v>
      </c>
      <c r="U131" s="312">
        <f t="shared" si="18"/>
        <v>-506496.14982170676</v>
      </c>
      <c r="V131" s="312">
        <f t="shared" si="18"/>
        <v>-516626.07281814096</v>
      </c>
      <c r="W131" s="312">
        <f t="shared" si="18"/>
        <v>-526958.59427450364</v>
      </c>
      <c r="X131" s="312">
        <f t="shared" si="18"/>
        <v>-537497.76615999371</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-368955</v>
      </c>
      <c r="F132" s="321">
        <f t="shared" si="19"/>
        <v>-376334.10000000003</v>
      </c>
      <c r="G132" s="321">
        <f t="shared" si="19"/>
        <v>-383860.78200000001</v>
      </c>
      <c r="H132" s="321">
        <f t="shared" si="19"/>
        <v>-391537.99763999996</v>
      </c>
      <c r="I132" s="321">
        <f t="shared" si="19"/>
        <v>-399368.75759280002</v>
      </c>
      <c r="J132" s="321">
        <f t="shared" si="19"/>
        <v>-407356.132744656</v>
      </c>
      <c r="K132" s="321">
        <f t="shared" si="19"/>
        <v>-415503.25539954915</v>
      </c>
      <c r="L132" s="321">
        <f t="shared" si="19"/>
        <v>-423813.32050754002</v>
      </c>
      <c r="M132" s="321">
        <f t="shared" si="19"/>
        <v>-432289.58691769087</v>
      </c>
      <c r="N132" s="321">
        <f t="shared" si="19"/>
        <v>-440935.37865604472</v>
      </c>
      <c r="O132" s="321">
        <f t="shared" si="19"/>
        <v>-449754.08622916561</v>
      </c>
      <c r="P132" s="321">
        <f t="shared" si="19"/>
        <v>-458749.16795374884</v>
      </c>
      <c r="Q132" s="321">
        <f t="shared" si="19"/>
        <v>-467924.15131282387</v>
      </c>
      <c r="R132" s="321">
        <f t="shared" si="19"/>
        <v>-477282.63433908031</v>
      </c>
      <c r="S132" s="321">
        <f t="shared" si="19"/>
        <v>-486828.28702586197</v>
      </c>
      <c r="T132" s="321">
        <f t="shared" si="19"/>
        <v>520729.91878098884</v>
      </c>
      <c r="U132" s="321">
        <f t="shared" si="19"/>
        <v>531144.51715660864</v>
      </c>
      <c r="V132" s="321">
        <f t="shared" si="19"/>
        <v>541767.40749974083</v>
      </c>
      <c r="W132" s="321">
        <f t="shared" si="19"/>
        <v>552602.75564973569</v>
      </c>
      <c r="X132" s="321">
        <f t="shared" si="19"/>
        <v>563654.81076273054</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-357988.49999999994</v>
      </c>
      <c r="F134" s="312">
        <f t="shared" si="20"/>
        <v>-357988.49999999994</v>
      </c>
      <c r="G134" s="312">
        <f t="shared" si="20"/>
        <v>-357988.49999999994</v>
      </c>
      <c r="H134" s="312">
        <f t="shared" si="20"/>
        <v>-357988.49999999994</v>
      </c>
      <c r="I134" s="312">
        <f t="shared" si="20"/>
        <v>-357988.49999999994</v>
      </c>
      <c r="J134" s="312">
        <f t="shared" si="20"/>
        <v>-357988.49999999994</v>
      </c>
      <c r="K134" s="312">
        <f t="shared" si="20"/>
        <v>-357988.49999999994</v>
      </c>
      <c r="L134" s="312">
        <f t="shared" si="20"/>
        <v>-357988.49999999994</v>
      </c>
      <c r="M134" s="312">
        <f t="shared" si="20"/>
        <v>-357988.49999999994</v>
      </c>
      <c r="N134" s="312">
        <f t="shared" si="20"/>
        <v>-357988.49999999994</v>
      </c>
      <c r="O134" s="312">
        <f t="shared" si="20"/>
        <v>-357988.49999999994</v>
      </c>
      <c r="P134" s="312">
        <f t="shared" si="20"/>
        <v>-357988.49999999994</v>
      </c>
      <c r="Q134" s="312">
        <f t="shared" si="20"/>
        <v>-357988.49999999994</v>
      </c>
      <c r="R134" s="312">
        <f t="shared" si="20"/>
        <v>-357988.49999999994</v>
      </c>
      <c r="S134" s="312">
        <f t="shared" si="20"/>
        <v>-357988.49999999994</v>
      </c>
      <c r="T134" s="312">
        <f t="shared" si="20"/>
        <v>-357988.49999999994</v>
      </c>
      <c r="U134" s="312">
        <f t="shared" si="20"/>
        <v>-357988.49999999994</v>
      </c>
      <c r="V134" s="312">
        <f t="shared" si="20"/>
        <v>-357988.49999999994</v>
      </c>
      <c r="W134" s="312">
        <f t="shared" si="20"/>
        <v>-357988.49999999994</v>
      </c>
      <c r="X134" s="312">
        <f t="shared" si="20"/>
        <v>-357988.49999999994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-213003.15749999997</v>
      </c>
      <c r="F135" s="312">
        <f t="shared" si="21"/>
        <v>-202561.65212422441</v>
      </c>
      <c r="G135" s="312">
        <f t="shared" si="21"/>
        <v>-191676.38276997831</v>
      </c>
      <c r="H135" s="312">
        <f t="shared" si="21"/>
        <v>-180328.48946817676</v>
      </c>
      <c r="I135" s="312">
        <f t="shared" si="21"/>
        <v>-168498.31070104867</v>
      </c>
      <c r="J135" s="312">
        <f t="shared" si="21"/>
        <v>-156165.34933631762</v>
      </c>
      <c r="K135" s="312">
        <f t="shared" si="21"/>
        <v>-143308.23711358552</v>
      </c>
      <c r="L135" s="312">
        <f t="shared" si="21"/>
        <v>-129904.6976213873</v>
      </c>
      <c r="M135" s="312">
        <f t="shared" si="21"/>
        <v>-115931.50770077063</v>
      </c>
      <c r="N135" s="312">
        <f t="shared" si="21"/>
        <v>-101364.45720852781</v>
      </c>
      <c r="O135" s="312">
        <f t="shared" si="21"/>
        <v>-86178.307070364608</v>
      </c>
      <c r="P135" s="312">
        <f t="shared" si="21"/>
        <v>-70346.745551329499</v>
      </c>
      <c r="Q135" s="312">
        <f t="shared" si="21"/>
        <v>-53842.342667735393</v>
      </c>
      <c r="R135" s="312">
        <f t="shared" si="21"/>
        <v>-36636.502661588544</v>
      </c>
      <c r="S135" s="312">
        <f t="shared" si="21"/>
        <v>-18699.414455180442</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-245682.4794300143</v>
      </c>
      <c r="F136" s="312">
        <f t="shared" si="22"/>
        <v>-256123.98480578989</v>
      </c>
      <c r="G136" s="312">
        <f t="shared" si="22"/>
        <v>-267009.25416003598</v>
      </c>
      <c r="H136" s="312">
        <f t="shared" si="22"/>
        <v>-278357.14746183751</v>
      </c>
      <c r="I136" s="312">
        <f t="shared" si="22"/>
        <v>-290187.32622896566</v>
      </c>
      <c r="J136" s="312">
        <f t="shared" si="22"/>
        <v>-302520.28759369667</v>
      </c>
      <c r="K136" s="312">
        <f t="shared" si="22"/>
        <v>-315377.39981642872</v>
      </c>
      <c r="L136" s="312">
        <f t="shared" si="22"/>
        <v>-328780.93930862698</v>
      </c>
      <c r="M136" s="312">
        <f t="shared" si="22"/>
        <v>-342754.12922924361</v>
      </c>
      <c r="N136" s="312">
        <f t="shared" si="22"/>
        <v>-357321.17972148646</v>
      </c>
      <c r="O136" s="312">
        <f t="shared" si="22"/>
        <v>-372507.3298596497</v>
      </c>
      <c r="P136" s="312">
        <f t="shared" si="22"/>
        <v>-388338.89137868484</v>
      </c>
      <c r="Q136" s="312">
        <f t="shared" si="22"/>
        <v>-404843.29426227888</v>
      </c>
      <c r="R136" s="312">
        <f t="shared" si="22"/>
        <v>-422049.13426842575</v>
      </c>
      <c r="S136" s="312">
        <f t="shared" si="22"/>
        <v>-439986.22247483383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-458685.63693001424</v>
      </c>
      <c r="F137" s="321">
        <f t="shared" si="23"/>
        <v>-458685.6369300143</v>
      </c>
      <c r="G137" s="321">
        <f t="shared" si="23"/>
        <v>-458685.6369300143</v>
      </c>
      <c r="H137" s="321">
        <f t="shared" si="23"/>
        <v>-458685.63693001424</v>
      </c>
      <c r="I137" s="321">
        <f t="shared" si="23"/>
        <v>-458685.63693001436</v>
      </c>
      <c r="J137" s="321">
        <f t="shared" si="23"/>
        <v>-458685.6369300143</v>
      </c>
      <c r="K137" s="321">
        <f t="shared" si="23"/>
        <v>-458685.63693001424</v>
      </c>
      <c r="L137" s="321">
        <f t="shared" si="23"/>
        <v>-458685.6369300143</v>
      </c>
      <c r="M137" s="321">
        <f t="shared" si="23"/>
        <v>-458685.63693001424</v>
      </c>
      <c r="N137" s="321">
        <f t="shared" si="23"/>
        <v>-458685.63693001424</v>
      </c>
      <c r="O137" s="321">
        <f t="shared" si="23"/>
        <v>-458685.6369300143</v>
      </c>
      <c r="P137" s="321">
        <f t="shared" si="23"/>
        <v>-458685.63693001436</v>
      </c>
      <c r="Q137" s="321">
        <f t="shared" si="23"/>
        <v>-458685.6369300143</v>
      </c>
      <c r="R137" s="321">
        <f t="shared" si="23"/>
        <v>-458685.6369300143</v>
      </c>
      <c r="S137" s="321">
        <f t="shared" si="23"/>
        <v>-458685.6369300143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-939946.65749999997</v>
      </c>
      <c r="F139" s="312">
        <f t="shared" si="24"/>
        <v>-936884.25212422432</v>
      </c>
      <c r="G139" s="312">
        <f t="shared" si="24"/>
        <v>-933525.66476997826</v>
      </c>
      <c r="H139" s="312">
        <f t="shared" si="24"/>
        <v>-929854.98710817669</v>
      </c>
      <c r="I139" s="312">
        <f t="shared" si="24"/>
        <v>-925855.56829384866</v>
      </c>
      <c r="J139" s="312">
        <f t="shared" si="24"/>
        <v>-921509.98208097357</v>
      </c>
      <c r="K139" s="312">
        <f t="shared" si="24"/>
        <v>-916799.99251313461</v>
      </c>
      <c r="L139" s="312">
        <f t="shared" si="24"/>
        <v>-911706.51812892722</v>
      </c>
      <c r="M139" s="312">
        <f t="shared" si="24"/>
        <v>-906209.59461846144</v>
      </c>
      <c r="N139" s="312">
        <f t="shared" si="24"/>
        <v>-900288.33586457244</v>
      </c>
      <c r="O139" s="312">
        <f t="shared" si="24"/>
        <v>-893920.89329953014</v>
      </c>
      <c r="P139" s="312">
        <f t="shared" si="24"/>
        <v>-887084.41350507818</v>
      </c>
      <c r="Q139" s="312">
        <f t="shared" si="24"/>
        <v>-879754.99398055929</v>
      </c>
      <c r="R139" s="312">
        <f t="shared" si="24"/>
        <v>-871907.63700066879</v>
      </c>
      <c r="S139" s="312">
        <f t="shared" si="24"/>
        <v>-863516.20148104231</v>
      </c>
      <c r="T139" s="312">
        <f t="shared" si="24"/>
        <v>162741.4187809889</v>
      </c>
      <c r="U139" s="312">
        <f t="shared" si="24"/>
        <v>173156.01715660869</v>
      </c>
      <c r="V139" s="312">
        <f t="shared" si="24"/>
        <v>183778.90749974089</v>
      </c>
      <c r="W139" s="312">
        <f t="shared" si="24"/>
        <v>194614.25564973574</v>
      </c>
      <c r="X139" s="312">
        <f t="shared" si="24"/>
        <v>205666.3107627306</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178589.864925</v>
      </c>
      <c r="F140" s="312">
        <f t="shared" si="25"/>
        <v>178008.00790360261</v>
      </c>
      <c r="G140" s="312">
        <f t="shared" si="25"/>
        <v>177369.87630629586</v>
      </c>
      <c r="H140" s="312">
        <f t="shared" si="25"/>
        <v>176672.44755055357</v>
      </c>
      <c r="I140" s="312">
        <f t="shared" si="25"/>
        <v>175912.55797583124</v>
      </c>
      <c r="J140" s="312">
        <f t="shared" si="25"/>
        <v>175086.89659538498</v>
      </c>
      <c r="K140" s="312">
        <f t="shared" si="25"/>
        <v>174191.99857749557</v>
      </c>
      <c r="L140" s="312">
        <f t="shared" si="25"/>
        <v>173224.23844449618</v>
      </c>
      <c r="M140" s="312">
        <f t="shared" si="25"/>
        <v>172179.82297750769</v>
      </c>
      <c r="N140" s="312">
        <f t="shared" si="25"/>
        <v>171054.78381426877</v>
      </c>
      <c r="O140" s="312">
        <f t="shared" si="25"/>
        <v>169844.96972691073</v>
      </c>
      <c r="P140" s="312">
        <f t="shared" si="25"/>
        <v>168546.03856596485</v>
      </c>
      <c r="Q140" s="312">
        <f t="shared" si="25"/>
        <v>167153.44885630626</v>
      </c>
      <c r="R140" s="312">
        <f t="shared" si="25"/>
        <v>165662.45103012706</v>
      </c>
      <c r="S140" s="312">
        <f t="shared" si="25"/>
        <v>164068.07828139805</v>
      </c>
      <c r="T140" s="312">
        <f t="shared" si="25"/>
        <v>-30920.86956838789</v>
      </c>
      <c r="U140" s="312">
        <f t="shared" si="25"/>
        <v>-32899.643259755649</v>
      </c>
      <c r="V140" s="312">
        <f t="shared" si="25"/>
        <v>-34917.992424950768</v>
      </c>
      <c r="W140" s="312">
        <f t="shared" si="25"/>
        <v>-36976.708573449789</v>
      </c>
      <c r="X140" s="312">
        <f t="shared" si="25"/>
        <v>-39076.599044918818</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-649050.77200501424</v>
      </c>
      <c r="F142" s="321">
        <f t="shared" si="26"/>
        <v>-657011.72902641166</v>
      </c>
      <c r="G142" s="321">
        <f t="shared" si="26"/>
        <v>-665176.5426237185</v>
      </c>
      <c r="H142" s="321">
        <f t="shared" si="26"/>
        <v>-673551.1870194606</v>
      </c>
      <c r="I142" s="321">
        <f t="shared" si="26"/>
        <v>-682141.8365469831</v>
      </c>
      <c r="J142" s="321">
        <f t="shared" si="26"/>
        <v>-690954.87307928526</v>
      </c>
      <c r="K142" s="321">
        <f t="shared" si="26"/>
        <v>-699996.89375206782</v>
      </c>
      <c r="L142" s="321">
        <f t="shared" si="26"/>
        <v>-709274.7189930582</v>
      </c>
      <c r="M142" s="321">
        <f t="shared" si="26"/>
        <v>-718795.40087019745</v>
      </c>
      <c r="N142" s="321">
        <f t="shared" si="26"/>
        <v>-728566.23177179019</v>
      </c>
      <c r="O142" s="321">
        <f t="shared" si="26"/>
        <v>-738594.75343226921</v>
      </c>
      <c r="P142" s="321">
        <f t="shared" si="26"/>
        <v>-748888.76631779829</v>
      </c>
      <c r="Q142" s="321">
        <f t="shared" si="26"/>
        <v>-759456.33938653185</v>
      </c>
      <c r="R142" s="321">
        <f t="shared" si="26"/>
        <v>-770305.82023896766</v>
      </c>
      <c r="S142" s="321">
        <f t="shared" si="26"/>
        <v>-781445.84567447822</v>
      </c>
      <c r="T142" s="321">
        <f t="shared" si="26"/>
        <v>489809.04921260092</v>
      </c>
      <c r="U142" s="321">
        <f t="shared" si="26"/>
        <v>498244.87389685301</v>
      </c>
      <c r="V142" s="321">
        <f t="shared" si="26"/>
        <v>506849.41507479007</v>
      </c>
      <c r="W142" s="321">
        <f t="shared" si="26"/>
        <v>515626.04707628587</v>
      </c>
      <c r="X142" s="321">
        <f t="shared" si="26"/>
        <v>524578.21171781176</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-7159769.9999999981</v>
      </c>
      <c r="E143" s="312">
        <f t="shared" ref="E143:AR143" si="27">E132+E140</f>
        <v>-190365.135075</v>
      </c>
      <c r="F143" s="312">
        <f t="shared" si="27"/>
        <v>-198326.09209639742</v>
      </c>
      <c r="G143" s="312">
        <f t="shared" si="27"/>
        <v>-206490.90569370415</v>
      </c>
      <c r="H143" s="312">
        <f t="shared" si="27"/>
        <v>-214865.55008944639</v>
      </c>
      <c r="I143" s="312">
        <f t="shared" si="27"/>
        <v>-223456.19961696878</v>
      </c>
      <c r="J143" s="312">
        <f t="shared" si="27"/>
        <v>-232269.23614927102</v>
      </c>
      <c r="K143" s="312">
        <f t="shared" si="27"/>
        <v>-241311.25682205358</v>
      </c>
      <c r="L143" s="312">
        <f t="shared" si="27"/>
        <v>-250589.08206304384</v>
      </c>
      <c r="M143" s="312">
        <f t="shared" si="27"/>
        <v>-260109.76394018318</v>
      </c>
      <c r="N143" s="312">
        <f t="shared" si="27"/>
        <v>-269880.59484177595</v>
      </c>
      <c r="O143" s="312">
        <f t="shared" si="27"/>
        <v>-279909.11650225485</v>
      </c>
      <c r="P143" s="312">
        <f t="shared" si="27"/>
        <v>-290203.12938778399</v>
      </c>
      <c r="Q143" s="312">
        <f t="shared" si="27"/>
        <v>-300770.70245651761</v>
      </c>
      <c r="R143" s="312">
        <f t="shared" si="27"/>
        <v>-311620.18330895324</v>
      </c>
      <c r="S143" s="312">
        <f t="shared" si="27"/>
        <v>-322760.20874446392</v>
      </c>
      <c r="T143" s="312">
        <f t="shared" si="27"/>
        <v>489809.04921260092</v>
      </c>
      <c r="U143" s="312">
        <f t="shared" si="27"/>
        <v>498244.87389685301</v>
      </c>
      <c r="V143" s="312">
        <f t="shared" si="27"/>
        <v>506849.41507479007</v>
      </c>
      <c r="W143" s="312">
        <f t="shared" si="27"/>
        <v>515626.04707628587</v>
      </c>
      <c r="X143" s="312">
        <f t="shared" si="27"/>
        <v>524578.21171781176</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-2147930.9999999995</v>
      </c>
      <c r="E144" s="312">
        <f t="shared" ref="E144:AR144" si="28">E142</f>
        <v>-649050.77200501424</v>
      </c>
      <c r="F144" s="312">
        <f t="shared" si="28"/>
        <v>-657011.72902641166</v>
      </c>
      <c r="G144" s="312">
        <f t="shared" si="28"/>
        <v>-665176.5426237185</v>
      </c>
      <c r="H144" s="312">
        <f t="shared" si="28"/>
        <v>-673551.1870194606</v>
      </c>
      <c r="I144" s="312">
        <f t="shared" si="28"/>
        <v>-682141.8365469831</v>
      </c>
      <c r="J144" s="312">
        <f t="shared" si="28"/>
        <v>-690954.87307928526</v>
      </c>
      <c r="K144" s="312">
        <f t="shared" si="28"/>
        <v>-699996.89375206782</v>
      </c>
      <c r="L144" s="312">
        <f t="shared" si="28"/>
        <v>-709274.7189930582</v>
      </c>
      <c r="M144" s="312">
        <f t="shared" si="28"/>
        <v>-718795.40087019745</v>
      </c>
      <c r="N144" s="312">
        <f t="shared" si="28"/>
        <v>-728566.23177179019</v>
      </c>
      <c r="O144" s="312">
        <f t="shared" si="28"/>
        <v>-738594.75343226921</v>
      </c>
      <c r="P144" s="312">
        <f t="shared" si="28"/>
        <v>-748888.76631779829</v>
      </c>
      <c r="Q144" s="312">
        <f t="shared" si="28"/>
        <v>-759456.33938653185</v>
      </c>
      <c r="R144" s="312">
        <f t="shared" si="28"/>
        <v>-770305.82023896766</v>
      </c>
      <c r="S144" s="312">
        <f t="shared" si="28"/>
        <v>-781445.84567447822</v>
      </c>
      <c r="T144" s="312">
        <f t="shared" si="28"/>
        <v>489809.04921260092</v>
      </c>
      <c r="U144" s="312">
        <f t="shared" si="28"/>
        <v>498244.87389685301</v>
      </c>
      <c r="V144" s="312">
        <f t="shared" si="28"/>
        <v>506849.41507479007</v>
      </c>
      <c r="W144" s="312">
        <f t="shared" si="28"/>
        <v>515626.04707628587</v>
      </c>
      <c r="X144" s="312">
        <f t="shared" si="28"/>
        <v>524578.21171781176</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14850000</v>
      </c>
      <c r="F145" s="312">
        <f t="shared" si="29"/>
        <v>14850000</v>
      </c>
      <c r="G145" s="312">
        <f t="shared" si="29"/>
        <v>14850000</v>
      </c>
      <c r="H145" s="312">
        <f t="shared" si="29"/>
        <v>14850000</v>
      </c>
      <c r="I145" s="312">
        <f t="shared" si="29"/>
        <v>14850000</v>
      </c>
      <c r="J145" s="312">
        <f t="shared" si="29"/>
        <v>14850000</v>
      </c>
      <c r="K145" s="312">
        <f t="shared" si="29"/>
        <v>14850000</v>
      </c>
      <c r="L145" s="312">
        <f t="shared" si="29"/>
        <v>14850000</v>
      </c>
      <c r="M145" s="312">
        <f t="shared" si="29"/>
        <v>14850000</v>
      </c>
      <c r="N145" s="312">
        <f t="shared" si="29"/>
        <v>14850000</v>
      </c>
      <c r="O145" s="312">
        <f t="shared" si="29"/>
        <v>14850000</v>
      </c>
      <c r="P145" s="312">
        <f t="shared" si="29"/>
        <v>14850000</v>
      </c>
      <c r="Q145" s="312">
        <f t="shared" si="29"/>
        <v>14850000</v>
      </c>
      <c r="R145" s="312">
        <f t="shared" si="29"/>
        <v>14850000</v>
      </c>
      <c r="S145" s="312">
        <f t="shared" si="29"/>
        <v>14850000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7159769.9999999991</v>
      </c>
      <c r="E146" s="323">
        <f t="shared" ref="E146:AR146" si="30">IF(E112&lt;=$C76,D146-($C$5*E118+E132+E135),D146-(E132+E135))</f>
        <v>6702228.1574999988</v>
      </c>
      <c r="F146" s="323">
        <f t="shared" si="30"/>
        <v>6241623.9096242227</v>
      </c>
      <c r="G146" s="323">
        <f t="shared" si="30"/>
        <v>5777661.0743942009</v>
      </c>
      <c r="H146" s="323">
        <f t="shared" si="30"/>
        <v>5310027.5615023775</v>
      </c>
      <c r="I146" s="323">
        <f t="shared" si="30"/>
        <v>4838394.6297962256</v>
      </c>
      <c r="J146" s="323">
        <f t="shared" si="30"/>
        <v>4362416.1118771993</v>
      </c>
      <c r="K146" s="323">
        <f t="shared" si="30"/>
        <v>3881727.6043903339</v>
      </c>
      <c r="L146" s="323">
        <f t="shared" si="30"/>
        <v>3395945.6225192612</v>
      </c>
      <c r="M146" s="323">
        <f t="shared" si="30"/>
        <v>2904666.7171377223</v>
      </c>
      <c r="N146" s="323">
        <f t="shared" si="30"/>
        <v>2407466.5530022946</v>
      </c>
      <c r="O146" s="323">
        <f t="shared" si="30"/>
        <v>1903898.9463018249</v>
      </c>
      <c r="P146" s="323">
        <f t="shared" si="30"/>
        <v>1393494.8598069032</v>
      </c>
      <c r="Q146" s="323">
        <f t="shared" si="30"/>
        <v>875761.35378746234</v>
      </c>
      <c r="R146" s="323">
        <f t="shared" si="30"/>
        <v>350180.49078813114</v>
      </c>
      <c r="S146" s="323">
        <f t="shared" si="30"/>
        <v>-183791.80773082655</v>
      </c>
      <c r="T146" s="323">
        <f t="shared" si="30"/>
        <v>-704521.72651181533</v>
      </c>
      <c r="U146" s="323">
        <f t="shared" si="30"/>
        <v>-1235666.243668424</v>
      </c>
      <c r="V146" s="323">
        <f t="shared" si="30"/>
        <v>-1777433.6511681648</v>
      </c>
      <c r="W146" s="323">
        <f t="shared" si="30"/>
        <v>-2330036.4068179005</v>
      </c>
      <c r="X146" s="323">
        <f t="shared" si="30"/>
        <v>-2893691.2175806309</v>
      </c>
      <c r="Y146" s="323">
        <f t="shared" si="30"/>
        <v>-2893691.2175806309</v>
      </c>
      <c r="Z146" s="323">
        <f t="shared" si="30"/>
        <v>-2893691.2175806309</v>
      </c>
      <c r="AA146" s="323">
        <f t="shared" si="30"/>
        <v>-2893691.2175806309</v>
      </c>
      <c r="AB146" s="323">
        <f t="shared" si="30"/>
        <v>-2893691.2175806309</v>
      </c>
      <c r="AC146" s="323">
        <f t="shared" si="30"/>
        <v>-2893691.2175806309</v>
      </c>
      <c r="AD146" s="323">
        <f t="shared" si="30"/>
        <v>-2893691.2175806309</v>
      </c>
      <c r="AE146" s="323">
        <f t="shared" si="30"/>
        <v>-2893691.2175806309</v>
      </c>
      <c r="AF146" s="323">
        <f t="shared" si="30"/>
        <v>-2893691.2175806309</v>
      </c>
      <c r="AG146" s="323">
        <f t="shared" si="30"/>
        <v>-2893691.2175806309</v>
      </c>
      <c r="AH146" s="323">
        <f t="shared" si="30"/>
        <v>-2893691.2175806309</v>
      </c>
      <c r="AI146" s="323">
        <f t="shared" si="30"/>
        <v>-2893691.2175806309</v>
      </c>
      <c r="AJ146" s="323">
        <f t="shared" si="30"/>
        <v>-2893691.2175806309</v>
      </c>
      <c r="AK146" s="323">
        <f t="shared" si="30"/>
        <v>-2893691.2175806309</v>
      </c>
      <c r="AL146" s="323">
        <f t="shared" si="30"/>
        <v>-2893691.2175806309</v>
      </c>
      <c r="AM146" s="323">
        <f t="shared" si="30"/>
        <v>-2893691.2175806309</v>
      </c>
      <c r="AN146" s="323">
        <f t="shared" si="30"/>
        <v>-2893691.2175806309</v>
      </c>
      <c r="AO146" s="323">
        <f t="shared" si="30"/>
        <v>-2893691.2175806309</v>
      </c>
      <c r="AP146" s="323">
        <f t="shared" si="30"/>
        <v>-2893691.2175806309</v>
      </c>
      <c r="AQ146" s="323">
        <f t="shared" si="30"/>
        <v>-2893691.2175806309</v>
      </c>
      <c r="AR146" s="324">
        <f t="shared" si="30"/>
        <v>-2893691.2175806309</v>
      </c>
    </row>
    <row r="147" spans="1:44" ht="12.95" customHeight="1">
      <c r="B147" s="267" t="s">
        <v>577</v>
      </c>
      <c r="C147" s="268"/>
      <c r="D147" s="325"/>
      <c r="E147" s="326">
        <f t="shared" ref="E147:AR147" si="31">IF(E112&gt;$C$74,"",(-$C$94*(E139+$C$5*E118)+E132+$C$5*E118)/-E137)</f>
        <v>1.4206458900399908</v>
      </c>
      <c r="F147" s="326">
        <f t="shared" si="31"/>
        <v>1.4032898701857823</v>
      </c>
      <c r="G147" s="326">
        <f t="shared" si="31"/>
        <v>1.3854894139692899</v>
      </c>
      <c r="H147" s="326">
        <f t="shared" si="31"/>
        <v>1.3672314967347459</v>
      </c>
      <c r="I147" s="326">
        <f t="shared" si="31"/>
        <v>1.3485026575563062</v>
      </c>
      <c r="J147" s="326">
        <f t="shared" si="31"/>
        <v>1.3292889830421273</v>
      </c>
      <c r="K147" s="326">
        <f t="shared" si="31"/>
        <v>1.3095760904970264</v>
      </c>
      <c r="L147" s="326">
        <f t="shared" si="31"/>
        <v>1.2893491104174084</v>
      </c>
      <c r="M147" s="326">
        <f t="shared" si="31"/>
        <v>1.2685926682910289</v>
      </c>
      <c r="N147" s="326">
        <f t="shared" si="31"/>
        <v>1.2472908656730335</v>
      </c>
      <c r="O147" s="326">
        <f t="shared" si="31"/>
        <v>1.225427260508503</v>
      </c>
      <c r="P147" s="326">
        <f t="shared" si="31"/>
        <v>1.2029848466705049</v>
      </c>
      <c r="Q147" s="326">
        <f t="shared" si="31"/>
        <v>1.1799460326813369</v>
      </c>
      <c r="R147" s="326">
        <f t="shared" si="31"/>
        <v>1.1562926195833134</v>
      </c>
      <c r="S147" s="326">
        <f t="shared" si="31"/>
        <v>1.1320057779240216</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-5770761.3998307856</v>
      </c>
      <c r="D150" s="271" t="s">
        <v>580</v>
      </c>
    </row>
    <row r="151" spans="1:44">
      <c r="B151" s="72" t="s">
        <v>581</v>
      </c>
      <c r="C151" s="272">
        <f>(1-$C$94)*NPV($C$91,E145:AR145)</f>
        <v>113100002.31918178</v>
      </c>
      <c r="D151" s="271" t="str">
        <f>$C$7</f>
        <v>kWh</v>
      </c>
      <c r="F151" s="273"/>
    </row>
    <row r="152" spans="1:44">
      <c r="B152" s="72" t="s">
        <v>582</v>
      </c>
      <c r="C152" s="272">
        <f>$C$41*1000000</f>
        <v>7159769.9999999991</v>
      </c>
      <c r="D152" s="271" t="s">
        <v>528</v>
      </c>
      <c r="F152" s="46"/>
    </row>
    <row r="153" spans="1:44">
      <c r="B153" s="72" t="s">
        <v>583</v>
      </c>
      <c r="C153" s="274">
        <f>AVERAGE(E147:AR147)</f>
        <v>1.284394238918295</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-0.10201729726137387</v>
      </c>
      <c r="D155" s="271"/>
      <c r="F155" s="46"/>
      <c r="G155" s="47"/>
    </row>
    <row r="156" spans="1:44">
      <c r="B156" s="72" t="s">
        <v>586</v>
      </c>
      <c r="C156" s="95" t="str">
        <f>IFERROR(IRR(D144:AR144),"n.v.t.")</f>
        <v>n.v.t.</v>
      </c>
      <c r="D156" s="271"/>
      <c r="G156" s="47"/>
    </row>
    <row r="157" spans="1:44">
      <c r="B157" s="72" t="s">
        <v>587</v>
      </c>
      <c r="C157" s="272">
        <f>$C$92*C152-C97</f>
        <v>5011838.9999999991</v>
      </c>
      <c r="D157" s="271" t="s">
        <v>528</v>
      </c>
      <c r="F157" s="33"/>
    </row>
    <row r="158" spans="1:44">
      <c r="B158" s="72" t="s">
        <v>588</v>
      </c>
      <c r="C158" s="272">
        <f>$C$93*C152-C98</f>
        <v>2147930.9999999995</v>
      </c>
      <c r="D158" s="271" t="s">
        <v>528</v>
      </c>
      <c r="F158" s="33"/>
    </row>
    <row r="159" spans="1:44">
      <c r="B159" s="72" t="s">
        <v>332</v>
      </c>
      <c r="C159" s="95">
        <f>IF(AND(E115&gt;0,E116&gt;0),ROUND(E116/E115,2),0)</f>
        <v>0</v>
      </c>
      <c r="D159" s="271" t="s">
        <v>589</v>
      </c>
      <c r="F159" s="33"/>
    </row>
    <row r="160" spans="1:44">
      <c r="B160" s="72" t="s">
        <v>590</v>
      </c>
      <c r="C160" s="95">
        <f>IF(C159=0,MAX(C29:C30),E118/SUM(C26,C28))</f>
        <v>3300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17" priority="3" operator="containsText" text="Pas op">
      <formula>NOT(ISERROR(SEARCH("Pas op",G1)))</formula>
    </cfRule>
  </conditionalFormatting>
  <conditionalFormatting sqref="G188">
    <cfRule type="containsText" dxfId="16" priority="2" operator="containsText" text="Pas op">
      <formula>NOT(ISERROR(SEARCH("Pas op",G188)))</formula>
    </cfRule>
  </conditionalFormatting>
  <conditionalFormatting sqref="G105">
    <cfRule type="containsText" dxfId="15"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39A55E79-6191-4C2E-B427-9F681AC7A92A}">
      <formula1>"ja,nee"</formula1>
    </dataValidation>
    <dataValidation type="list" allowBlank="1" showErrorMessage="1" error="Alleen de opties aangegeven in de dropdownlijst zijn toegestaan" sqref="C7" xr:uid="{A395680D-A78A-44AF-BF27-1EAA3A49FFB9}">
      <formula1>"t CO2,kWh"</formula1>
    </dataValidation>
    <dataValidation type="list" allowBlank="1" showErrorMessage="1" error="Alleen de opties aangegeven in de dropdownlijst zijn toegestaan" sqref="C14" xr:uid="{BC80D0B2-9CC7-4E9F-BC8A-22EF6680B7C0}">
      <formula1>"Nee,Ja,Geen warmte"</formula1>
    </dataValidation>
    <dataValidation type="list" allowBlank="1" showErrorMessage="1" error="Alleen de opties aangegeven in de dropdownlijst zijn toegestaan" sqref="C9" xr:uid="{A7A3298A-C2DC-4257-A8F1-97448F4E2CF6}">
      <formula1>"Elektriciteit,Lagetemperatuurwarmte,Hogetemperatuurwarmte,Moleculen,CCS/CCU,Generiek"</formula1>
    </dataValidation>
    <dataValidation type="decimal" allowBlank="1" showErrorMessage="1" error="Alleen getallen tussen 0 en 1.0 toegestaan. Vul in met een punt, geen comma" sqref="C17:C18" xr:uid="{41414D82-A09C-4936-B34F-BF6C52266FA7}">
      <formula1>0</formula1>
      <formula2>1</formula2>
    </dataValidation>
    <dataValidation type="decimal" operator="notBetween" allowBlank="1" showInputMessage="1" sqref="C39:C49" xr:uid="{F568200C-E213-4ACF-BA9B-DF1FFEE5A46B}">
      <formula1>0</formula1>
      <formula2>0</formula2>
    </dataValidation>
    <dataValidation type="decimal" operator="notBetween" allowBlank="1" showInputMessage="1" showErrorMessage="1" sqref="C52:C60 C63:C65 C67:C70" xr:uid="{37D70B3F-CA67-4470-910C-9B4E5E92D136}">
      <formula1>0</formula1>
      <formula2>0</formula2>
    </dataValidation>
    <dataValidation type="decimal" operator="greaterThanOrEqual" allowBlank="1" showInputMessage="1" sqref="C21 C24:C30 C33:C36" xr:uid="{493E1D73-7379-4106-935B-8D53A6F09B7A}">
      <formula1>0</formula1>
    </dataValidation>
    <dataValidation type="decimal" operator="greaterThanOrEqual" allowBlank="1" showInputMessage="1" showErrorMessage="1" sqref="C73:C77" xr:uid="{2D1CB916-56C7-444A-954E-BC5ADA641890}">
      <formula1>0</formula1>
    </dataValidation>
    <dataValidation type="decimal" operator="greaterThan" allowBlank="1" showInputMessage="1" showErrorMessage="1" sqref="C80:C86 C89:C94" xr:uid="{391901FF-EEF4-45AA-A072-7DC37B4708F3}">
      <formula1>0</formula1>
    </dataValidation>
    <dataValidation type="list" operator="greaterThanOrEqual" allowBlank="1" showInputMessage="1" sqref="C23" xr:uid="{2300BC0E-B2E4-4D70-A7BD-BD0845E2645D}">
      <formula1>"Ja"</formula1>
    </dataValidation>
    <dataValidation type="decimal" operator="greaterThan" allowBlank="1" showInputMessage="1" showErrorMessage="1" error="Alleen getallen boven de 0 toegstaan" sqref="C22" xr:uid="{2481C632-6D57-4695-A3D9-B01509D69267}">
      <formula1>0</formula1>
    </dataValidation>
    <dataValidation operator="notBetween" allowBlank="1" showInputMessage="1" showErrorMessage="1" sqref="C66" xr:uid="{5A99A33E-8E80-4E45-AF54-A810074433E1}"/>
  </dataValidations>
  <pageMargins left="0.7" right="0.7" top="0.75" bottom="0.75" header="0.3" footer="0.3"/>
  <pageSetup paperSize="9" scale="1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904A-F54B-4782-BC94-369F9058C68B}">
  <sheetPr codeName="Sheet2">
    <pageSetUpPr fitToPage="1"/>
  </sheetPr>
  <dimension ref="A1:AA32"/>
  <sheetViews>
    <sheetView showGridLines="0" zoomScaleNormal="100" workbookViewId="0">
      <pane xSplit="2" ySplit="6" topLeftCell="U7" activePane="bottomRight" state="frozen"/>
      <selection pane="bottomRight" activeCell="A12" sqref="A12:XFD16"/>
      <selection pane="bottomLeft"/>
      <selection pane="topRight"/>
    </sheetView>
  </sheetViews>
  <sheetFormatPr defaultColWidth="9.28515625" defaultRowHeight="15" customHeight="1"/>
  <cols>
    <col min="1" max="1" width="8.7109375" style="9" customWidth="1"/>
    <col min="2" max="2" width="66.85546875" style="70" customWidth="1"/>
    <col min="3" max="3" width="12.42578125" style="10" bestFit="1" customWidth="1"/>
    <col min="4" max="4" width="21.5703125" style="10" customWidth="1"/>
    <col min="5" max="5" width="11.28515625" style="11" bestFit="1" customWidth="1"/>
    <col min="6" max="6" width="15.7109375" style="9" customWidth="1"/>
    <col min="7" max="7" width="15.28515625" style="12" customWidth="1"/>
    <col min="8" max="8" width="15.28515625" style="13" customWidth="1"/>
    <col min="9" max="9" width="14.28515625" style="13" customWidth="1"/>
    <col min="10" max="10" width="11.7109375" style="14" customWidth="1"/>
    <col min="11" max="11" width="15.28515625" style="14" customWidth="1"/>
    <col min="12" max="12" width="13.7109375" style="13" customWidth="1"/>
    <col min="13" max="13" width="12.28515625" style="11" customWidth="1"/>
    <col min="14" max="14" width="20.5703125" style="11" customWidth="1"/>
    <col min="15" max="15" width="38.7109375" style="11" bestFit="1" customWidth="1"/>
    <col min="16" max="16" width="13.7109375" style="12" customWidth="1"/>
    <col min="17" max="17" width="12.5703125" style="14" hidden="1" customWidth="1"/>
    <col min="18" max="18" width="11.28515625" style="15" customWidth="1"/>
    <col min="19" max="19" width="11.7109375" style="9" hidden="1" customWidth="1"/>
    <col min="20" max="20" width="11.7109375" style="14" hidden="1" customWidth="1"/>
    <col min="21" max="21" width="28.28515625" style="62" customWidth="1"/>
    <col min="22" max="22" width="21.7109375" style="10" customWidth="1"/>
    <col min="23" max="23" width="25.28515625" style="10" bestFit="1" customWidth="1"/>
    <col min="24" max="24" width="29" style="10" bestFit="1" customWidth="1"/>
    <col min="25" max="25" width="23" style="10" customWidth="1"/>
    <col min="26" max="26" width="42.42578125" style="10" bestFit="1" customWidth="1"/>
    <col min="27" max="27" width="13.5703125" style="10" customWidth="1"/>
    <col min="28" max="16384" width="9.28515625" style="10"/>
  </cols>
  <sheetData>
    <row r="1" spans="1:27" ht="18" customHeight="1" thickTop="1">
      <c r="A1" s="118" t="s">
        <v>26</v>
      </c>
      <c r="B1" s="119"/>
      <c r="C1" s="120"/>
      <c r="D1" s="120"/>
      <c r="E1" s="121"/>
      <c r="F1" s="126"/>
      <c r="G1" s="122"/>
      <c r="H1" s="123"/>
      <c r="I1" s="123"/>
      <c r="J1" s="124"/>
      <c r="K1" s="124"/>
      <c r="L1" s="123"/>
      <c r="M1" s="121"/>
      <c r="N1" s="121"/>
      <c r="O1" s="121"/>
      <c r="P1" s="122"/>
      <c r="Q1" s="124"/>
      <c r="R1" s="125"/>
      <c r="S1" s="126"/>
      <c r="T1" s="124"/>
      <c r="U1" s="210"/>
      <c r="V1" s="210"/>
      <c r="W1" s="210"/>
      <c r="X1" s="210"/>
      <c r="Y1" s="216"/>
      <c r="Z1" s="216"/>
      <c r="AA1" s="216"/>
    </row>
    <row r="2" spans="1:27" s="139" customFormat="1" ht="38.25">
      <c r="A2" s="413" t="s">
        <v>27</v>
      </c>
      <c r="B2" s="127" t="s">
        <v>28</v>
      </c>
      <c r="C2" s="128" t="s">
        <v>29</v>
      </c>
      <c r="D2" s="128" t="s">
        <v>19</v>
      </c>
      <c r="E2" s="130" t="s">
        <v>30</v>
      </c>
      <c r="F2" s="129" t="s">
        <v>31</v>
      </c>
      <c r="G2" s="130" t="s">
        <v>32</v>
      </c>
      <c r="H2" s="130" t="s">
        <v>33</v>
      </c>
      <c r="I2" s="130" t="s">
        <v>34</v>
      </c>
      <c r="J2" s="131" t="s">
        <v>35</v>
      </c>
      <c r="K2" s="131" t="s">
        <v>36</v>
      </c>
      <c r="L2" s="131" t="s">
        <v>37</v>
      </c>
      <c r="M2" s="130" t="s">
        <v>38</v>
      </c>
      <c r="N2" s="130" t="s">
        <v>39</v>
      </c>
      <c r="O2" s="130" t="s">
        <v>40</v>
      </c>
      <c r="P2" s="130" t="s">
        <v>41</v>
      </c>
      <c r="Q2" s="131" t="s">
        <v>42</v>
      </c>
      <c r="R2" s="132" t="s">
        <v>43</v>
      </c>
      <c r="S2" s="133" t="s">
        <v>44</v>
      </c>
      <c r="T2" s="131" t="s">
        <v>45</v>
      </c>
      <c r="U2" s="210" t="s">
        <v>46</v>
      </c>
      <c r="V2" s="210" t="s">
        <v>47</v>
      </c>
      <c r="W2" s="210" t="s">
        <v>48</v>
      </c>
      <c r="X2" s="210" t="s">
        <v>49</v>
      </c>
      <c r="Y2" s="216" t="s">
        <v>50</v>
      </c>
      <c r="Z2" s="216" t="s">
        <v>51</v>
      </c>
      <c r="AA2" s="216" t="s">
        <v>52</v>
      </c>
    </row>
    <row r="3" spans="1:27" s="139" customFormat="1" ht="38.25">
      <c r="A3" s="413"/>
      <c r="B3" s="127"/>
      <c r="C3" s="128"/>
      <c r="D3" s="128"/>
      <c r="E3" s="130"/>
      <c r="F3" s="130" t="s">
        <v>53</v>
      </c>
      <c r="G3" s="130"/>
      <c r="H3" s="130"/>
      <c r="I3" s="130"/>
      <c r="J3" s="131"/>
      <c r="K3" s="131"/>
      <c r="L3" s="131"/>
      <c r="M3" s="130"/>
      <c r="N3" s="130" t="s">
        <v>53</v>
      </c>
      <c r="O3" s="130" t="s">
        <v>53</v>
      </c>
      <c r="P3" s="130" t="s">
        <v>53</v>
      </c>
      <c r="Q3" s="131"/>
      <c r="R3" s="132"/>
      <c r="S3" s="133"/>
      <c r="T3" s="131"/>
      <c r="U3" s="208"/>
      <c r="V3" s="208"/>
      <c r="W3" s="208"/>
      <c r="X3" s="208"/>
      <c r="Y3" s="208"/>
      <c r="Z3" s="208"/>
      <c r="AA3" s="208"/>
    </row>
    <row r="4" spans="1:27" s="139" customFormat="1" ht="15" customHeight="1">
      <c r="A4" s="413"/>
      <c r="B4" s="127" t="s">
        <v>54</v>
      </c>
      <c r="C4" s="128" t="s">
        <v>55</v>
      </c>
      <c r="D4" s="128"/>
      <c r="E4" s="130" t="s">
        <v>56</v>
      </c>
      <c r="F4" s="136" t="s">
        <v>57</v>
      </c>
      <c r="G4" s="130" t="s">
        <v>58</v>
      </c>
      <c r="H4" s="130" t="s">
        <v>56</v>
      </c>
      <c r="I4" s="130" t="s">
        <v>56</v>
      </c>
      <c r="J4" s="131" t="s">
        <v>56</v>
      </c>
      <c r="K4" s="131" t="s">
        <v>56</v>
      </c>
      <c r="L4" s="131" t="s">
        <v>56</v>
      </c>
      <c r="M4" s="130" t="s">
        <v>56</v>
      </c>
      <c r="N4" s="130" t="s">
        <v>56</v>
      </c>
      <c r="O4" s="130" t="s">
        <v>56</v>
      </c>
      <c r="P4" s="130" t="s">
        <v>56</v>
      </c>
      <c r="Q4" s="131" t="s">
        <v>56</v>
      </c>
      <c r="R4" s="134" t="s">
        <v>59</v>
      </c>
      <c r="S4" s="135" t="s">
        <v>60</v>
      </c>
      <c r="T4" s="131" t="s">
        <v>61</v>
      </c>
      <c r="U4" s="208" t="s">
        <v>57</v>
      </c>
      <c r="V4" s="208" t="s">
        <v>57</v>
      </c>
      <c r="W4" s="208" t="s">
        <v>56</v>
      </c>
      <c r="X4" s="208" t="s">
        <v>56</v>
      </c>
      <c r="Y4" s="208" t="s">
        <v>56</v>
      </c>
      <c r="Z4" s="208" t="s">
        <v>56</v>
      </c>
      <c r="AA4" s="208" t="s">
        <v>56</v>
      </c>
    </row>
    <row r="5" spans="1:27" s="140" customFormat="1" ht="15" customHeight="1">
      <c r="A5" s="413"/>
      <c r="B5" s="137" t="s">
        <v>62</v>
      </c>
      <c r="C5" s="129"/>
      <c r="D5" s="129"/>
      <c r="E5" s="129">
        <f>Colofon!$C$31</f>
        <v>3</v>
      </c>
      <c r="F5" s="132"/>
      <c r="G5" s="129">
        <v>4</v>
      </c>
      <c r="H5" s="129"/>
      <c r="I5" s="129">
        <f>Colofon!$C$31</f>
        <v>3</v>
      </c>
      <c r="J5" s="129">
        <f>Colofon!$C$31</f>
        <v>3</v>
      </c>
      <c r="K5" s="129">
        <f>Colofon!$C$31</f>
        <v>3</v>
      </c>
      <c r="L5" s="129">
        <f>Colofon!$C$31</f>
        <v>3</v>
      </c>
      <c r="M5" s="129">
        <f>Colofon!$C$31</f>
        <v>3</v>
      </c>
      <c r="N5" s="129"/>
      <c r="O5" s="129"/>
      <c r="P5" s="129">
        <v>3</v>
      </c>
      <c r="Q5" s="129">
        <f>Colofon!$C$31</f>
        <v>3</v>
      </c>
      <c r="R5" s="134"/>
      <c r="S5" s="134">
        <v>2</v>
      </c>
      <c r="T5" s="129"/>
      <c r="U5" s="209"/>
      <c r="V5" s="209"/>
      <c r="W5" s="209"/>
      <c r="X5" s="209"/>
      <c r="Y5" s="209"/>
      <c r="Z5" s="209"/>
      <c r="AA5" s="209"/>
    </row>
    <row r="6" spans="1:27" s="139" customFormat="1" ht="12.75">
      <c r="A6" s="413"/>
      <c r="B6" s="127" t="s">
        <v>63</v>
      </c>
      <c r="C6" s="128"/>
      <c r="D6" s="128"/>
      <c r="E6" s="130" t="s">
        <v>64</v>
      </c>
      <c r="F6" s="136"/>
      <c r="G6" s="130" t="s">
        <v>65</v>
      </c>
      <c r="H6" s="130" t="s">
        <v>66</v>
      </c>
      <c r="I6" s="130" t="s">
        <v>67</v>
      </c>
      <c r="J6" s="131" t="s">
        <v>68</v>
      </c>
      <c r="K6" s="131" t="s">
        <v>69</v>
      </c>
      <c r="L6" s="130" t="s">
        <v>70</v>
      </c>
      <c r="M6" s="130" t="s">
        <v>71</v>
      </c>
      <c r="N6" s="136"/>
      <c r="O6" s="136"/>
      <c r="P6" s="138"/>
      <c r="Q6" s="131"/>
      <c r="R6" s="134"/>
      <c r="S6" s="135"/>
      <c r="T6" s="131"/>
      <c r="U6" s="208"/>
      <c r="V6" s="208"/>
      <c r="W6" s="208"/>
      <c r="X6" s="208"/>
      <c r="Y6" s="208"/>
      <c r="Z6" s="208"/>
      <c r="AA6" s="208"/>
    </row>
    <row r="7" spans="1:27" s="204" customFormat="1" ht="12" customHeight="1">
      <c r="A7" s="197"/>
      <c r="B7" s="198" t="s">
        <v>72</v>
      </c>
      <c r="C7" s="199"/>
      <c r="D7" s="199"/>
      <c r="E7" s="199"/>
      <c r="F7" s="200"/>
      <c r="G7" s="199"/>
      <c r="H7" s="201"/>
      <c r="I7" s="201"/>
      <c r="J7" s="199"/>
      <c r="K7" s="199"/>
      <c r="L7" s="201"/>
      <c r="M7" s="199"/>
      <c r="N7" s="199"/>
      <c r="O7" s="199"/>
      <c r="P7" s="199"/>
      <c r="Q7" s="199"/>
      <c r="R7" s="202"/>
      <c r="S7" s="203"/>
      <c r="T7" s="200"/>
    </row>
    <row r="8" spans="1:27" s="141" customFormat="1" ht="12" customHeight="1">
      <c r="A8" s="71">
        <v>1</v>
      </c>
      <c r="B8" s="71" t="str">
        <f t="shared" ref="B8:B29" ca="1" si="0">INDIRECT(CONCATENATE("'",A8,"'!A2"))</f>
        <v>Zon-pv 15 – 100 kWp (kva, referentie 60 kWp, net 70%)</v>
      </c>
      <c r="C8" s="6" t="str">
        <f ca="1">INDIRECT(CONCATENATE("'",$A8,"'!$C$7"))</f>
        <v>kWh</v>
      </c>
      <c r="D8" s="6" t="str">
        <f ca="1">INDIRECT(CONCATENATE("'",$A8,"'!$C$9"))</f>
        <v>Elektriciteit</v>
      </c>
      <c r="E8" s="207">
        <f ca="1">ROUND(INDIRECT(CONCATENATE("'",$A8,"'!$C$5")),E$5)</f>
        <v>0.14899999999999999</v>
      </c>
      <c r="F8" s="232" t="str">
        <f ca="1">IF(AND(INDIRECT(CONCATENATE("'",$A8,"'!$C$15"))&gt;0,INDIRECT(CONCATENATE("'",$A8,"'!$C$16"))&gt;0),INDIRECT(CONCATENATE("'",$A8,"'!$C$15"))&amp;" / "&amp;INDIRECT(CONCATENATE("'",$A8,"'!$C$16")),INDIRECT(CONCATENATE("'",$A8,"'!$C$12")))</f>
        <v>47.1 / 48.1</v>
      </c>
      <c r="G8" s="6">
        <f ca="1">ROUND(INDIRECT(CONCATENATE("'",$A8,"'!$C$70")),G$5)</f>
        <v>6.2E-2</v>
      </c>
      <c r="H8" s="8">
        <f ca="1">SUM(I8:L8)</f>
        <v>7.2999999999999995E-2</v>
      </c>
      <c r="I8" s="217">
        <f ca="1">ROUND(INDIRECT(CONCATENATE("'",$A8,"'!$C$168")),I$5)</f>
        <v>7.0999999999999994E-2</v>
      </c>
      <c r="J8" s="207">
        <f ca="1">ROUND(INDIRECT(CONCATENATE("'",$A8,"'!$C$176")),J$5)</f>
        <v>2E-3</v>
      </c>
      <c r="K8" s="207">
        <f ca="1">ROUND(INDIRECT(CONCATENATE("'",$A8,"'!$C$177")),K$5)</f>
        <v>0</v>
      </c>
      <c r="L8" s="8">
        <f ca="1">ROUND(INDIRECT(CONCATENATE("'",$A8,"'!$C$179")),L$5)</f>
        <v>0</v>
      </c>
      <c r="M8" s="207">
        <f ca="1">E8*G8/1000+H8</f>
        <v>7.300923799999999E-2</v>
      </c>
      <c r="N8" s="207" t="str">
        <f ca="1">INDIRECT(CONCATENATE("'",$A8,"'!$C$165"))</f>
        <v>0,035 / 0,000</v>
      </c>
      <c r="O8" s="6" t="str">
        <f ca="1">INDIRECT(CONCATENATE("'",$A8,"'!$C$173"))</f>
        <v>0,068 / 0,112</v>
      </c>
      <c r="P8" s="207" t="str">
        <f ca="1">CONCATENATE(ROUND(INDIRECT(CONCATENATE("'",$A8,"'!$C$176")),P$5)," / 0,000")</f>
        <v>0,002 / 0,000</v>
      </c>
      <c r="Q8" s="6">
        <f ca="1">ROUND(INDIRECT(CONCATENATE("'",$A8,"'!$C$171")),Q$5)</f>
        <v>0.13</v>
      </c>
      <c r="R8" s="368">
        <f t="shared" ref="R8:R16" ca="1" si="1">ROUND(INDIRECT(CONCATENATE("'",$A8,"'!$C$160")),R$5)</f>
        <v>900</v>
      </c>
      <c r="S8" s="369">
        <f ca="1">ROUND(INDIRECT(CONCATENATE("'",$A8,"'!$C$158")),S$5)</f>
        <v>13080</v>
      </c>
      <c r="T8" s="7">
        <f ca="1">INDIRECT(CONCATENATE("'",$A8,"'!$C$13"))</f>
        <v>0</v>
      </c>
      <c r="U8" s="347" t="str">
        <f ca="1">INDIRECT(CONCATENATE("'",$A8,"'!$C$15"))</f>
        <v>47.1</v>
      </c>
      <c r="V8" s="347" t="str">
        <f ca="1">INDIRECT(CONCATENATE("'",$A8,"'!$C$16"))</f>
        <v>48.1</v>
      </c>
      <c r="W8" s="348">
        <f ca="1">INDIRECT(CONCATENATE("'",$A8,"'!$C$170"))</f>
        <v>7.0999999999999994E-2</v>
      </c>
      <c r="X8" s="348">
        <f ca="1">INDIRECT(CONCATENATE("'",$A8,"'!$C$171"))</f>
        <v>0.13</v>
      </c>
      <c r="Y8" s="349" t="str">
        <f ca="1">INDIRECT(CONCATENATE("'",$A8,"'!$C$173"))</f>
        <v>0,068 / 0,112</v>
      </c>
      <c r="Z8" s="349" t="str">
        <f ca="1" xml:space="preserve"> CONCATENATE(INDIRECT(CONCATENATE("'",$A8,"'!$C$174"))+J8, " / ",INDIRECT(CONCATENATE("'",$A8,"'!$C$175")))</f>
        <v>0,07 / 0,112</v>
      </c>
      <c r="AA8" s="370">
        <f t="shared" ref="AA8:AA16" ca="1" si="2">INDIRECT(CONCATENATE("'",$A8,"'!$C$167"))</f>
        <v>0</v>
      </c>
    </row>
    <row r="9" spans="1:27" s="141" customFormat="1" ht="12" customHeight="1">
      <c r="A9" s="71">
        <f>A8+1</f>
        <v>2</v>
      </c>
      <c r="B9" s="71" t="str">
        <f t="shared" ca="1" si="0"/>
        <v>Zon-pv 15 – 100 kWp (kva, referentie 60 kWp, net 70%, zwak dak)</v>
      </c>
      <c r="C9" s="6" t="str">
        <f t="shared" ref="C9:C25" ca="1" si="3">INDIRECT(CONCATENATE("'",$A9,"'!$C$7"))</f>
        <v>kWh</v>
      </c>
      <c r="D9" s="6" t="str">
        <f t="shared" ref="D9:D25" ca="1" si="4">INDIRECT(CONCATENATE("'",$A9,"'!$C$9"))</f>
        <v>Elektriciteit</v>
      </c>
      <c r="E9" s="207">
        <f t="shared" ref="E9:E25" ca="1" si="5">ROUND(INDIRECT(CONCATENATE("'",$A9,"'!$C$5")),E$5)</f>
        <v>0.155</v>
      </c>
      <c r="F9" s="232" t="str">
        <f t="shared" ref="F9:F25" ca="1" si="6">IF(AND(INDIRECT(CONCATENATE("'",$A9,"'!$C$15"))&gt;0,INDIRECT(CONCATENATE("'",$A9,"'!$C$16"))&gt;0),INDIRECT(CONCATENATE("'",$A9,"'!$C$15"))&amp;" / "&amp;INDIRECT(CONCATENATE("'",$A9,"'!$C$16")),INDIRECT(CONCATENATE("'",$A9,"'!$C$12")))</f>
        <v>47.1 / 48.1</v>
      </c>
      <c r="G9" s="6">
        <f t="shared" ref="G9:G25" ca="1" si="7">ROUND(INDIRECT(CONCATENATE("'",$A9,"'!$C$70")),G$5)</f>
        <v>6.2E-2</v>
      </c>
      <c r="H9" s="8">
        <f t="shared" ref="H9:H25" ca="1" si="8">SUM(I9:L9)</f>
        <v>7.2999999999999995E-2</v>
      </c>
      <c r="I9" s="217">
        <f t="shared" ref="I9:I16" ca="1" si="9">ROUND(INDIRECT(CONCATENATE("'",$A9,"'!$C$168")),I$5)</f>
        <v>7.0999999999999994E-2</v>
      </c>
      <c r="J9" s="207">
        <f t="shared" ref="J9:J16" ca="1" si="10">ROUND(INDIRECT(CONCATENATE("'",$A9,"'!$C$176")),J$5)</f>
        <v>2E-3</v>
      </c>
      <c r="K9" s="207">
        <f t="shared" ref="K9:K16" ca="1" si="11">ROUND(INDIRECT(CONCATENATE("'",$A9,"'!$C$177")),K$5)</f>
        <v>0</v>
      </c>
      <c r="L9" s="8">
        <f t="shared" ref="L9:L16" ca="1" si="12">ROUND(INDIRECT(CONCATENATE("'",$A9,"'!$C$179")),L$5)</f>
        <v>0</v>
      </c>
      <c r="M9" s="207">
        <f t="shared" ref="M9:M13" ca="1" si="13">E9*G9/1000+H9</f>
        <v>7.3009609999999989E-2</v>
      </c>
      <c r="N9" s="207" t="str">
        <f t="shared" ref="N9:N16" ca="1" si="14">INDIRECT(CONCATENATE("'",$A9,"'!$C$165"))</f>
        <v>0,035 / 0,000</v>
      </c>
      <c r="O9" s="6" t="str">
        <f t="shared" ref="O9:O16" ca="1" si="15">INDIRECT(CONCATENATE("'",$A9,"'!$C$173"))</f>
        <v>0,068 / 0,112</v>
      </c>
      <c r="P9" s="207" t="str">
        <f t="shared" ref="P9:P16" ca="1" si="16">CONCATENATE(ROUND(INDIRECT(CONCATENATE("'",$A9,"'!$C$176")),P$5)," / 0,000")</f>
        <v>0,002 / 0,000</v>
      </c>
      <c r="Q9" s="6">
        <f t="shared" ref="Q9:Q25" ca="1" si="17">ROUND(INDIRECT(CONCATENATE("'",$A9,"'!$C$171")),Q$5)</f>
        <v>0.13</v>
      </c>
      <c r="R9" s="368">
        <f t="shared" ca="1" si="1"/>
        <v>900</v>
      </c>
      <c r="S9" s="369">
        <f t="shared" ref="S9:S25" ca="1" si="18">ROUND(INDIRECT(CONCATENATE("'",$A9,"'!$C$158")),S$5)</f>
        <v>13980</v>
      </c>
      <c r="T9" s="7">
        <f t="shared" ref="T9:T25" ca="1" si="19">INDIRECT(CONCATENATE("'",$A9,"'!$C$13"))</f>
        <v>0</v>
      </c>
      <c r="U9" s="347" t="str">
        <f ca="1">INDIRECT(CONCATENATE("'",$A9,"'!$C$15"))</f>
        <v>47.1</v>
      </c>
      <c r="V9" s="347" t="str">
        <f t="shared" ref="V9:V16" ca="1" si="20">INDIRECT(CONCATENATE("'",$A9,"'!$C$16"))</f>
        <v>48.1</v>
      </c>
      <c r="W9" s="348">
        <f t="shared" ref="W9:W16" ca="1" si="21">INDIRECT(CONCATENATE("'",$A9,"'!$C$170"))</f>
        <v>7.0999999999999994E-2</v>
      </c>
      <c r="X9" s="348">
        <f t="shared" ref="X9:X16" ca="1" si="22">INDIRECT(CONCATENATE("'",$A9,"'!$C$171"))</f>
        <v>0.13</v>
      </c>
      <c r="Y9" s="349" t="str">
        <f t="shared" ref="Y9:Y16" ca="1" si="23">INDIRECT(CONCATENATE("'",$A9,"'!$C$173"))</f>
        <v>0,068 / 0,112</v>
      </c>
      <c r="Z9" s="349" t="str">
        <f t="shared" ref="Z9:Z13" ca="1" si="24" xml:space="preserve"> CONCATENATE(INDIRECT(CONCATENATE("'",$A9,"'!$C$174"))+J9, " / ",INDIRECT(CONCATENATE("'",$A9,"'!$C$175")))</f>
        <v>0,07 / 0,112</v>
      </c>
      <c r="AA9" s="370">
        <f t="shared" ca="1" si="2"/>
        <v>0</v>
      </c>
    </row>
    <row r="10" spans="1:27" s="141" customFormat="1" ht="12" customHeight="1">
      <c r="A10" s="71">
        <f t="shared" ref="A10:A16" si="25">A9+1</f>
        <v>3</v>
      </c>
      <c r="B10" s="71" t="str">
        <f t="shared" ca="1" si="0"/>
        <v>Zon-pv 15 kWp – 1 MWp (gva, referentie 250 kWp, net 50%)</v>
      </c>
      <c r="C10" s="6" t="str">
        <f t="shared" ca="1" si="3"/>
        <v>kWh</v>
      </c>
      <c r="D10" s="6" t="str">
        <f t="shared" ca="1" si="4"/>
        <v>Elektriciteit</v>
      </c>
      <c r="E10" s="207">
        <f t="shared" ca="1" si="5"/>
        <v>0.14000000000000001</v>
      </c>
      <c r="F10" s="232" t="str">
        <f t="shared" ca="1" si="6"/>
        <v>47.3 / 48.3</v>
      </c>
      <c r="G10" s="6">
        <f t="shared" ca="1" si="7"/>
        <v>6.2E-2</v>
      </c>
      <c r="H10" s="8">
        <f t="shared" ca="1" si="8"/>
        <v>7.2999999999999995E-2</v>
      </c>
      <c r="I10" s="217">
        <f t="shared" ca="1" si="9"/>
        <v>7.0999999999999994E-2</v>
      </c>
      <c r="J10" s="207">
        <f t="shared" ca="1" si="10"/>
        <v>2E-3</v>
      </c>
      <c r="K10" s="207">
        <f t="shared" ca="1" si="11"/>
        <v>0</v>
      </c>
      <c r="L10" s="8">
        <f t="shared" ca="1" si="12"/>
        <v>0</v>
      </c>
      <c r="M10" s="207">
        <f t="shared" ca="1" si="13"/>
        <v>7.3008679999999992E-2</v>
      </c>
      <c r="N10" s="207" t="str">
        <f t="shared" ca="1" si="14"/>
        <v>0,047 / 0,107</v>
      </c>
      <c r="O10" s="6" t="str">
        <f t="shared" ca="1" si="15"/>
        <v>0,073 / 0,132</v>
      </c>
      <c r="P10" s="207" t="str">
        <f t="shared" ca="1" si="16"/>
        <v>0,002 / 0,000</v>
      </c>
      <c r="Q10" s="6">
        <f t="shared" ca="1" si="17"/>
        <v>0.13</v>
      </c>
      <c r="R10" s="368">
        <f t="shared" ca="1" si="1"/>
        <v>730</v>
      </c>
      <c r="S10" s="369">
        <f t="shared" ca="1" si="18"/>
        <v>44475</v>
      </c>
      <c r="T10" s="7">
        <f t="shared" ca="1" si="19"/>
        <v>0</v>
      </c>
      <c r="U10" s="347" t="str">
        <f t="shared" ref="U10:U16" ca="1" si="26">INDIRECT(CONCATENATE("'",$A10,"'!$C$15"))</f>
        <v>47.3</v>
      </c>
      <c r="V10" s="347" t="str">
        <f t="shared" ca="1" si="20"/>
        <v>48.3</v>
      </c>
      <c r="W10" s="348">
        <f t="shared" ca="1" si="21"/>
        <v>7.0999999999999994E-2</v>
      </c>
      <c r="X10" s="348">
        <f t="shared" ca="1" si="22"/>
        <v>0.13</v>
      </c>
      <c r="Y10" s="349" t="str">
        <f t="shared" ca="1" si="23"/>
        <v>0,073 / 0,132</v>
      </c>
      <c r="Z10" s="349" t="str">
        <f t="shared" ca="1" si="24"/>
        <v>0,075 / 0,132</v>
      </c>
      <c r="AA10" s="370">
        <f t="shared" ca="1" si="2"/>
        <v>0.107</v>
      </c>
    </row>
    <row r="11" spans="1:27" s="141" customFormat="1" ht="12" customHeight="1">
      <c r="A11" s="71">
        <f t="shared" si="25"/>
        <v>4</v>
      </c>
      <c r="B11" s="71" t="str">
        <f t="shared" ca="1" si="0"/>
        <v>Zon-pv 15 kWp – 1 MWp (gva, referentie 250 kWp, net 50%, zwak dak)</v>
      </c>
      <c r="C11" s="6" t="str">
        <f t="shared" ca="1" si="3"/>
        <v>kWh</v>
      </c>
      <c r="D11" s="6" t="str">
        <f t="shared" ca="1" si="4"/>
        <v>Elektriciteit</v>
      </c>
      <c r="E11" s="207">
        <f t="shared" ca="1" si="5"/>
        <v>0.14699999999999999</v>
      </c>
      <c r="F11" s="232" t="str">
        <f t="shared" ca="1" si="6"/>
        <v>47.3 / 48.3</v>
      </c>
      <c r="G11" s="6">
        <f t="shared" ca="1" si="7"/>
        <v>6.2E-2</v>
      </c>
      <c r="H11" s="8">
        <f t="shared" ca="1" si="8"/>
        <v>7.2999999999999995E-2</v>
      </c>
      <c r="I11" s="217">
        <f t="shared" ca="1" si="9"/>
        <v>7.0999999999999994E-2</v>
      </c>
      <c r="J11" s="207">
        <f t="shared" ca="1" si="10"/>
        <v>2E-3</v>
      </c>
      <c r="K11" s="207">
        <f t="shared" ca="1" si="11"/>
        <v>0</v>
      </c>
      <c r="L11" s="8">
        <f t="shared" ca="1" si="12"/>
        <v>0</v>
      </c>
      <c r="M11" s="207">
        <f t="shared" ca="1" si="13"/>
        <v>7.3009114E-2</v>
      </c>
      <c r="N11" s="207" t="str">
        <f t="shared" ca="1" si="14"/>
        <v>0,047 / 0,107</v>
      </c>
      <c r="O11" s="6" t="str">
        <f t="shared" ca="1" si="15"/>
        <v>0,073 / 0,132</v>
      </c>
      <c r="P11" s="207" t="str">
        <f ca="1">CONCATENATE(ROUND(INDIRECT(CONCATENATE("'",$A11,"'!$C$176")),P$5)," / 0,000")</f>
        <v>0,002 / 0,000</v>
      </c>
      <c r="Q11" s="6">
        <f t="shared" ca="1" si="17"/>
        <v>0.13</v>
      </c>
      <c r="R11" s="368">
        <f t="shared" ca="1" si="1"/>
        <v>730</v>
      </c>
      <c r="S11" s="369">
        <f t="shared" ca="1" si="18"/>
        <v>48225</v>
      </c>
      <c r="T11" s="7">
        <f t="shared" ca="1" si="19"/>
        <v>0</v>
      </c>
      <c r="U11" s="347" t="str">
        <f t="shared" ca="1" si="26"/>
        <v>47.3</v>
      </c>
      <c r="V11" s="347" t="str">
        <f t="shared" ca="1" si="20"/>
        <v>48.3</v>
      </c>
      <c r="W11" s="348">
        <f t="shared" ca="1" si="21"/>
        <v>7.0999999999999994E-2</v>
      </c>
      <c r="X11" s="348">
        <f t="shared" ca="1" si="22"/>
        <v>0.13</v>
      </c>
      <c r="Y11" s="349" t="str">
        <f t="shared" ca="1" si="23"/>
        <v>0,073 / 0,132</v>
      </c>
      <c r="Z11" s="349" t="str">
        <f t="shared" ca="1" si="24"/>
        <v>0,075 / 0,132</v>
      </c>
      <c r="AA11" s="370">
        <f t="shared" ca="1" si="2"/>
        <v>0.107</v>
      </c>
    </row>
    <row r="12" spans="1:27" s="141" customFormat="1" ht="12" customHeight="1">
      <c r="A12" s="71">
        <f t="shared" si="25"/>
        <v>5</v>
      </c>
      <c r="B12" s="71" t="str">
        <f t="shared" ca="1" si="0"/>
        <v>Zon-pv gebouwgebonden 1 - 6 MWp (gva, referentie 2,5 MWp, net 50%)</v>
      </c>
      <c r="C12" s="371" t="str">
        <f ca="1">INDIRECT(CONCATENATE("'",$A12,"'!$C$7"))</f>
        <v>kWh</v>
      </c>
      <c r="D12" s="371" t="str">
        <f ca="1">INDIRECT(CONCATENATE("'",$A12,"'!$C$9"))</f>
        <v>Elektriciteit</v>
      </c>
      <c r="E12" s="372">
        <f ca="1">ROUND(INDIRECT(CONCATENATE("'",$A12,"'!$C$5")),E$5)</f>
        <v>0.111</v>
      </c>
      <c r="F12" s="373" t="str">
        <f ca="1">IF(AND(INDIRECT(CONCATENATE("'",$A12,"'!$C$15"))&gt;0,INDIRECT(CONCATENATE("'",$A12,"'!$C$16"))&gt;0),INDIRECT(CONCATENATE("'",$A12,"'!$C$15"))&amp;" / "&amp;INDIRECT(CONCATENATE("'",$A12,"'!$C$16")),INDIRECT(CONCATENATE("'",$A12,"'!$C$12")))</f>
        <v>47.3 / 49.3</v>
      </c>
      <c r="G12" s="371">
        <f ca="1">ROUND(INDIRECT(CONCATENATE("'",$A12,"'!$C$70")),G$5)</f>
        <v>6.2E-2</v>
      </c>
      <c r="H12" s="8">
        <f ca="1">SUM(I12:L12)</f>
        <v>7.2999999999999995E-2</v>
      </c>
      <c r="I12" s="217">
        <f t="shared" ca="1" si="9"/>
        <v>7.0999999999999994E-2</v>
      </c>
      <c r="J12" s="207">
        <f t="shared" ca="1" si="10"/>
        <v>2E-3</v>
      </c>
      <c r="K12" s="207">
        <f t="shared" ca="1" si="11"/>
        <v>0</v>
      </c>
      <c r="L12" s="8">
        <f t="shared" ca="1" si="12"/>
        <v>0</v>
      </c>
      <c r="M12" s="207">
        <f t="shared" ca="1" si="13"/>
        <v>7.3006881999999995E-2</v>
      </c>
      <c r="N12" s="372" t="str">
        <f t="shared" ca="1" si="14"/>
        <v>0,047 / 0,086</v>
      </c>
      <c r="O12" s="6" t="str">
        <f t="shared" ca="1" si="15"/>
        <v>0,073 / 0,111</v>
      </c>
      <c r="P12" s="207" t="str">
        <f t="shared" ca="1" si="16"/>
        <v>0,002 / 0,000</v>
      </c>
      <c r="Q12" s="371">
        <f ca="1">ROUND(INDIRECT(CONCATENATE("'",$A12,"'!$C$171")),Q$5)</f>
        <v>0.11</v>
      </c>
      <c r="R12" s="368">
        <f t="shared" ca="1" si="1"/>
        <v>730</v>
      </c>
      <c r="S12" s="369">
        <f ca="1">ROUND(INDIRECT(CONCATENATE("'",$A12,"'!$C$158")),S$5)</f>
        <v>396506.25</v>
      </c>
      <c r="T12" s="374">
        <f ca="1">INDIRECT(CONCATENATE("'",$A12,"'!$C$13"))</f>
        <v>0</v>
      </c>
      <c r="U12" s="375" t="str">
        <f ca="1">INDIRECT(CONCATENATE("'",$A12,"'!$C$15"))</f>
        <v>47.3</v>
      </c>
      <c r="V12" s="375" t="str">
        <f ca="1">INDIRECT(CONCATENATE("'",$A12,"'!$C$16"))</f>
        <v>49.3</v>
      </c>
      <c r="W12" s="348">
        <f t="shared" ca="1" si="21"/>
        <v>7.0999999999999994E-2</v>
      </c>
      <c r="X12" s="348">
        <f t="shared" ca="1" si="22"/>
        <v>0.11</v>
      </c>
      <c r="Y12" s="349" t="str">
        <f t="shared" ca="1" si="23"/>
        <v>0,073 / 0,111</v>
      </c>
      <c r="Z12" s="349" t="str">
        <f t="shared" ca="1" si="24"/>
        <v>0,075 / 0,111</v>
      </c>
      <c r="AA12" s="370">
        <f t="shared" ca="1" si="2"/>
        <v>8.5999999999999993E-2</v>
      </c>
    </row>
    <row r="13" spans="1:27" s="141" customFormat="1" ht="12" customHeight="1">
      <c r="A13" s="71">
        <f t="shared" si="25"/>
        <v>6</v>
      </c>
      <c r="B13" s="71" t="str">
        <f t="shared" ca="1" si="0"/>
        <v>Zon-pv gebouwgebonden 1 - 6 MWp (gva, referentie 2,5 MWp, net 50%, zwak dak)</v>
      </c>
      <c r="C13" s="6" t="str">
        <f t="shared" ca="1" si="3"/>
        <v>kWh</v>
      </c>
      <c r="D13" s="6" t="str">
        <f t="shared" ca="1" si="4"/>
        <v>Elektriciteit</v>
      </c>
      <c r="E13" s="207">
        <f t="shared" ca="1" si="5"/>
        <v>0.11600000000000001</v>
      </c>
      <c r="F13" s="232" t="str">
        <f t="shared" ca="1" si="6"/>
        <v>47.3 / 49.3</v>
      </c>
      <c r="G13" s="6">
        <f t="shared" ca="1" si="7"/>
        <v>6.2E-2</v>
      </c>
      <c r="H13" s="8">
        <f t="shared" ca="1" si="8"/>
        <v>7.2999999999999995E-2</v>
      </c>
      <c r="I13" s="217">
        <f t="shared" ca="1" si="9"/>
        <v>7.0999999999999994E-2</v>
      </c>
      <c r="J13" s="207">
        <f t="shared" ca="1" si="10"/>
        <v>2E-3</v>
      </c>
      <c r="K13" s="207">
        <f t="shared" ca="1" si="11"/>
        <v>0</v>
      </c>
      <c r="L13" s="8">
        <f t="shared" ca="1" si="12"/>
        <v>0</v>
      </c>
      <c r="M13" s="207">
        <f t="shared" ca="1" si="13"/>
        <v>7.3007191999999999E-2</v>
      </c>
      <c r="N13" s="207" t="str">
        <f t="shared" ca="1" si="14"/>
        <v>0,047 / 0,086</v>
      </c>
      <c r="O13" s="6" t="str">
        <f t="shared" ca="1" si="15"/>
        <v>0,073 / 0,111</v>
      </c>
      <c r="P13" s="207" t="str">
        <f t="shared" ca="1" si="16"/>
        <v>0,002 / 0,000</v>
      </c>
      <c r="Q13" s="6">
        <f t="shared" ca="1" si="17"/>
        <v>0.11</v>
      </c>
      <c r="R13" s="368">
        <f t="shared" ca="1" si="1"/>
        <v>730</v>
      </c>
      <c r="S13" s="369">
        <f t="shared" ca="1" si="18"/>
        <v>419163.75</v>
      </c>
      <c r="T13" s="7">
        <f t="shared" ca="1" si="19"/>
        <v>0</v>
      </c>
      <c r="U13" s="347" t="str">
        <f t="shared" ca="1" si="26"/>
        <v>47.3</v>
      </c>
      <c r="V13" s="347" t="str">
        <f t="shared" ca="1" si="20"/>
        <v>49.3</v>
      </c>
      <c r="W13" s="348">
        <f t="shared" ca="1" si="21"/>
        <v>7.0999999999999994E-2</v>
      </c>
      <c r="X13" s="348">
        <f t="shared" ca="1" si="22"/>
        <v>0.11</v>
      </c>
      <c r="Y13" s="349" t="str">
        <f t="shared" ca="1" si="23"/>
        <v>0,073 / 0,111</v>
      </c>
      <c r="Z13" s="349" t="str">
        <f t="shared" ca="1" si="24"/>
        <v>0,075 / 0,111</v>
      </c>
      <c r="AA13" s="370">
        <f t="shared" ca="1" si="2"/>
        <v>8.5999999999999993E-2</v>
      </c>
    </row>
    <row r="14" spans="1:27" s="141" customFormat="1" ht="12" customHeight="1">
      <c r="A14" s="71">
        <f t="shared" si="25"/>
        <v>7</v>
      </c>
      <c r="B14" s="71" t="str">
        <f t="shared" ca="1" si="0"/>
        <v>Zon-pv grondgebonden 1 - 6 MWp (gva, referentie 10 MWp, net 50%)</v>
      </c>
      <c r="C14" s="6" t="str">
        <f t="shared" ca="1" si="3"/>
        <v>kWh</v>
      </c>
      <c r="D14" s="6" t="str">
        <f t="shared" ca="1" si="4"/>
        <v>Elektriciteit</v>
      </c>
      <c r="E14" s="207">
        <f t="shared" ca="1" si="5"/>
        <v>0.106</v>
      </c>
      <c r="F14" s="232" t="str">
        <f t="shared" ca="1" si="6"/>
        <v>47.3 / 49.3</v>
      </c>
      <c r="G14" s="6">
        <f t="shared" ca="1" si="7"/>
        <v>8.1299999999999997E-2</v>
      </c>
      <c r="H14" s="8">
        <f t="shared" ref="H14:H16" ca="1" si="27">SUM(I14:L14)</f>
        <v>7.2999999999999995E-2</v>
      </c>
      <c r="I14" s="217">
        <f t="shared" ca="1" si="9"/>
        <v>7.0999999999999994E-2</v>
      </c>
      <c r="J14" s="207">
        <f t="shared" ca="1" si="10"/>
        <v>2E-3</v>
      </c>
      <c r="K14" s="207">
        <f t="shared" ca="1" si="11"/>
        <v>0</v>
      </c>
      <c r="L14" s="8">
        <f t="shared" ca="1" si="12"/>
        <v>0</v>
      </c>
      <c r="M14" s="207">
        <f t="shared" ref="M14:M16" ca="1" si="28">E14*G14/1000+H14</f>
        <v>7.3008617799999995E-2</v>
      </c>
      <c r="N14" s="207" t="str">
        <f t="shared" ca="1" si="14"/>
        <v>0,047 / 0,086</v>
      </c>
      <c r="O14" s="6" t="str">
        <f t="shared" ca="1" si="15"/>
        <v>0,073 / 0,111</v>
      </c>
      <c r="P14" s="207" t="str">
        <f t="shared" ca="1" si="16"/>
        <v>0,002 / 0,000</v>
      </c>
      <c r="Q14" s="6">
        <f t="shared" ca="1" si="17"/>
        <v>0.11</v>
      </c>
      <c r="R14" s="368">
        <f t="shared" ca="1" si="1"/>
        <v>740</v>
      </c>
      <c r="S14" s="369">
        <f t="shared" ca="1" si="18"/>
        <v>1561857</v>
      </c>
      <c r="T14" s="7">
        <f t="shared" ca="1" si="19"/>
        <v>0</v>
      </c>
      <c r="U14" s="347" t="str">
        <f t="shared" ca="1" si="26"/>
        <v>47.3</v>
      </c>
      <c r="V14" s="347" t="str">
        <f t="shared" ca="1" si="20"/>
        <v>49.3</v>
      </c>
      <c r="W14" s="348">
        <f t="shared" ca="1" si="21"/>
        <v>7.0999999999999994E-2</v>
      </c>
      <c r="X14" s="348">
        <f t="shared" ca="1" si="22"/>
        <v>0.11</v>
      </c>
      <c r="Y14" s="349" t="str">
        <f t="shared" ca="1" si="23"/>
        <v>0,073 / 0,111</v>
      </c>
      <c r="Z14" s="349" t="str">
        <f t="shared" ref="Z14:Z16" ca="1" si="29" xml:space="preserve"> CONCATENATE(INDIRECT(CONCATENATE("'",$A14,"'!$C$174"))+J14, " / ",INDIRECT(CONCATENATE("'",$A14,"'!$C$175")))</f>
        <v>0,075 / 0,111</v>
      </c>
      <c r="AA14" s="370">
        <f t="shared" ca="1" si="2"/>
        <v>8.5999999999999993E-2</v>
      </c>
    </row>
    <row r="15" spans="1:27" s="141" customFormat="1" ht="12" customHeight="1">
      <c r="A15" s="71">
        <f t="shared" si="25"/>
        <v>8</v>
      </c>
      <c r="B15" s="71" t="str">
        <f t="shared" ca="1" si="0"/>
        <v>Zon-pv drijvend op water 500 kWp - 6 MWp (gva, referentie 10 MWp, net 50%)</v>
      </c>
      <c r="C15" s="6" t="str">
        <f ca="1">INDIRECT(CONCATENATE("'",$A15,"'!$C$7"))</f>
        <v>kWh</v>
      </c>
      <c r="D15" s="6" t="str">
        <f t="shared" ca="1" si="4"/>
        <v>Elektriciteit</v>
      </c>
      <c r="E15" s="207">
        <f t="shared" ca="1" si="5"/>
        <v>0.114</v>
      </c>
      <c r="F15" s="232" t="str">
        <f t="shared" ca="1" si="6"/>
        <v>47.3 / 49.3</v>
      </c>
      <c r="G15" s="6">
        <f t="shared" ca="1" si="7"/>
        <v>8.1299999999999997E-2</v>
      </c>
      <c r="H15" s="8">
        <f t="shared" ca="1" si="27"/>
        <v>7.2999999999999995E-2</v>
      </c>
      <c r="I15" s="217">
        <f t="shared" ca="1" si="9"/>
        <v>7.0999999999999994E-2</v>
      </c>
      <c r="J15" s="207">
        <f t="shared" ca="1" si="10"/>
        <v>2E-3</v>
      </c>
      <c r="K15" s="207">
        <f t="shared" ca="1" si="11"/>
        <v>0</v>
      </c>
      <c r="L15" s="8">
        <f t="shared" ca="1" si="12"/>
        <v>0</v>
      </c>
      <c r="M15" s="207">
        <f t="shared" ca="1" si="28"/>
        <v>7.3009268199999991E-2</v>
      </c>
      <c r="N15" s="207" t="str">
        <f t="shared" ca="1" si="14"/>
        <v>0,047 / 0,086</v>
      </c>
      <c r="O15" s="6" t="str">
        <f t="shared" ca="1" si="15"/>
        <v>0,073 / 0,111</v>
      </c>
      <c r="P15" s="207" t="str">
        <f t="shared" ca="1" si="16"/>
        <v>0,002 / 0,000</v>
      </c>
      <c r="Q15" s="6">
        <f t="shared" ca="1" si="17"/>
        <v>0.11</v>
      </c>
      <c r="R15" s="368">
        <f t="shared" ca="1" si="1"/>
        <v>740</v>
      </c>
      <c r="S15" s="369">
        <f t="shared" ca="1" si="18"/>
        <v>1773327</v>
      </c>
      <c r="T15" s="7">
        <f t="shared" ca="1" si="19"/>
        <v>0</v>
      </c>
      <c r="U15" s="347" t="str">
        <f t="shared" ca="1" si="26"/>
        <v>47.3</v>
      </c>
      <c r="V15" s="347" t="str">
        <f t="shared" ca="1" si="20"/>
        <v>49.3</v>
      </c>
      <c r="W15" s="348">
        <f t="shared" ca="1" si="21"/>
        <v>7.0999999999999994E-2</v>
      </c>
      <c r="X15" s="348">
        <f t="shared" ca="1" si="22"/>
        <v>0.11</v>
      </c>
      <c r="Y15" s="349" t="str">
        <f t="shared" ca="1" si="23"/>
        <v>0,073 / 0,111</v>
      </c>
      <c r="Z15" s="349" t="str">
        <f t="shared" ca="1" si="29"/>
        <v>0,075 / 0,111</v>
      </c>
      <c r="AA15" s="370">
        <f t="shared" ca="1" si="2"/>
        <v>8.5999999999999993E-2</v>
      </c>
    </row>
    <row r="16" spans="1:27" s="141" customFormat="1" ht="12" customHeight="1">
      <c r="A16" s="71">
        <f t="shared" si="25"/>
        <v>9</v>
      </c>
      <c r="B16" s="71" t="str">
        <f t="shared" ca="1" si="0"/>
        <v>Zon-pv drijvend op water natuurinclusief 500 kWp - 6 MWp (gva, referentie 10 MWp, net 50%)</v>
      </c>
      <c r="C16" s="6" t="str">
        <f ca="1">INDIRECT(CONCATENATE("'",$A16,"'!$C$7"))</f>
        <v>kWh</v>
      </c>
      <c r="D16" s="6" t="str">
        <f ca="1">INDIRECT(CONCATENATE("'",$A16,"'!$C$9"))</f>
        <v>Elektriciteit</v>
      </c>
      <c r="E16" s="207">
        <f ca="1">ROUND(INDIRECT(CONCATENATE("'",$A16,"'!$C$5")),E$5)</f>
        <v>0.11700000000000001</v>
      </c>
      <c r="F16" s="232" t="str">
        <f t="shared" ca="1" si="6"/>
        <v>47.3 / 49.3</v>
      </c>
      <c r="G16" s="6">
        <f t="shared" ca="1" si="7"/>
        <v>8.1299999999999997E-2</v>
      </c>
      <c r="H16" s="8">
        <f t="shared" ca="1" si="27"/>
        <v>7.2999999999999995E-2</v>
      </c>
      <c r="I16" s="217">
        <f t="shared" ca="1" si="9"/>
        <v>7.0999999999999994E-2</v>
      </c>
      <c r="J16" s="207">
        <f t="shared" ca="1" si="10"/>
        <v>2E-3</v>
      </c>
      <c r="K16" s="207">
        <f t="shared" ca="1" si="11"/>
        <v>0</v>
      </c>
      <c r="L16" s="8">
        <f t="shared" ca="1" si="12"/>
        <v>0</v>
      </c>
      <c r="M16" s="207">
        <f t="shared" ca="1" si="28"/>
        <v>7.3009512099999993E-2</v>
      </c>
      <c r="N16" s="207" t="str">
        <f t="shared" ca="1" si="14"/>
        <v>0,047 / 0,086</v>
      </c>
      <c r="O16" s="6" t="str">
        <f t="shared" ca="1" si="15"/>
        <v>0,073 / 0,111</v>
      </c>
      <c r="P16" s="207" t="str">
        <f t="shared" ca="1" si="16"/>
        <v>0,002 / 0,000</v>
      </c>
      <c r="Q16" s="6">
        <f t="shared" ca="1" si="17"/>
        <v>0.11</v>
      </c>
      <c r="R16" s="368">
        <f t="shared" ca="1" si="1"/>
        <v>740</v>
      </c>
      <c r="S16" s="369">
        <f t="shared" ca="1" si="18"/>
        <v>1782390</v>
      </c>
      <c r="T16" s="7">
        <f t="shared" ca="1" si="19"/>
        <v>0</v>
      </c>
      <c r="U16" s="347" t="str">
        <f t="shared" ca="1" si="26"/>
        <v>47.3</v>
      </c>
      <c r="V16" s="347" t="str">
        <f t="shared" ca="1" si="20"/>
        <v>49.3</v>
      </c>
      <c r="W16" s="348">
        <f t="shared" ca="1" si="21"/>
        <v>7.0999999999999994E-2</v>
      </c>
      <c r="X16" s="348">
        <f t="shared" ca="1" si="22"/>
        <v>0.11</v>
      </c>
      <c r="Y16" s="349" t="str">
        <f t="shared" ca="1" si="23"/>
        <v>0,073 / 0,111</v>
      </c>
      <c r="Z16" s="349" t="str">
        <f t="shared" ca="1" si="29"/>
        <v>0,075 / 0,111</v>
      </c>
      <c r="AA16" s="370">
        <f t="shared" ca="1" si="2"/>
        <v>8.5999999999999993E-2</v>
      </c>
    </row>
    <row r="17" spans="1:27" s="141" customFormat="1" ht="12" customHeight="1">
      <c r="A17" s="376"/>
      <c r="B17" s="71"/>
      <c r="C17" s="6"/>
      <c r="D17" s="6"/>
      <c r="E17" s="207"/>
      <c r="F17" s="232"/>
      <c r="G17" s="6"/>
      <c r="H17" s="8"/>
      <c r="I17" s="217"/>
      <c r="J17" s="207"/>
      <c r="K17" s="207"/>
      <c r="L17" s="8"/>
      <c r="M17" s="207"/>
      <c r="N17" s="207"/>
      <c r="O17" s="6"/>
      <c r="P17" s="207"/>
      <c r="Q17" s="6"/>
      <c r="R17" s="368"/>
      <c r="S17" s="369"/>
      <c r="T17" s="7"/>
      <c r="U17" s="347"/>
      <c r="V17" s="347"/>
      <c r="W17" s="348"/>
      <c r="X17" s="348"/>
      <c r="Y17" s="349"/>
      <c r="Z17" s="349"/>
      <c r="AA17" s="370"/>
    </row>
    <row r="18" spans="1:27" s="205" customFormat="1" ht="12" customHeight="1">
      <c r="A18" s="377"/>
      <c r="B18" s="378" t="s">
        <v>73</v>
      </c>
      <c r="C18" s="379"/>
      <c r="D18" s="379"/>
      <c r="E18" s="379"/>
      <c r="F18" s="380"/>
      <c r="G18" s="379"/>
      <c r="H18" s="381"/>
      <c r="I18" s="381"/>
      <c r="J18" s="379"/>
      <c r="K18" s="379"/>
      <c r="L18" s="381"/>
      <c r="M18" s="379"/>
      <c r="N18" s="379"/>
      <c r="O18" s="379"/>
      <c r="P18" s="379"/>
      <c r="Q18" s="379"/>
      <c r="R18" s="382"/>
      <c r="S18" s="383"/>
      <c r="T18" s="384"/>
      <c r="U18" s="385"/>
      <c r="V18" s="385"/>
      <c r="W18" s="386"/>
      <c r="X18" s="386"/>
      <c r="Y18" s="386"/>
      <c r="Z18" s="386"/>
      <c r="AA18" s="387"/>
    </row>
    <row r="19" spans="1:27" s="141" customFormat="1" ht="12" customHeight="1">
      <c r="A19" s="71">
        <f>A16+1</f>
        <v>10</v>
      </c>
      <c r="B19" s="71" t="str">
        <f t="shared" ca="1" si="0"/>
        <v>Windenergie, 15 kW op kva</v>
      </c>
      <c r="C19" s="6" t="str">
        <f t="shared" ca="1" si="3"/>
        <v>kWh</v>
      </c>
      <c r="D19" s="6" t="str">
        <f t="shared" ca="1" si="4"/>
        <v>Elektriciteit</v>
      </c>
      <c r="E19" s="207">
        <f t="shared" ca="1" si="5"/>
        <v>0.188</v>
      </c>
      <c r="F19" s="232" t="str">
        <f t="shared" ca="1" si="6"/>
        <v>46.3</v>
      </c>
      <c r="G19" s="6">
        <f t="shared" ca="1" si="7"/>
        <v>0.11070000000000001</v>
      </c>
      <c r="H19" s="8">
        <f t="shared" ca="1" si="8"/>
        <v>5.9000000000000004E-2</v>
      </c>
      <c r="I19" s="217">
        <f t="shared" ref="I19:I29" ca="1" si="30">ROUND(INDIRECT(CONCATENATE("'",$A19,"'!$C$168")),I$5)</f>
        <v>5.7000000000000002E-2</v>
      </c>
      <c r="J19" s="207">
        <f ca="1">ROUND(INDIRECT(CONCATENATE("'",$A19,"'!$C$176")),J$5)</f>
        <v>2E-3</v>
      </c>
      <c r="K19" s="207">
        <f ca="1">ROUND(INDIRECT(CONCATENATE("'",$A19,"'!$C$177")),K$5)</f>
        <v>0</v>
      </c>
      <c r="L19" s="8">
        <f ca="1">ROUND(INDIRECT(CONCATENATE("'",$A19,"'!$C$179")),L$5)</f>
        <v>0</v>
      </c>
      <c r="M19" s="207">
        <f ca="1">E19*G19/1000+H19</f>
        <v>5.90208116E-2</v>
      </c>
      <c r="N19" s="207">
        <f t="shared" ref="N19:N29" ca="1" si="31">INDIRECT(CONCATENATE("'",$A19,"'!$C$164"))</f>
        <v>3.7999999999999999E-2</v>
      </c>
      <c r="O19" s="6" t="str">
        <f t="shared" ref="O19:O29" ca="1" si="32">INDIRECT(CONCATENATE("'",$A19,"'!$C$170"))</f>
        <v>n.v.t.</v>
      </c>
      <c r="P19" s="207" t="str">
        <f ca="1">CONCATENATE(ROUND(INDIRECT(CONCATENATE("'",$A19,"'!$C$176")),P$5)," / 0,000")</f>
        <v>0,002 / 0,000</v>
      </c>
      <c r="Q19" s="6" t="e">
        <f t="shared" ca="1" si="17"/>
        <v>#VALUE!</v>
      </c>
      <c r="R19" s="368">
        <f t="shared" ref="R19:R29" ca="1" si="33">ROUND(INDIRECT(CONCATENATE("'",$A19,"'!$C$160")),R$5)</f>
        <v>2140</v>
      </c>
      <c r="S19" s="369">
        <f t="shared" ca="1" si="18"/>
        <v>13413.24</v>
      </c>
      <c r="T19" s="7">
        <f t="shared" ca="1" si="19"/>
        <v>0</v>
      </c>
      <c r="U19" s="350">
        <f ca="1">INDIRECT(CONCATENATE("'",$A19,"'!$C$15"))</f>
        <v>0</v>
      </c>
      <c r="V19" s="350">
        <f ca="1">INDIRECT(CONCATENATE("'",$A19,"'!$C$16"))</f>
        <v>0</v>
      </c>
      <c r="W19" s="348" t="str">
        <f ca="1">INDIRECT(CONCATENATE("'",$A19,"'!$C$170"))</f>
        <v>n.v.t.</v>
      </c>
      <c r="X19" s="348" t="str">
        <f ca="1">INDIRECT(CONCATENATE("'",$A19,"'!$C$171"))</f>
        <v>n.v.t.</v>
      </c>
      <c r="Y19" s="349">
        <f ca="1">INDIRECT(CONCATENATE("'",$A19,"'!$C$173"))</f>
        <v>0.08</v>
      </c>
      <c r="Z19" s="349">
        <f ca="1">Y19+J19</f>
        <v>8.2000000000000003E-2</v>
      </c>
      <c r="AA19" s="388" t="str">
        <f t="shared" ref="AA19:AA29" ca="1" si="34">INDIRECT(CONCATENATE("'",$A19,"'!$C$167"))</f>
        <v>n.v.t.</v>
      </c>
    </row>
    <row r="20" spans="1:27" s="141" customFormat="1" ht="12" customHeight="1">
      <c r="A20" s="71">
        <f>A19+1</f>
        <v>11</v>
      </c>
      <c r="B20" s="71" t="str">
        <f t="shared" ca="1" si="0"/>
        <v>Windenergie, 1 MW – windsnelheid ≥ 8,00 m/s op gva</v>
      </c>
      <c r="C20" s="6" t="str">
        <f t="shared" ca="1" si="3"/>
        <v>kWh</v>
      </c>
      <c r="D20" s="6" t="str">
        <f t="shared" ca="1" si="4"/>
        <v>Elektriciteit</v>
      </c>
      <c r="E20" s="207">
        <f t="shared" ca="1" si="5"/>
        <v>0.14799999999999999</v>
      </c>
      <c r="F20" s="232" t="str">
        <f t="shared" ca="1" si="6"/>
        <v>46.3</v>
      </c>
      <c r="G20" s="6">
        <f t="shared" ca="1" si="7"/>
        <v>0.11070000000000001</v>
      </c>
      <c r="H20" s="8">
        <f t="shared" ca="1" si="8"/>
        <v>5.9000000000000004E-2</v>
      </c>
      <c r="I20" s="217">
        <f t="shared" ca="1" si="30"/>
        <v>5.7000000000000002E-2</v>
      </c>
      <c r="J20" s="207">
        <f t="shared" ref="J20:J29" ca="1" si="35">ROUND(INDIRECT(CONCATENATE("'",$A20,"'!$C$176")),J$5)</f>
        <v>2E-3</v>
      </c>
      <c r="K20" s="207">
        <f t="shared" ref="K20:K29" ca="1" si="36">ROUND(INDIRECT(CONCATENATE("'",$A20,"'!$C$177")),K$5)</f>
        <v>0</v>
      </c>
      <c r="L20" s="8">
        <f t="shared" ref="L20:L29" ca="1" si="37">ROUND(INDIRECT(CONCATENATE("'",$A20,"'!$C$179")),L$5)</f>
        <v>0</v>
      </c>
      <c r="M20" s="207">
        <f t="shared" ref="M20:M29" ca="1" si="38">E20*G20/1000+H20</f>
        <v>5.9016383600000007E-2</v>
      </c>
      <c r="N20" s="207">
        <f t="shared" ca="1" si="31"/>
        <v>3.7999999999999999E-2</v>
      </c>
      <c r="O20" s="6" t="str">
        <f t="shared" ca="1" si="32"/>
        <v>n.v.t.</v>
      </c>
      <c r="P20" s="207" t="str">
        <f t="shared" ref="P20:P29" ca="1" si="39">CONCATENATE(ROUND(INDIRECT(CONCATENATE("'",$A20,"'!$C$176")),P$5)," / 0,000")</f>
        <v>0,002 / 0,000</v>
      </c>
      <c r="Q20" s="6" t="e">
        <f t="shared" ca="1" si="17"/>
        <v>#VALUE!</v>
      </c>
      <c r="R20" s="368">
        <f t="shared" ca="1" si="33"/>
        <v>2070</v>
      </c>
      <c r="S20" s="369">
        <f t="shared" ca="1" si="18"/>
        <v>10377.14</v>
      </c>
      <c r="T20" s="7">
        <f t="shared" ca="1" si="19"/>
        <v>0</v>
      </c>
      <c r="U20" s="350">
        <f t="shared" ref="U20:U29" ca="1" si="40">INDIRECT(CONCATENATE("'",$A20,"'!$C$15"))</f>
        <v>0</v>
      </c>
      <c r="V20" s="350">
        <f t="shared" ref="V20:V29" ca="1" si="41">INDIRECT(CONCATENATE("'",$A20,"'!$C$16"))</f>
        <v>0</v>
      </c>
      <c r="W20" s="348" t="str">
        <f t="shared" ref="W20:W29" ca="1" si="42">INDIRECT(CONCATENATE("'",$A20,"'!$C$170"))</f>
        <v>n.v.t.</v>
      </c>
      <c r="X20" s="348" t="str">
        <f t="shared" ref="X20:X29" ca="1" si="43">INDIRECT(CONCATENATE("'",$A20,"'!$C$171"))</f>
        <v>n.v.t.</v>
      </c>
      <c r="Y20" s="349">
        <f t="shared" ref="Y20:Y29" ca="1" si="44">INDIRECT(CONCATENATE("'",$A20,"'!$C$173"))</f>
        <v>0.08</v>
      </c>
      <c r="Z20" s="349">
        <f t="shared" ref="Z20:Z29" ca="1" si="45">Y20+J20</f>
        <v>8.2000000000000003E-2</v>
      </c>
      <c r="AA20" s="388" t="str">
        <f t="shared" ca="1" si="34"/>
        <v>n.v.t.</v>
      </c>
    </row>
    <row r="21" spans="1:27" s="141" customFormat="1" ht="12" customHeight="1">
      <c r="A21" s="71">
        <f t="shared" ref="A21:A29" si="46">A20+1</f>
        <v>12</v>
      </c>
      <c r="B21" s="71" t="str">
        <f t="shared" ca="1" si="0"/>
        <v>Windenergie, 1 MW – windsnelheid 7,50 - 8,00 m/s op gva</v>
      </c>
      <c r="C21" s="6" t="str">
        <f t="shared" ca="1" si="3"/>
        <v>kWh</v>
      </c>
      <c r="D21" s="6" t="str">
        <f t="shared" ca="1" si="4"/>
        <v>Elektriciteit</v>
      </c>
      <c r="E21" s="207">
        <f t="shared" ca="1" si="5"/>
        <v>0.17</v>
      </c>
      <c r="F21" s="232" t="str">
        <f t="shared" ca="1" si="6"/>
        <v>46.3</v>
      </c>
      <c r="G21" s="6">
        <f t="shared" ca="1" si="7"/>
        <v>0.11070000000000001</v>
      </c>
      <c r="H21" s="8">
        <f t="shared" ca="1" si="8"/>
        <v>5.9000000000000004E-2</v>
      </c>
      <c r="I21" s="217">
        <f t="shared" ca="1" si="30"/>
        <v>5.7000000000000002E-2</v>
      </c>
      <c r="J21" s="207">
        <f t="shared" ca="1" si="35"/>
        <v>2E-3</v>
      </c>
      <c r="K21" s="207">
        <f t="shared" ca="1" si="36"/>
        <v>0</v>
      </c>
      <c r="L21" s="8">
        <f t="shared" ca="1" si="37"/>
        <v>0</v>
      </c>
      <c r="M21" s="207">
        <f t="shared" ca="1" si="38"/>
        <v>5.9018819000000007E-2</v>
      </c>
      <c r="N21" s="207">
        <f t="shared" ca="1" si="31"/>
        <v>3.7999999999999999E-2</v>
      </c>
      <c r="O21" s="6" t="str">
        <f t="shared" ca="1" si="32"/>
        <v>n.v.t.</v>
      </c>
      <c r="P21" s="207" t="str">
        <f t="shared" ca="1" si="39"/>
        <v>0,002 / 0,000</v>
      </c>
      <c r="Q21" s="6" t="e">
        <f t="shared" ca="1" si="17"/>
        <v>#VALUE!</v>
      </c>
      <c r="R21" s="368">
        <f t="shared" ca="1" si="33"/>
        <v>1760</v>
      </c>
      <c r="S21" s="369">
        <f t="shared" ca="1" si="18"/>
        <v>10377.14</v>
      </c>
      <c r="T21" s="7">
        <f t="shared" ca="1" si="19"/>
        <v>0</v>
      </c>
      <c r="U21" s="350">
        <f t="shared" ca="1" si="40"/>
        <v>0</v>
      </c>
      <c r="V21" s="350">
        <f t="shared" ca="1" si="41"/>
        <v>0</v>
      </c>
      <c r="W21" s="348" t="str">
        <f t="shared" ca="1" si="42"/>
        <v>n.v.t.</v>
      </c>
      <c r="X21" s="348" t="str">
        <f t="shared" ca="1" si="43"/>
        <v>n.v.t.</v>
      </c>
      <c r="Y21" s="349">
        <f t="shared" ca="1" si="44"/>
        <v>0.08</v>
      </c>
      <c r="Z21" s="349">
        <f t="shared" ca="1" si="45"/>
        <v>8.2000000000000003E-2</v>
      </c>
      <c r="AA21" s="388" t="str">
        <f t="shared" ca="1" si="34"/>
        <v>n.v.t.</v>
      </c>
    </row>
    <row r="22" spans="1:27" s="141" customFormat="1" ht="12" customHeight="1">
      <c r="A22" s="71">
        <f t="shared" si="46"/>
        <v>13</v>
      </c>
      <c r="B22" s="71" t="str">
        <f t="shared" ca="1" si="0"/>
        <v>Windenergie, 1 MW – windsnelheid 7,00 - 7,50 m/s op gva</v>
      </c>
      <c r="C22" s="6" t="str">
        <f t="shared" ca="1" si="3"/>
        <v>kWh</v>
      </c>
      <c r="D22" s="6" t="str">
        <f t="shared" ca="1" si="4"/>
        <v>Elektriciteit</v>
      </c>
      <c r="E22" s="207">
        <f t="shared" ca="1" si="5"/>
        <v>0.182</v>
      </c>
      <c r="F22" s="232" t="str">
        <f t="shared" ca="1" si="6"/>
        <v>46.3</v>
      </c>
      <c r="G22" s="6">
        <f t="shared" ca="1" si="7"/>
        <v>0.11070000000000001</v>
      </c>
      <c r="H22" s="8">
        <f t="shared" ca="1" si="8"/>
        <v>5.9000000000000004E-2</v>
      </c>
      <c r="I22" s="217">
        <f t="shared" ca="1" si="30"/>
        <v>5.7000000000000002E-2</v>
      </c>
      <c r="J22" s="207">
        <f t="shared" ca="1" si="35"/>
        <v>2E-3</v>
      </c>
      <c r="K22" s="207">
        <f t="shared" ca="1" si="36"/>
        <v>0</v>
      </c>
      <c r="L22" s="8">
        <f t="shared" ca="1" si="37"/>
        <v>0</v>
      </c>
      <c r="M22" s="207">
        <f t="shared" ca="1" si="38"/>
        <v>5.90201474E-2</v>
      </c>
      <c r="N22" s="207">
        <f t="shared" ca="1" si="31"/>
        <v>3.7999999999999999E-2</v>
      </c>
      <c r="O22" s="6" t="str">
        <f t="shared" ca="1" si="32"/>
        <v>n.v.t.</v>
      </c>
      <c r="P22" s="207" t="str">
        <f t="shared" ca="1" si="39"/>
        <v>0,002 / 0,000</v>
      </c>
      <c r="Q22" s="6" t="e">
        <f t="shared" ca="1" si="17"/>
        <v>#VALUE!</v>
      </c>
      <c r="R22" s="368">
        <f t="shared" ca="1" si="33"/>
        <v>1630</v>
      </c>
      <c r="S22" s="369">
        <f t="shared" ca="1" si="18"/>
        <v>10377.14</v>
      </c>
      <c r="T22" s="7">
        <f t="shared" ca="1" si="19"/>
        <v>0</v>
      </c>
      <c r="U22" s="350">
        <f t="shared" ca="1" si="40"/>
        <v>0</v>
      </c>
      <c r="V22" s="350">
        <f t="shared" ca="1" si="41"/>
        <v>0</v>
      </c>
      <c r="W22" s="348" t="str">
        <f t="shared" ca="1" si="42"/>
        <v>n.v.t.</v>
      </c>
      <c r="X22" s="348" t="str">
        <f t="shared" ca="1" si="43"/>
        <v>n.v.t.</v>
      </c>
      <c r="Y22" s="349">
        <f t="shared" ca="1" si="44"/>
        <v>0.08</v>
      </c>
      <c r="Z22" s="349">
        <f t="shared" ca="1" si="45"/>
        <v>8.2000000000000003E-2</v>
      </c>
      <c r="AA22" s="388" t="str">
        <f t="shared" ca="1" si="34"/>
        <v>n.v.t.</v>
      </c>
    </row>
    <row r="23" spans="1:27" s="141" customFormat="1" ht="12" customHeight="1">
      <c r="A23" s="71">
        <f t="shared" si="46"/>
        <v>14</v>
      </c>
      <c r="B23" s="71" t="str">
        <f t="shared" ca="1" si="0"/>
        <v>Windenergie, 1 MW – windsnelheid 6,75 - 7,00 m/s op gva</v>
      </c>
      <c r="C23" s="6" t="str">
        <f t="shared" ca="1" si="3"/>
        <v>kWh</v>
      </c>
      <c r="D23" s="6" t="str">
        <f t="shared" ca="1" si="4"/>
        <v>Elektriciteit</v>
      </c>
      <c r="E23" s="207">
        <f t="shared" ca="1" si="5"/>
        <v>0.19600000000000001</v>
      </c>
      <c r="F23" s="232" t="str">
        <f t="shared" ca="1" si="6"/>
        <v>46.3</v>
      </c>
      <c r="G23" s="6">
        <f t="shared" ca="1" si="7"/>
        <v>0.11070000000000001</v>
      </c>
      <c r="H23" s="8">
        <f t="shared" ca="1" si="8"/>
        <v>5.9000000000000004E-2</v>
      </c>
      <c r="I23" s="217">
        <f t="shared" ca="1" si="30"/>
        <v>5.7000000000000002E-2</v>
      </c>
      <c r="J23" s="207">
        <f t="shared" ca="1" si="35"/>
        <v>2E-3</v>
      </c>
      <c r="K23" s="207">
        <f t="shared" ca="1" si="36"/>
        <v>0</v>
      </c>
      <c r="L23" s="8">
        <f t="shared" ca="1" si="37"/>
        <v>0</v>
      </c>
      <c r="M23" s="207">
        <f t="shared" ca="1" si="38"/>
        <v>5.9021697200000001E-2</v>
      </c>
      <c r="N23" s="207">
        <f t="shared" ca="1" si="31"/>
        <v>3.7999999999999999E-2</v>
      </c>
      <c r="O23" s="6" t="str">
        <f t="shared" ca="1" si="32"/>
        <v>n.v.t.</v>
      </c>
      <c r="P23" s="207" t="str">
        <f t="shared" ca="1" si="39"/>
        <v>0,002 / 0,000</v>
      </c>
      <c r="Q23" s="6" t="e">
        <f t="shared" ca="1" si="17"/>
        <v>#VALUE!</v>
      </c>
      <c r="R23" s="368">
        <f t="shared" ca="1" si="33"/>
        <v>1500</v>
      </c>
      <c r="S23" s="369">
        <f t="shared" ca="1" si="18"/>
        <v>10377.14</v>
      </c>
      <c r="T23" s="7">
        <f t="shared" ca="1" si="19"/>
        <v>0</v>
      </c>
      <c r="U23" s="350">
        <f t="shared" ca="1" si="40"/>
        <v>0</v>
      </c>
      <c r="V23" s="350">
        <f t="shared" ca="1" si="41"/>
        <v>0</v>
      </c>
      <c r="W23" s="348" t="str">
        <f t="shared" ca="1" si="42"/>
        <v>n.v.t.</v>
      </c>
      <c r="X23" s="348" t="str">
        <f t="shared" ca="1" si="43"/>
        <v>n.v.t.</v>
      </c>
      <c r="Y23" s="349">
        <f t="shared" ca="1" si="44"/>
        <v>0.08</v>
      </c>
      <c r="Z23" s="349">
        <f t="shared" ca="1" si="45"/>
        <v>8.2000000000000003E-2</v>
      </c>
      <c r="AA23" s="388" t="str">
        <f t="shared" ca="1" si="34"/>
        <v>n.v.t.</v>
      </c>
    </row>
    <row r="24" spans="1:27" s="141" customFormat="1" ht="12" customHeight="1">
      <c r="A24" s="71">
        <f t="shared" si="46"/>
        <v>15</v>
      </c>
      <c r="B24" s="71" t="str">
        <f t="shared" ca="1" si="0"/>
        <v>Windenergie, 1 MW – windsnelheid &lt; 6,75 m/s op gva</v>
      </c>
      <c r="C24" s="6" t="str">
        <f t="shared" ca="1" si="3"/>
        <v>kWh</v>
      </c>
      <c r="D24" s="6" t="str">
        <f t="shared" ca="1" si="4"/>
        <v>Elektriciteit</v>
      </c>
      <c r="E24" s="207">
        <f t="shared" ca="1" si="5"/>
        <v>0.21099999999999999</v>
      </c>
      <c r="F24" s="232" t="str">
        <f t="shared" ca="1" si="6"/>
        <v>46.3</v>
      </c>
      <c r="G24" s="6">
        <f t="shared" ca="1" si="7"/>
        <v>0.11070000000000001</v>
      </c>
      <c r="H24" s="8">
        <f t="shared" ca="1" si="8"/>
        <v>5.9000000000000004E-2</v>
      </c>
      <c r="I24" s="217">
        <f t="shared" ca="1" si="30"/>
        <v>5.7000000000000002E-2</v>
      </c>
      <c r="J24" s="207">
        <f t="shared" ca="1" si="35"/>
        <v>2E-3</v>
      </c>
      <c r="K24" s="207">
        <f t="shared" ca="1" si="36"/>
        <v>0</v>
      </c>
      <c r="L24" s="8">
        <f t="shared" ca="1" si="37"/>
        <v>0</v>
      </c>
      <c r="M24" s="207">
        <f t="shared" ca="1" si="38"/>
        <v>5.9023357700000001E-2</v>
      </c>
      <c r="N24" s="207">
        <f t="shared" ca="1" si="31"/>
        <v>3.7999999999999999E-2</v>
      </c>
      <c r="O24" s="6" t="str">
        <f t="shared" ca="1" si="32"/>
        <v>n.v.t.</v>
      </c>
      <c r="P24" s="207" t="str">
        <f t="shared" ca="1" si="39"/>
        <v>0,002 / 0,000</v>
      </c>
      <c r="Q24" s="6" t="e">
        <f t="shared" ca="1" si="17"/>
        <v>#VALUE!</v>
      </c>
      <c r="R24" s="368">
        <f t="shared" ca="1" si="33"/>
        <v>1380</v>
      </c>
      <c r="S24" s="369">
        <f t="shared" ca="1" si="18"/>
        <v>10377.14</v>
      </c>
      <c r="T24" s="7">
        <f t="shared" ca="1" si="19"/>
        <v>0</v>
      </c>
      <c r="U24" s="350">
        <f t="shared" ca="1" si="40"/>
        <v>0</v>
      </c>
      <c r="V24" s="350">
        <f t="shared" ca="1" si="41"/>
        <v>0</v>
      </c>
      <c r="W24" s="348" t="str">
        <f t="shared" ca="1" si="42"/>
        <v>n.v.t.</v>
      </c>
      <c r="X24" s="348" t="str">
        <f t="shared" ca="1" si="43"/>
        <v>n.v.t.</v>
      </c>
      <c r="Y24" s="349">
        <f t="shared" ca="1" si="44"/>
        <v>0.08</v>
      </c>
      <c r="Z24" s="349">
        <f t="shared" ca="1" si="45"/>
        <v>8.2000000000000003E-2</v>
      </c>
      <c r="AA24" s="388" t="str">
        <f t="shared" ca="1" si="34"/>
        <v>n.v.t.</v>
      </c>
    </row>
    <row r="25" spans="1:27" s="141" customFormat="1" ht="12" customHeight="1">
      <c r="A25" s="71">
        <f t="shared" si="46"/>
        <v>16</v>
      </c>
      <c r="B25" s="71" t="str">
        <f t="shared" ca="1" si="0"/>
        <v>Windenergie, tot 6MW – windsnelheid 8,00 ≥ m/s, (referentie 15 MW, gva)</v>
      </c>
      <c r="C25" s="6" t="str">
        <f t="shared" ca="1" si="3"/>
        <v>kWh</v>
      </c>
      <c r="D25" s="6" t="str">
        <f t="shared" ca="1" si="4"/>
        <v>Elektriciteit</v>
      </c>
      <c r="E25" s="207">
        <f t="shared" ca="1" si="5"/>
        <v>7.0000000000000007E-2</v>
      </c>
      <c r="F25" s="232" t="str">
        <f t="shared" ca="1" si="6"/>
        <v>46.3</v>
      </c>
      <c r="G25" s="6">
        <f t="shared" ca="1" si="7"/>
        <v>0.11070000000000001</v>
      </c>
      <c r="H25" s="8">
        <f t="shared" ca="1" si="8"/>
        <v>5.9000000000000004E-2</v>
      </c>
      <c r="I25" s="217">
        <f t="shared" ca="1" si="30"/>
        <v>5.7000000000000002E-2</v>
      </c>
      <c r="J25" s="207">
        <f t="shared" ca="1" si="35"/>
        <v>2E-3</v>
      </c>
      <c r="K25" s="207">
        <f t="shared" ca="1" si="36"/>
        <v>0</v>
      </c>
      <c r="L25" s="8">
        <f t="shared" ca="1" si="37"/>
        <v>0</v>
      </c>
      <c r="M25" s="207">
        <f t="shared" ca="1" si="38"/>
        <v>5.9007749000000005E-2</v>
      </c>
      <c r="N25" s="207">
        <f t="shared" ca="1" si="31"/>
        <v>3.7999999999999999E-2</v>
      </c>
      <c r="O25" s="6" t="str">
        <f t="shared" ca="1" si="32"/>
        <v>n.v.t.</v>
      </c>
      <c r="P25" s="207" t="str">
        <f t="shared" ca="1" si="39"/>
        <v>0,002 / 0,000</v>
      </c>
      <c r="Q25" s="6" t="e">
        <f t="shared" ca="1" si="17"/>
        <v>#VALUE!</v>
      </c>
      <c r="R25" s="368">
        <f t="shared" ca="1" si="33"/>
        <v>3300</v>
      </c>
      <c r="S25" s="369">
        <f t="shared" ca="1" si="18"/>
        <v>2147931</v>
      </c>
      <c r="T25" s="7">
        <f t="shared" ca="1" si="19"/>
        <v>0</v>
      </c>
      <c r="U25" s="350">
        <f t="shared" ca="1" si="40"/>
        <v>0</v>
      </c>
      <c r="V25" s="350">
        <f t="shared" ca="1" si="41"/>
        <v>0</v>
      </c>
      <c r="W25" s="348" t="str">
        <f t="shared" ca="1" si="42"/>
        <v>n.v.t.</v>
      </c>
      <c r="X25" s="348" t="str">
        <f t="shared" ca="1" si="43"/>
        <v>n.v.t.</v>
      </c>
      <c r="Y25" s="349">
        <f t="shared" ca="1" si="44"/>
        <v>0.08</v>
      </c>
      <c r="Z25" s="349">
        <f t="shared" ca="1" si="45"/>
        <v>8.2000000000000003E-2</v>
      </c>
      <c r="AA25" s="388" t="str">
        <f t="shared" ca="1" si="34"/>
        <v>n.v.t.</v>
      </c>
    </row>
    <row r="26" spans="1:27" s="141" customFormat="1" ht="12" customHeight="1">
      <c r="A26" s="71">
        <f t="shared" si="46"/>
        <v>17</v>
      </c>
      <c r="B26" s="71" t="str">
        <f t="shared" ca="1" si="0"/>
        <v>Windenergie, tot 6MW – windsnelheid 7,50 - 8,00 m/s, (referentie 15 MW, gva)</v>
      </c>
      <c r="C26" s="6" t="str">
        <f t="shared" ref="C26:C32" ca="1" si="47">INDIRECT(CONCATENATE("'",$A26,"'!$C$7"))</f>
        <v>kWh</v>
      </c>
      <c r="D26" s="6" t="str">
        <f t="shared" ref="D26:D32" ca="1" si="48">INDIRECT(CONCATENATE("'",$A26,"'!$C$9"))</f>
        <v>Elektriciteit</v>
      </c>
      <c r="E26" s="207">
        <f ca="1">ROUND(INDIRECT(CONCATENATE("'",$A26,"'!$C$5")),E$5)</f>
        <v>7.5999999999999998E-2</v>
      </c>
      <c r="F26" s="232" t="str">
        <f t="shared" ref="F26:F32" ca="1" si="49">IF(AND(INDIRECT(CONCATENATE("'",$A26,"'!$C$15"))&gt;0,INDIRECT(CONCATENATE("'",$A26,"'!$C$16"))&gt;0),INDIRECT(CONCATENATE("'",$A26,"'!$C$15"))&amp;" / "&amp;INDIRECT(CONCATENATE("'",$A26,"'!$C$16")),INDIRECT(CONCATENATE("'",$A26,"'!$C$12")))</f>
        <v>46.3</v>
      </c>
      <c r="G26" s="6">
        <f t="shared" ref="G26:G32" ca="1" si="50">ROUND(INDIRECT(CONCATENATE("'",$A26,"'!$C$70")),G$5)</f>
        <v>0.11070000000000001</v>
      </c>
      <c r="H26" s="8">
        <f ca="1">SUM(I26:L26)</f>
        <v>5.9000000000000004E-2</v>
      </c>
      <c r="I26" s="217">
        <f t="shared" ca="1" si="30"/>
        <v>5.7000000000000002E-2</v>
      </c>
      <c r="J26" s="207">
        <f t="shared" ca="1" si="35"/>
        <v>2E-3</v>
      </c>
      <c r="K26" s="207">
        <f t="shared" ca="1" si="36"/>
        <v>0</v>
      </c>
      <c r="L26" s="8">
        <f t="shared" ca="1" si="37"/>
        <v>0</v>
      </c>
      <c r="M26" s="207">
        <f t="shared" ca="1" si="38"/>
        <v>5.9008413200000005E-2</v>
      </c>
      <c r="N26" s="207">
        <f t="shared" ca="1" si="31"/>
        <v>3.7999999999999999E-2</v>
      </c>
      <c r="O26" s="6" t="str">
        <f t="shared" ca="1" si="32"/>
        <v>n.v.t.</v>
      </c>
      <c r="P26" s="207" t="str">
        <f t="shared" ca="1" si="39"/>
        <v>0,002 / 0,000</v>
      </c>
      <c r="Q26" s="6" t="e">
        <f t="shared" ref="Q26:Q32" ca="1" si="51">ROUND(INDIRECT(CONCATENATE("'",$A26,"'!$C$171")),Q$5)</f>
        <v>#VALUE!</v>
      </c>
      <c r="R26" s="368">
        <f t="shared" ca="1" si="33"/>
        <v>2950</v>
      </c>
      <c r="S26" s="369">
        <f t="shared" ref="S26:S32" ca="1" si="52">ROUND(INDIRECT(CONCATENATE("'",$A26,"'!$C$158")),S$5)</f>
        <v>2147931</v>
      </c>
      <c r="T26" s="7">
        <f t="shared" ref="T26:T32" ca="1" si="53">INDIRECT(CONCATENATE("'",$A26,"'!$C$13"))</f>
        <v>0</v>
      </c>
      <c r="U26" s="350">
        <f t="shared" ca="1" si="40"/>
        <v>0</v>
      </c>
      <c r="V26" s="350">
        <f t="shared" ca="1" si="41"/>
        <v>0</v>
      </c>
      <c r="W26" s="348" t="str">
        <f t="shared" ca="1" si="42"/>
        <v>n.v.t.</v>
      </c>
      <c r="X26" s="348" t="str">
        <f t="shared" ca="1" si="43"/>
        <v>n.v.t.</v>
      </c>
      <c r="Y26" s="349">
        <f t="shared" ca="1" si="44"/>
        <v>0.08</v>
      </c>
      <c r="Z26" s="349">
        <f t="shared" ca="1" si="45"/>
        <v>8.2000000000000003E-2</v>
      </c>
      <c r="AA26" s="388" t="str">
        <f t="shared" ca="1" si="34"/>
        <v>n.v.t.</v>
      </c>
    </row>
    <row r="27" spans="1:27" s="141" customFormat="1" ht="12" customHeight="1">
      <c r="A27" s="71">
        <f t="shared" si="46"/>
        <v>18</v>
      </c>
      <c r="B27" s="71" t="str">
        <f t="shared" ca="1" si="0"/>
        <v>Windenergie, tot 6MW – windsnelheid 7,00 - 7,50 m/s, (referentie 15 MW, gva)</v>
      </c>
      <c r="C27" s="6" t="str">
        <f t="shared" ca="1" si="47"/>
        <v>kWh</v>
      </c>
      <c r="D27" s="6" t="str">
        <f t="shared" ca="1" si="48"/>
        <v>Elektriciteit</v>
      </c>
      <c r="E27" s="207">
        <f t="shared" ref="E27:E32" ca="1" si="54">ROUND(INDIRECT(CONCATENATE("'",$A27,"'!$C$5")),E$5)</f>
        <v>8.3000000000000004E-2</v>
      </c>
      <c r="F27" s="232" t="str">
        <f t="shared" ca="1" si="49"/>
        <v>46.3</v>
      </c>
      <c r="G27" s="6">
        <f t="shared" ca="1" si="50"/>
        <v>0.11070000000000001</v>
      </c>
      <c r="H27" s="8">
        <f t="shared" ref="H27:H29" ca="1" si="55">SUM(I27:L27)</f>
        <v>5.9000000000000004E-2</v>
      </c>
      <c r="I27" s="217">
        <f t="shared" ca="1" si="30"/>
        <v>5.7000000000000002E-2</v>
      </c>
      <c r="J27" s="207">
        <f t="shared" ca="1" si="35"/>
        <v>2E-3</v>
      </c>
      <c r="K27" s="207">
        <f t="shared" ca="1" si="36"/>
        <v>0</v>
      </c>
      <c r="L27" s="8">
        <f t="shared" ca="1" si="37"/>
        <v>0</v>
      </c>
      <c r="M27" s="207">
        <f t="shared" ca="1" si="38"/>
        <v>5.9009188100000005E-2</v>
      </c>
      <c r="N27" s="207">
        <f t="shared" ca="1" si="31"/>
        <v>3.7999999999999999E-2</v>
      </c>
      <c r="O27" s="6" t="str">
        <f t="shared" ca="1" si="32"/>
        <v>n.v.t.</v>
      </c>
      <c r="P27" s="207" t="str">
        <f t="shared" ca="1" si="39"/>
        <v>0,002 / 0,000</v>
      </c>
      <c r="Q27" s="6" t="e">
        <f t="shared" ca="1" si="51"/>
        <v>#VALUE!</v>
      </c>
      <c r="R27" s="368">
        <f t="shared" ca="1" si="33"/>
        <v>2660</v>
      </c>
      <c r="S27" s="369">
        <f t="shared" ca="1" si="52"/>
        <v>2147931</v>
      </c>
      <c r="T27" s="7">
        <f t="shared" ca="1" si="53"/>
        <v>0</v>
      </c>
      <c r="U27" s="350">
        <f t="shared" ca="1" si="40"/>
        <v>0</v>
      </c>
      <c r="V27" s="350">
        <f t="shared" ca="1" si="41"/>
        <v>0</v>
      </c>
      <c r="W27" s="348" t="str">
        <f t="shared" ca="1" si="42"/>
        <v>n.v.t.</v>
      </c>
      <c r="X27" s="348" t="str">
        <f t="shared" ca="1" si="43"/>
        <v>n.v.t.</v>
      </c>
      <c r="Y27" s="349">
        <f t="shared" ca="1" si="44"/>
        <v>0.08</v>
      </c>
      <c r="Z27" s="349">
        <f t="shared" ca="1" si="45"/>
        <v>8.2000000000000003E-2</v>
      </c>
      <c r="AA27" s="388" t="str">
        <f t="shared" ca="1" si="34"/>
        <v>n.v.t.</v>
      </c>
    </row>
    <row r="28" spans="1:27" s="141" customFormat="1" ht="12" customHeight="1">
      <c r="A28" s="71">
        <f t="shared" si="46"/>
        <v>19</v>
      </c>
      <c r="B28" s="71" t="str">
        <f t="shared" ca="1" si="0"/>
        <v>Windenergie, tot 6MW – windsnelheid 6,75 - 7,00 m/s, (referentie 15 MW, gva)</v>
      </c>
      <c r="C28" s="6" t="str">
        <f t="shared" ca="1" si="47"/>
        <v>kWh</v>
      </c>
      <c r="D28" s="6" t="str">
        <f t="shared" ca="1" si="48"/>
        <v>Elektriciteit</v>
      </c>
      <c r="E28" s="207">
        <f t="shared" ca="1" si="54"/>
        <v>8.8999999999999996E-2</v>
      </c>
      <c r="F28" s="232" t="str">
        <f t="shared" ca="1" si="49"/>
        <v>46.3</v>
      </c>
      <c r="G28" s="6">
        <f t="shared" ca="1" si="50"/>
        <v>0.11070000000000001</v>
      </c>
      <c r="H28" s="8">
        <f t="shared" ca="1" si="55"/>
        <v>5.9000000000000004E-2</v>
      </c>
      <c r="I28" s="217">
        <f t="shared" ca="1" si="30"/>
        <v>5.7000000000000002E-2</v>
      </c>
      <c r="J28" s="207">
        <f t="shared" ca="1" si="35"/>
        <v>2E-3</v>
      </c>
      <c r="K28" s="207">
        <f t="shared" ca="1" si="36"/>
        <v>0</v>
      </c>
      <c r="L28" s="8">
        <f t="shared" ca="1" si="37"/>
        <v>0</v>
      </c>
      <c r="M28" s="207">
        <f t="shared" ca="1" si="38"/>
        <v>5.9009852300000006E-2</v>
      </c>
      <c r="N28" s="207">
        <f t="shared" ca="1" si="31"/>
        <v>3.7999999999999999E-2</v>
      </c>
      <c r="O28" s="6" t="str">
        <f t="shared" ca="1" si="32"/>
        <v>n.v.t.</v>
      </c>
      <c r="P28" s="207" t="str">
        <f t="shared" ca="1" si="39"/>
        <v>0,002 / 0,000</v>
      </c>
      <c r="Q28" s="6" t="e">
        <f t="shared" ca="1" si="51"/>
        <v>#VALUE!</v>
      </c>
      <c r="R28" s="368">
        <f t="shared" ca="1" si="33"/>
        <v>2450</v>
      </c>
      <c r="S28" s="369">
        <f t="shared" ca="1" si="52"/>
        <v>2147931</v>
      </c>
      <c r="T28" s="7">
        <f t="shared" ca="1" si="53"/>
        <v>0</v>
      </c>
      <c r="U28" s="350">
        <f ca="1">INDIRECT(CONCATENATE("'",$A28,"'!$C$15"))</f>
        <v>0</v>
      </c>
      <c r="V28" s="350">
        <f t="shared" ca="1" si="41"/>
        <v>0</v>
      </c>
      <c r="W28" s="348" t="str">
        <f t="shared" ca="1" si="42"/>
        <v>n.v.t.</v>
      </c>
      <c r="X28" s="348" t="str">
        <f t="shared" ca="1" si="43"/>
        <v>n.v.t.</v>
      </c>
      <c r="Y28" s="349">
        <f t="shared" ca="1" si="44"/>
        <v>0.08</v>
      </c>
      <c r="Z28" s="349">
        <f t="shared" ca="1" si="45"/>
        <v>8.2000000000000003E-2</v>
      </c>
      <c r="AA28" s="388" t="str">
        <f t="shared" ca="1" si="34"/>
        <v>n.v.t.</v>
      </c>
    </row>
    <row r="29" spans="1:27" s="141" customFormat="1" ht="12" customHeight="1">
      <c r="A29" s="71">
        <f t="shared" si="46"/>
        <v>20</v>
      </c>
      <c r="B29" s="71" t="str">
        <f t="shared" ca="1" si="0"/>
        <v>Windenergie, tot 6MW – windsnelheid &lt; 6,75  m/s, (referentie 15 MW, gva)</v>
      </c>
      <c r="C29" s="6" t="str">
        <f t="shared" ca="1" si="47"/>
        <v>kWh</v>
      </c>
      <c r="D29" s="6" t="str">
        <f t="shared" ca="1" si="48"/>
        <v>Elektriciteit</v>
      </c>
      <c r="E29" s="207">
        <f t="shared" ca="1" si="54"/>
        <v>9.4E-2</v>
      </c>
      <c r="F29" s="232" t="str">
        <f t="shared" ca="1" si="49"/>
        <v>46.3</v>
      </c>
      <c r="G29" s="6">
        <f t="shared" ca="1" si="50"/>
        <v>0.11070000000000001</v>
      </c>
      <c r="H29" s="8">
        <f t="shared" ca="1" si="55"/>
        <v>5.9000000000000004E-2</v>
      </c>
      <c r="I29" s="217">
        <f t="shared" ca="1" si="30"/>
        <v>5.7000000000000002E-2</v>
      </c>
      <c r="J29" s="207">
        <f t="shared" ca="1" si="35"/>
        <v>2E-3</v>
      </c>
      <c r="K29" s="207">
        <f t="shared" ca="1" si="36"/>
        <v>0</v>
      </c>
      <c r="L29" s="8">
        <f t="shared" ca="1" si="37"/>
        <v>0</v>
      </c>
      <c r="M29" s="207">
        <f t="shared" ca="1" si="38"/>
        <v>5.9010405800000006E-2</v>
      </c>
      <c r="N29" s="207">
        <f t="shared" ca="1" si="31"/>
        <v>3.7999999999999999E-2</v>
      </c>
      <c r="O29" s="6" t="str">
        <f t="shared" ca="1" si="32"/>
        <v>n.v.t.</v>
      </c>
      <c r="P29" s="207" t="str">
        <f t="shared" ca="1" si="39"/>
        <v>0,002 / 0,000</v>
      </c>
      <c r="Q29" s="6" t="e">
        <f t="shared" ca="1" si="51"/>
        <v>#VALUE!</v>
      </c>
      <c r="R29" s="368">
        <f t="shared" ca="1" si="33"/>
        <v>2280</v>
      </c>
      <c r="S29" s="369">
        <f t="shared" ca="1" si="52"/>
        <v>2147931</v>
      </c>
      <c r="T29" s="7">
        <f t="shared" ca="1" si="53"/>
        <v>0</v>
      </c>
      <c r="U29" s="350">
        <f t="shared" ca="1" si="40"/>
        <v>0</v>
      </c>
      <c r="V29" s="350">
        <f t="shared" ca="1" si="41"/>
        <v>0</v>
      </c>
      <c r="W29" s="348" t="str">
        <f t="shared" ca="1" si="42"/>
        <v>n.v.t.</v>
      </c>
      <c r="X29" s="348" t="str">
        <f t="shared" ca="1" si="43"/>
        <v>n.v.t.</v>
      </c>
      <c r="Y29" s="349">
        <f t="shared" ca="1" si="44"/>
        <v>0.08</v>
      </c>
      <c r="Z29" s="349">
        <f t="shared" ca="1" si="45"/>
        <v>8.2000000000000003E-2</v>
      </c>
      <c r="AA29" s="388" t="str">
        <f t="shared" ca="1" si="34"/>
        <v>n.v.t.</v>
      </c>
    </row>
    <row r="30" spans="1:27" ht="12" customHeight="1">
      <c r="A30" s="376"/>
      <c r="B30" s="71"/>
      <c r="C30" s="6"/>
      <c r="D30" s="6"/>
      <c r="E30" s="207"/>
      <c r="F30" s="232"/>
      <c r="G30" s="6"/>
      <c r="H30" s="8"/>
      <c r="I30" s="217"/>
      <c r="J30" s="207"/>
      <c r="K30" s="207"/>
      <c r="L30" s="8"/>
      <c r="M30" s="207"/>
      <c r="N30" s="207"/>
      <c r="O30" s="6"/>
      <c r="P30" s="207"/>
      <c r="Q30" s="6"/>
      <c r="R30" s="368"/>
      <c r="S30" s="369"/>
      <c r="T30" s="7"/>
      <c r="U30" s="350"/>
      <c r="V30" s="350"/>
      <c r="W30" s="348"/>
      <c r="X30" s="348"/>
      <c r="Y30" s="349"/>
      <c r="Z30" s="349"/>
      <c r="AA30" s="388"/>
    </row>
    <row r="31" spans="1:27" s="206" customFormat="1" ht="12" customHeight="1">
      <c r="A31" s="389"/>
      <c r="B31" s="390" t="s">
        <v>74</v>
      </c>
      <c r="C31" s="391"/>
      <c r="D31" s="391"/>
      <c r="E31" s="391"/>
      <c r="F31" s="392"/>
      <c r="G31" s="391"/>
      <c r="H31" s="393"/>
      <c r="I31" s="393"/>
      <c r="J31" s="391"/>
      <c r="K31" s="391"/>
      <c r="L31" s="393"/>
      <c r="M31" s="391"/>
      <c r="N31" s="391"/>
      <c r="O31" s="391"/>
      <c r="P31" s="391"/>
      <c r="Q31" s="391"/>
      <c r="R31" s="394"/>
      <c r="S31" s="395"/>
      <c r="T31" s="392"/>
      <c r="U31" s="396"/>
      <c r="V31" s="396"/>
      <c r="W31" s="397"/>
      <c r="X31" s="397"/>
      <c r="Y31" s="397"/>
      <c r="Z31" s="397"/>
      <c r="AA31" s="398"/>
    </row>
    <row r="32" spans="1:27" ht="12" customHeight="1">
      <c r="A32" s="71">
        <f>A29+1</f>
        <v>21</v>
      </c>
      <c r="B32" s="71" t="str">
        <f t="shared" ref="B32" ca="1" si="56">INDIRECT(CONCATENATE("'",A32,"'!A2"))</f>
        <v>Waterkracht 15 kW - 1 MW</v>
      </c>
      <c r="C32" s="6" t="str">
        <f t="shared" ca="1" si="47"/>
        <v>kWh</v>
      </c>
      <c r="D32" s="6" t="str">
        <f t="shared" ca="1" si="48"/>
        <v>Elektriciteit</v>
      </c>
      <c r="E32" s="207">
        <f t="shared" ca="1" si="54"/>
        <v>0.17699999999999999</v>
      </c>
      <c r="F32" s="232" t="str">
        <f t="shared" ca="1" si="49"/>
        <v>1.1</v>
      </c>
      <c r="G32" s="6">
        <f t="shared" ca="1" si="50"/>
        <v>0.12</v>
      </c>
      <c r="H32" s="8">
        <f t="shared" ref="H32" ca="1" si="57">SUM(I32:L32)</f>
        <v>7.3999999999999996E-2</v>
      </c>
      <c r="I32" s="217">
        <f ca="1">ROUND(INDIRECT(CONCATENATE("'",$A32,"'!$C$168")),I$5)</f>
        <v>7.3999999999999996E-2</v>
      </c>
      <c r="J32" s="207">
        <f ca="1">ROUND(INDIRECT(CONCATENATE("'",$A32,"'!$C$176")),J$5)</f>
        <v>0</v>
      </c>
      <c r="K32" s="207">
        <f ca="1">ROUND(INDIRECT(CONCATENATE("'",$A32,"'!$C$177")),K$5)</f>
        <v>0</v>
      </c>
      <c r="L32" s="8">
        <f ca="1">ROUND(INDIRECT(CONCATENATE("'",$A32,"'!$C$179")),L$5)</f>
        <v>0</v>
      </c>
      <c r="M32" s="207">
        <f ca="1">E32*G32/1000+H32</f>
        <v>7.4021240000000002E-2</v>
      </c>
      <c r="N32" s="207">
        <f ca="1">INDIRECT(CONCATENATE("'",$A32,"'!$C$164"))</f>
        <v>0.05</v>
      </c>
      <c r="O32" s="6" t="str">
        <f ca="1">INDIRECT(CONCATENATE("'",$A32,"'!$C$170"))</f>
        <v>n.v.t.</v>
      </c>
      <c r="P32" s="207" t="str">
        <f ca="1">CONCATENATE(ROUND(INDIRECT(CONCATENATE("'",$A32,"'!$C$176")),P$5)," / 0,000")</f>
        <v>0 / 0,000</v>
      </c>
      <c r="Q32" s="6" t="e">
        <f t="shared" ca="1" si="51"/>
        <v>#VALUE!</v>
      </c>
      <c r="R32" s="368">
        <f ca="1">ROUND(INDIRECT(CONCATENATE("'",$A32,"'!$C$160")),R$5)</f>
        <v>5000</v>
      </c>
      <c r="S32" s="369">
        <f t="shared" ca="1" si="52"/>
        <v>99390.9</v>
      </c>
      <c r="T32" s="7">
        <f t="shared" ca="1" si="53"/>
        <v>0</v>
      </c>
      <c r="U32" s="350">
        <f ca="1">INDIRECT(CONCATENATE("'",$A32,"'!$C$15"))</f>
        <v>0</v>
      </c>
      <c r="V32" s="350">
        <f ca="1">INDIRECT(CONCATENATE("'",$A32,"'!$C$16"))</f>
        <v>0</v>
      </c>
      <c r="W32" s="348" t="str">
        <f ca="1">INDIRECT(CONCATENATE("'",$A32,"'!$C$170"))</f>
        <v>n.v.t.</v>
      </c>
      <c r="X32" s="348" t="str">
        <f ca="1">INDIRECT(CONCATENATE("'",$A32,"'!$C$171"))</f>
        <v>n.v.t.</v>
      </c>
      <c r="Y32" s="349">
        <f ca="1">INDIRECT(CONCATENATE("'",$A32,"'!$C$173"))</f>
        <v>9.0999999999999998E-2</v>
      </c>
      <c r="Z32" s="349">
        <f ca="1">Y32+J32</f>
        <v>9.0999999999999998E-2</v>
      </c>
      <c r="AA32" s="388" t="str">
        <f ca="1">INDIRECT(CONCATENATE("'",$A32,"'!$C$167"))</f>
        <v>n.v.t.</v>
      </c>
    </row>
  </sheetData>
  <mergeCells count="1">
    <mergeCell ref="A2:A6"/>
  </mergeCells>
  <conditionalFormatting sqref="S7:S32">
    <cfRule type="colorScale" priority="1">
      <colorScale>
        <cfvo type="num" val="&quot;&lt;0&quot;"/>
        <cfvo type="num" val="&quot;&gt;0&quot;"/>
        <color theme="9" tint="0.39997558519241921"/>
        <color theme="4" tint="0.79998168889431442"/>
      </colorScale>
    </cfRule>
  </conditionalFormatting>
  <hyperlinks>
    <hyperlink ref="A32" location="'21'!A1" display="21" xr:uid="{6F09218D-CF22-4B24-94D3-9D7EF0617234}"/>
    <hyperlink ref="A8:B8" location="'1'!A1" display="'1'!A1" xr:uid="{DF85AB53-FA28-4A41-8D1F-72705A304C39}"/>
    <hyperlink ref="A9:B9" location="'2'!A1" display="'2'!A1" xr:uid="{7AA6DB87-E18D-4F1F-BA21-654BEA26C36A}"/>
    <hyperlink ref="A10:B10" location="'3'!A1" display="'3'!A1" xr:uid="{7CBAA0B3-6F26-441A-85F7-31D600B87142}"/>
    <hyperlink ref="A11:B11" location="'4'!A1" display="'4'!A1" xr:uid="{A3C922C0-3852-416A-9FDE-56534853B7A0}"/>
    <hyperlink ref="A12:B12" location="'5'!A1" display="'5'!A1" xr:uid="{775804BF-1647-4386-84F2-418221C26754}"/>
    <hyperlink ref="A13:B13" location="'6'!A1" display="'6'!A1" xr:uid="{323812B6-8C96-416F-9F86-AACD34082E7C}"/>
    <hyperlink ref="A14:B14" location="'7'!A1" display="'7'!A1" xr:uid="{B1EC8A5D-F8FD-4B37-B7B5-DA37F075CAC8}"/>
    <hyperlink ref="A15:B15" location="'8'!A1" display="'8'!A1" xr:uid="{570222AE-2363-4F83-914E-7CCCDDBAD962}"/>
    <hyperlink ref="A16:B16" location="'9'!A1" display="'9'!A1" xr:uid="{F1388CE3-F83B-4537-8D8E-353BC83A265E}"/>
    <hyperlink ref="A20:B20" location="'11'!A1" display="'11'!A1" xr:uid="{4D1451C9-B311-4068-B194-AA153F4FA97F}"/>
    <hyperlink ref="A21:B21" location="'12'!A1" display="'12'!A1" xr:uid="{22158B82-9E43-4869-B9A5-F11C8686591B}"/>
    <hyperlink ref="A22:B22" location="'13'!A1" display="'13'!A1" xr:uid="{3A35D532-D2A4-48C0-B590-8A43AAABB598}"/>
    <hyperlink ref="A23:B23" location="'14'!A1" display="'14'!A1" xr:uid="{C3802467-A6D8-4CDD-A381-7FEBD85E0030}"/>
    <hyperlink ref="A24:B24" location="'15'!A1" display="'15'!A1" xr:uid="{CF05048F-1DE8-4024-BF9B-F129A9C303FE}"/>
    <hyperlink ref="A25:B25" location="'16'!A1" display="'16'!A1" xr:uid="{D384C14E-3524-491F-AA32-3E25F7CB9547}"/>
    <hyperlink ref="A26:B26" location="'17'!A1" display="'17'!A1" xr:uid="{589FFAD3-B92C-4E6C-80C8-4E90C8A357BF}"/>
    <hyperlink ref="A27:B27" location="'18'!A1" display="'18'!A1" xr:uid="{885115F5-0666-4278-A4E1-5B40F9F0FE87}"/>
    <hyperlink ref="A28:B28" location="'19'!A1" display="'19'!A1" xr:uid="{BA83195D-1335-4100-9653-7127E36D373F}"/>
    <hyperlink ref="A29:B29" location="'20'!A1" display="'20'!A1" xr:uid="{C136CF8E-0AE5-41F5-BAC8-5748FD860973}"/>
    <hyperlink ref="A32:B32" location="'21'!A1" display="'21'!A1" xr:uid="{AE05DF7C-84F5-4080-9EA8-697FE389D2D2}"/>
    <hyperlink ref="A10:A16" location="'2'!A1" display="'2'!A1" xr:uid="{2A227E95-9008-4FBA-BE39-1DD8DC5E044E}"/>
    <hyperlink ref="A19" location="'9'!A1" display="'9'!A1" xr:uid="{27A2BC50-200C-411E-83C0-B0CEA44E0BCF}"/>
    <hyperlink ref="A21:A29" location="'11'!A1" display="'11'!A1" xr:uid="{E23651E9-89CC-4F15-9C96-853EBAE1161F}"/>
    <hyperlink ref="A19:B19" location="'10'!A1" display="'10'!A1" xr:uid="{D0D7FD88-8564-4174-AC17-79FB5E4FF523}"/>
  </hyperlinks>
  <pageMargins left="0.25" right="0.25" top="0.75" bottom="0.75" header="0.3" footer="0.3"/>
  <pageSetup paperSize="8" scale="36" fitToHeight="0"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A1C4-F49D-4825-B2ED-E616E3205C8E}">
  <sheetPr codeName="Sheet109">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623</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7.5999999999999998E-2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153.15315315315308</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IFERROR(INDEX(Correcties!$A$1:$I$334,MATCH('17'!C12,Correcties!$A$1:$A$334,0),5),"")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4500</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4500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2950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1580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7.1597699999999991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15</v>
      </c>
      <c r="D43" s="75" t="str">
        <f>CONCATENATE("Euro/",$C$8,"/jaar")</f>
        <v>Euro/kW/jaar</v>
      </c>
      <c r="E43" s="417" t="s">
        <v>463</v>
      </c>
      <c r="F43" s="431"/>
      <c r="G43" s="431"/>
      <c r="H43" s="431"/>
      <c r="I43" s="431"/>
      <c r="J43" s="431"/>
      <c r="K43" s="431"/>
      <c r="L43" s="431"/>
      <c r="M43" s="432"/>
    </row>
    <row r="44" spans="2:13" ht="15" customHeight="1">
      <c r="B44" s="72" t="s">
        <v>465</v>
      </c>
      <c r="C44" s="239">
        <f>(C42*C21+C43*SUM(C26,C28))/1000</f>
        <v>67.5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2.0299999999999999E-2</v>
      </c>
      <c r="D48" s="75" t="str">
        <f>CONCATENATE("Euro/",$C$7)</f>
        <v>Euro/kWh</v>
      </c>
      <c r="E48" s="417"/>
      <c r="F48" s="431"/>
      <c r="G48" s="431"/>
      <c r="H48" s="431"/>
      <c r="I48" s="431"/>
      <c r="J48" s="431"/>
      <c r="K48" s="431"/>
      <c r="L48" s="431"/>
      <c r="M48" s="432"/>
    </row>
    <row r="49" spans="2:13" ht="15" customHeight="1">
      <c r="B49" s="73" t="s">
        <v>472</v>
      </c>
      <c r="C49" s="331">
        <f>SUM(C45:C48)</f>
        <v>2.0299999999999999E-2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2950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199125000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265500000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-7159769.9999999991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13275000</v>
      </c>
      <c r="F115" s="312">
        <f t="shared" si="4"/>
        <v>13275000</v>
      </c>
      <c r="G115" s="312">
        <f t="shared" si="4"/>
        <v>13275000</v>
      </c>
      <c r="H115" s="312">
        <f t="shared" si="4"/>
        <v>13275000</v>
      </c>
      <c r="I115" s="312">
        <f t="shared" si="4"/>
        <v>13275000</v>
      </c>
      <c r="J115" s="312">
        <f t="shared" si="4"/>
        <v>13275000</v>
      </c>
      <c r="K115" s="312">
        <f t="shared" si="4"/>
        <v>13275000</v>
      </c>
      <c r="L115" s="312">
        <f t="shared" si="4"/>
        <v>13275000</v>
      </c>
      <c r="M115" s="312">
        <f t="shared" si="4"/>
        <v>13275000</v>
      </c>
      <c r="N115" s="312">
        <f t="shared" si="4"/>
        <v>13275000</v>
      </c>
      <c r="O115" s="312">
        <f t="shared" si="4"/>
        <v>13275000</v>
      </c>
      <c r="P115" s="312">
        <f t="shared" si="4"/>
        <v>13275000</v>
      </c>
      <c r="Q115" s="312">
        <f t="shared" si="4"/>
        <v>13275000</v>
      </c>
      <c r="R115" s="312">
        <f t="shared" si="4"/>
        <v>13275000</v>
      </c>
      <c r="S115" s="312">
        <f t="shared" si="4"/>
        <v>13275000</v>
      </c>
      <c r="T115" s="312">
        <f t="shared" si="4"/>
        <v>13275000</v>
      </c>
      <c r="U115" s="312">
        <f t="shared" si="4"/>
        <v>13275000</v>
      </c>
      <c r="V115" s="312">
        <f t="shared" si="4"/>
        <v>13275000</v>
      </c>
      <c r="W115" s="312">
        <f t="shared" si="4"/>
        <v>13275000</v>
      </c>
      <c r="X115" s="312">
        <f t="shared" si="4"/>
        <v>13275000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13275000</v>
      </c>
      <c r="F118" s="315">
        <f t="shared" si="7"/>
        <v>13275000</v>
      </c>
      <c r="G118" s="315">
        <f t="shared" si="7"/>
        <v>13275000</v>
      </c>
      <c r="H118" s="315">
        <f t="shared" si="7"/>
        <v>13275000</v>
      </c>
      <c r="I118" s="315">
        <f t="shared" si="7"/>
        <v>13275000</v>
      </c>
      <c r="J118" s="315">
        <f t="shared" si="7"/>
        <v>13275000</v>
      </c>
      <c r="K118" s="315">
        <f t="shared" si="7"/>
        <v>13275000</v>
      </c>
      <c r="L118" s="315">
        <f t="shared" si="7"/>
        <v>13275000</v>
      </c>
      <c r="M118" s="315">
        <f t="shared" si="7"/>
        <v>13275000</v>
      </c>
      <c r="N118" s="315">
        <f t="shared" si="7"/>
        <v>13275000</v>
      </c>
      <c r="O118" s="315">
        <f t="shared" si="7"/>
        <v>13275000</v>
      </c>
      <c r="P118" s="315">
        <f t="shared" si="7"/>
        <v>13275000</v>
      </c>
      <c r="Q118" s="315">
        <f t="shared" si="7"/>
        <v>13275000</v>
      </c>
      <c r="R118" s="315">
        <f t="shared" si="7"/>
        <v>13275000</v>
      </c>
      <c r="S118" s="315">
        <f t="shared" si="7"/>
        <v>13275000</v>
      </c>
      <c r="T118" s="315">
        <f t="shared" si="7"/>
        <v>13275000</v>
      </c>
      <c r="U118" s="315">
        <f t="shared" si="7"/>
        <v>13275000</v>
      </c>
      <c r="V118" s="315">
        <f t="shared" si="7"/>
        <v>13275000</v>
      </c>
      <c r="W118" s="315">
        <f t="shared" si="7"/>
        <v>13275000</v>
      </c>
      <c r="X118" s="315">
        <f t="shared" si="7"/>
        <v>13275000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-336982.5</v>
      </c>
      <c r="F120" s="312">
        <f t="shared" si="8"/>
        <v>-343722.15</v>
      </c>
      <c r="G120" s="312">
        <f t="shared" si="8"/>
        <v>-350596.59299999999</v>
      </c>
      <c r="H120" s="312">
        <f t="shared" si="8"/>
        <v>-357608.52486</v>
      </c>
      <c r="I120" s="312">
        <f t="shared" si="8"/>
        <v>-364760.69535719999</v>
      </c>
      <c r="J120" s="312">
        <f t="shared" si="8"/>
        <v>-372055.90926434402</v>
      </c>
      <c r="K120" s="312">
        <f t="shared" si="8"/>
        <v>-379497.0274496309</v>
      </c>
      <c r="L120" s="312">
        <f t="shared" si="8"/>
        <v>-387086.96799862344</v>
      </c>
      <c r="M120" s="312">
        <f t="shared" si="8"/>
        <v>-394828.70735859592</v>
      </c>
      <c r="N120" s="312">
        <f t="shared" si="8"/>
        <v>-402725.28150576784</v>
      </c>
      <c r="O120" s="312">
        <f t="shared" si="8"/>
        <v>-410779.78713588323</v>
      </c>
      <c r="P120" s="312">
        <f t="shared" si="8"/>
        <v>-418995.38287860079</v>
      </c>
      <c r="Q120" s="312">
        <f t="shared" si="8"/>
        <v>-427375.29053617292</v>
      </c>
      <c r="R120" s="312">
        <f t="shared" si="8"/>
        <v>-435922.79634689633</v>
      </c>
      <c r="S120" s="312">
        <f t="shared" si="8"/>
        <v>-444641.25227383431</v>
      </c>
      <c r="T120" s="312">
        <f t="shared" si="8"/>
        <v>-453534.07731931086</v>
      </c>
      <c r="U120" s="312">
        <f t="shared" si="8"/>
        <v>-462604.75886569719</v>
      </c>
      <c r="V120" s="312">
        <f t="shared" si="8"/>
        <v>-471856.85404301115</v>
      </c>
      <c r="W120" s="312">
        <f t="shared" si="8"/>
        <v>-481293.9911238713</v>
      </c>
      <c r="X120" s="312">
        <f t="shared" si="8"/>
        <v>-490919.8709463487</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909399.87153476826</v>
      </c>
      <c r="U127" s="312">
        <f t="shared" si="15"/>
        <v>927587.86896546383</v>
      </c>
      <c r="V127" s="312">
        <f t="shared" si="15"/>
        <v>946139.6263447731</v>
      </c>
      <c r="W127" s="312">
        <f t="shared" si="15"/>
        <v>965062.41887166852</v>
      </c>
      <c r="X127" s="312">
        <f t="shared" si="15"/>
        <v>984363.66724910191</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909399.87153476826</v>
      </c>
      <c r="U130" s="312">
        <f t="shared" si="17"/>
        <v>927587.86896546383</v>
      </c>
      <c r="V130" s="312">
        <f t="shared" si="17"/>
        <v>946139.6263447731</v>
      </c>
      <c r="W130" s="312">
        <f t="shared" si="17"/>
        <v>965062.41887166852</v>
      </c>
      <c r="X130" s="312">
        <f t="shared" si="17"/>
        <v>984363.66724910191</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-336982.5</v>
      </c>
      <c r="F131" s="312">
        <f t="shared" si="18"/>
        <v>-343722.15</v>
      </c>
      <c r="G131" s="312">
        <f t="shared" si="18"/>
        <v>-350596.59299999999</v>
      </c>
      <c r="H131" s="312">
        <f t="shared" si="18"/>
        <v>-357608.52486</v>
      </c>
      <c r="I131" s="312">
        <f t="shared" si="18"/>
        <v>-364760.69535719999</v>
      </c>
      <c r="J131" s="312">
        <f t="shared" si="18"/>
        <v>-372055.90926434402</v>
      </c>
      <c r="K131" s="312">
        <f t="shared" si="18"/>
        <v>-379497.0274496309</v>
      </c>
      <c r="L131" s="312">
        <f t="shared" si="18"/>
        <v>-387086.96799862344</v>
      </c>
      <c r="M131" s="312">
        <f t="shared" si="18"/>
        <v>-394828.70735859592</v>
      </c>
      <c r="N131" s="312">
        <f t="shared" si="18"/>
        <v>-402725.28150576784</v>
      </c>
      <c r="O131" s="312">
        <f t="shared" si="18"/>
        <v>-410779.78713588323</v>
      </c>
      <c r="P131" s="312">
        <f t="shared" si="18"/>
        <v>-418995.38287860079</v>
      </c>
      <c r="Q131" s="312">
        <f t="shared" si="18"/>
        <v>-427375.29053617292</v>
      </c>
      <c r="R131" s="312">
        <f t="shared" si="18"/>
        <v>-435922.79634689633</v>
      </c>
      <c r="S131" s="312">
        <f t="shared" si="18"/>
        <v>-444641.25227383431</v>
      </c>
      <c r="T131" s="312">
        <f t="shared" si="18"/>
        <v>-453534.07731931086</v>
      </c>
      <c r="U131" s="312">
        <f t="shared" si="18"/>
        <v>-462604.75886569719</v>
      </c>
      <c r="V131" s="312">
        <f t="shared" si="18"/>
        <v>-471856.85404301115</v>
      </c>
      <c r="W131" s="312">
        <f t="shared" si="18"/>
        <v>-481293.9911238713</v>
      </c>
      <c r="X131" s="312">
        <f t="shared" si="18"/>
        <v>-490919.8709463487</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-336982.5</v>
      </c>
      <c r="F132" s="321">
        <f t="shared" si="19"/>
        <v>-343722.15</v>
      </c>
      <c r="G132" s="321">
        <f t="shared" si="19"/>
        <v>-350596.59299999999</v>
      </c>
      <c r="H132" s="321">
        <f t="shared" si="19"/>
        <v>-357608.52486</v>
      </c>
      <c r="I132" s="321">
        <f t="shared" si="19"/>
        <v>-364760.69535719999</v>
      </c>
      <c r="J132" s="321">
        <f t="shared" si="19"/>
        <v>-372055.90926434402</v>
      </c>
      <c r="K132" s="321">
        <f t="shared" si="19"/>
        <v>-379497.0274496309</v>
      </c>
      <c r="L132" s="321">
        <f t="shared" si="19"/>
        <v>-387086.96799862344</v>
      </c>
      <c r="M132" s="321">
        <f t="shared" si="19"/>
        <v>-394828.70735859592</v>
      </c>
      <c r="N132" s="321">
        <f t="shared" si="19"/>
        <v>-402725.28150576784</v>
      </c>
      <c r="O132" s="321">
        <f t="shared" si="19"/>
        <v>-410779.78713588323</v>
      </c>
      <c r="P132" s="321">
        <f t="shared" si="19"/>
        <v>-418995.38287860079</v>
      </c>
      <c r="Q132" s="321">
        <f t="shared" si="19"/>
        <v>-427375.29053617292</v>
      </c>
      <c r="R132" s="321">
        <f t="shared" si="19"/>
        <v>-435922.79634689633</v>
      </c>
      <c r="S132" s="321">
        <f t="shared" si="19"/>
        <v>-444641.25227383431</v>
      </c>
      <c r="T132" s="321">
        <f t="shared" si="19"/>
        <v>455865.7942154574</v>
      </c>
      <c r="U132" s="321">
        <f t="shared" si="19"/>
        <v>464983.11009976664</v>
      </c>
      <c r="V132" s="321">
        <f t="shared" si="19"/>
        <v>474282.77230176196</v>
      </c>
      <c r="W132" s="321">
        <f t="shared" si="19"/>
        <v>483768.42774779722</v>
      </c>
      <c r="X132" s="321">
        <f t="shared" si="19"/>
        <v>493443.79630275321</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-357988.49999999994</v>
      </c>
      <c r="F134" s="312">
        <f t="shared" si="20"/>
        <v>-357988.49999999994</v>
      </c>
      <c r="G134" s="312">
        <f t="shared" si="20"/>
        <v>-357988.49999999994</v>
      </c>
      <c r="H134" s="312">
        <f t="shared" si="20"/>
        <v>-357988.49999999994</v>
      </c>
      <c r="I134" s="312">
        <f t="shared" si="20"/>
        <v>-357988.49999999994</v>
      </c>
      <c r="J134" s="312">
        <f t="shared" si="20"/>
        <v>-357988.49999999994</v>
      </c>
      <c r="K134" s="312">
        <f t="shared" si="20"/>
        <v>-357988.49999999994</v>
      </c>
      <c r="L134" s="312">
        <f t="shared" si="20"/>
        <v>-357988.49999999994</v>
      </c>
      <c r="M134" s="312">
        <f t="shared" si="20"/>
        <v>-357988.49999999994</v>
      </c>
      <c r="N134" s="312">
        <f t="shared" si="20"/>
        <v>-357988.49999999994</v>
      </c>
      <c r="O134" s="312">
        <f t="shared" si="20"/>
        <v>-357988.49999999994</v>
      </c>
      <c r="P134" s="312">
        <f t="shared" si="20"/>
        <v>-357988.49999999994</v>
      </c>
      <c r="Q134" s="312">
        <f t="shared" si="20"/>
        <v>-357988.49999999994</v>
      </c>
      <c r="R134" s="312">
        <f t="shared" si="20"/>
        <v>-357988.49999999994</v>
      </c>
      <c r="S134" s="312">
        <f t="shared" si="20"/>
        <v>-357988.49999999994</v>
      </c>
      <c r="T134" s="312">
        <f t="shared" si="20"/>
        <v>-357988.49999999994</v>
      </c>
      <c r="U134" s="312">
        <f t="shared" si="20"/>
        <v>-357988.49999999994</v>
      </c>
      <c r="V134" s="312">
        <f t="shared" si="20"/>
        <v>-357988.49999999994</v>
      </c>
      <c r="W134" s="312">
        <f t="shared" si="20"/>
        <v>-357988.49999999994</v>
      </c>
      <c r="X134" s="312">
        <f t="shared" si="20"/>
        <v>-357988.49999999994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-213003.15749999997</v>
      </c>
      <c r="F135" s="312">
        <f t="shared" si="21"/>
        <v>-202561.65212422441</v>
      </c>
      <c r="G135" s="312">
        <f t="shared" si="21"/>
        <v>-191676.38276997831</v>
      </c>
      <c r="H135" s="312">
        <f t="shared" si="21"/>
        <v>-180328.48946817676</v>
      </c>
      <c r="I135" s="312">
        <f t="shared" si="21"/>
        <v>-168498.31070104867</v>
      </c>
      <c r="J135" s="312">
        <f t="shared" si="21"/>
        <v>-156165.34933631762</v>
      </c>
      <c r="K135" s="312">
        <f t="shared" si="21"/>
        <v>-143308.23711358552</v>
      </c>
      <c r="L135" s="312">
        <f t="shared" si="21"/>
        <v>-129904.6976213873</v>
      </c>
      <c r="M135" s="312">
        <f t="shared" si="21"/>
        <v>-115931.50770077063</v>
      </c>
      <c r="N135" s="312">
        <f t="shared" si="21"/>
        <v>-101364.45720852781</v>
      </c>
      <c r="O135" s="312">
        <f t="shared" si="21"/>
        <v>-86178.307070364608</v>
      </c>
      <c r="P135" s="312">
        <f t="shared" si="21"/>
        <v>-70346.745551329499</v>
      </c>
      <c r="Q135" s="312">
        <f t="shared" si="21"/>
        <v>-53842.342667735393</v>
      </c>
      <c r="R135" s="312">
        <f t="shared" si="21"/>
        <v>-36636.502661588544</v>
      </c>
      <c r="S135" s="312">
        <f t="shared" si="21"/>
        <v>-18699.414455180442</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-245682.4794300143</v>
      </c>
      <c r="F136" s="312">
        <f t="shared" si="22"/>
        <v>-256123.98480578989</v>
      </c>
      <c r="G136" s="312">
        <f t="shared" si="22"/>
        <v>-267009.25416003598</v>
      </c>
      <c r="H136" s="312">
        <f t="shared" si="22"/>
        <v>-278357.14746183751</v>
      </c>
      <c r="I136" s="312">
        <f t="shared" si="22"/>
        <v>-290187.32622896566</v>
      </c>
      <c r="J136" s="312">
        <f t="shared" si="22"/>
        <v>-302520.28759369667</v>
      </c>
      <c r="K136" s="312">
        <f t="shared" si="22"/>
        <v>-315377.39981642872</v>
      </c>
      <c r="L136" s="312">
        <f t="shared" si="22"/>
        <v>-328780.93930862698</v>
      </c>
      <c r="M136" s="312">
        <f t="shared" si="22"/>
        <v>-342754.12922924361</v>
      </c>
      <c r="N136" s="312">
        <f t="shared" si="22"/>
        <v>-357321.17972148646</v>
      </c>
      <c r="O136" s="312">
        <f t="shared" si="22"/>
        <v>-372507.3298596497</v>
      </c>
      <c r="P136" s="312">
        <f t="shared" si="22"/>
        <v>-388338.89137868484</v>
      </c>
      <c r="Q136" s="312">
        <f t="shared" si="22"/>
        <v>-404843.29426227888</v>
      </c>
      <c r="R136" s="312">
        <f t="shared" si="22"/>
        <v>-422049.13426842575</v>
      </c>
      <c r="S136" s="312">
        <f t="shared" si="22"/>
        <v>-439986.22247483383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-458685.63693001424</v>
      </c>
      <c r="F137" s="321">
        <f t="shared" si="23"/>
        <v>-458685.6369300143</v>
      </c>
      <c r="G137" s="321">
        <f t="shared" si="23"/>
        <v>-458685.6369300143</v>
      </c>
      <c r="H137" s="321">
        <f t="shared" si="23"/>
        <v>-458685.63693001424</v>
      </c>
      <c r="I137" s="321">
        <f t="shared" si="23"/>
        <v>-458685.63693001436</v>
      </c>
      <c r="J137" s="321">
        <f t="shared" si="23"/>
        <v>-458685.6369300143</v>
      </c>
      <c r="K137" s="321">
        <f t="shared" si="23"/>
        <v>-458685.63693001424</v>
      </c>
      <c r="L137" s="321">
        <f t="shared" si="23"/>
        <v>-458685.6369300143</v>
      </c>
      <c r="M137" s="321">
        <f t="shared" si="23"/>
        <v>-458685.63693001424</v>
      </c>
      <c r="N137" s="321">
        <f t="shared" si="23"/>
        <v>-458685.63693001424</v>
      </c>
      <c r="O137" s="321">
        <f t="shared" si="23"/>
        <v>-458685.6369300143</v>
      </c>
      <c r="P137" s="321">
        <f t="shared" si="23"/>
        <v>-458685.63693001436</v>
      </c>
      <c r="Q137" s="321">
        <f t="shared" si="23"/>
        <v>-458685.6369300143</v>
      </c>
      <c r="R137" s="321">
        <f t="shared" si="23"/>
        <v>-458685.6369300143</v>
      </c>
      <c r="S137" s="321">
        <f t="shared" si="23"/>
        <v>-458685.6369300143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-907974.15749999997</v>
      </c>
      <c r="F139" s="312">
        <f t="shared" si="24"/>
        <v>-904272.30212422437</v>
      </c>
      <c r="G139" s="312">
        <f t="shared" si="24"/>
        <v>-900261.47576997825</v>
      </c>
      <c r="H139" s="312">
        <f t="shared" si="24"/>
        <v>-895925.51432817674</v>
      </c>
      <c r="I139" s="312">
        <f t="shared" si="24"/>
        <v>-891247.50605824869</v>
      </c>
      <c r="J139" s="312">
        <f t="shared" si="24"/>
        <v>-886209.75860066165</v>
      </c>
      <c r="K139" s="312">
        <f t="shared" si="24"/>
        <v>-880793.76456321636</v>
      </c>
      <c r="L139" s="312">
        <f t="shared" si="24"/>
        <v>-874980.1656200107</v>
      </c>
      <c r="M139" s="312">
        <f t="shared" si="24"/>
        <v>-868748.71505936654</v>
      </c>
      <c r="N139" s="312">
        <f t="shared" si="24"/>
        <v>-862078.23871429556</v>
      </c>
      <c r="O139" s="312">
        <f t="shared" si="24"/>
        <v>-854946.59420624783</v>
      </c>
      <c r="P139" s="312">
        <f t="shared" si="24"/>
        <v>-847330.62842993019</v>
      </c>
      <c r="Q139" s="312">
        <f t="shared" si="24"/>
        <v>-839206.13320390834</v>
      </c>
      <c r="R139" s="312">
        <f t="shared" si="24"/>
        <v>-830547.79900848493</v>
      </c>
      <c r="S139" s="312">
        <f t="shared" si="24"/>
        <v>-821329.16672901472</v>
      </c>
      <c r="T139" s="312">
        <f t="shared" si="24"/>
        <v>97877.294215457456</v>
      </c>
      <c r="U139" s="312">
        <f t="shared" si="24"/>
        <v>106994.61009976669</v>
      </c>
      <c r="V139" s="312">
        <f t="shared" si="24"/>
        <v>116294.27230176202</v>
      </c>
      <c r="W139" s="312">
        <f t="shared" si="24"/>
        <v>125779.92774779728</v>
      </c>
      <c r="X139" s="312">
        <f t="shared" si="24"/>
        <v>135455.29630275327</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172515.08992500001</v>
      </c>
      <c r="F140" s="312">
        <f t="shared" si="25"/>
        <v>171811.73740360263</v>
      </c>
      <c r="G140" s="312">
        <f t="shared" si="25"/>
        <v>171049.68039629588</v>
      </c>
      <c r="H140" s="312">
        <f t="shared" si="25"/>
        <v>170225.84772235359</v>
      </c>
      <c r="I140" s="312">
        <f t="shared" si="25"/>
        <v>169337.02615106726</v>
      </c>
      <c r="J140" s="312">
        <f t="shared" si="25"/>
        <v>168379.85413412572</v>
      </c>
      <c r="K140" s="312">
        <f t="shared" si="25"/>
        <v>167350.81526701112</v>
      </c>
      <c r="L140" s="312">
        <f t="shared" si="25"/>
        <v>166246.23146780205</v>
      </c>
      <c r="M140" s="312">
        <f t="shared" si="25"/>
        <v>165062.25586127964</v>
      </c>
      <c r="N140" s="312">
        <f t="shared" si="25"/>
        <v>163794.86535571615</v>
      </c>
      <c r="O140" s="312">
        <f t="shared" si="25"/>
        <v>162439.8528991871</v>
      </c>
      <c r="P140" s="312">
        <f t="shared" si="25"/>
        <v>160992.81940168675</v>
      </c>
      <c r="Q140" s="312">
        <f t="shared" si="25"/>
        <v>159449.16530874258</v>
      </c>
      <c r="R140" s="312">
        <f t="shared" si="25"/>
        <v>157804.08181161215</v>
      </c>
      <c r="S140" s="312">
        <f t="shared" si="25"/>
        <v>156052.54167851279</v>
      </c>
      <c r="T140" s="312">
        <f t="shared" si="25"/>
        <v>-18596.685900936918</v>
      </c>
      <c r="U140" s="312">
        <f t="shared" si="25"/>
        <v>-20328.975918955672</v>
      </c>
      <c r="V140" s="312">
        <f t="shared" si="25"/>
        <v>-22095.911737334784</v>
      </c>
      <c r="W140" s="312">
        <f t="shared" si="25"/>
        <v>-23898.186272081482</v>
      </c>
      <c r="X140" s="312">
        <f t="shared" si="25"/>
        <v>-25736.506297523119</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-623153.04700501426</v>
      </c>
      <c r="F142" s="321">
        <f t="shared" si="26"/>
        <v>-630596.04952641181</v>
      </c>
      <c r="G142" s="321">
        <f t="shared" si="26"/>
        <v>-638232.5495337185</v>
      </c>
      <c r="H142" s="321">
        <f t="shared" si="26"/>
        <v>-646068.3140676606</v>
      </c>
      <c r="I142" s="321">
        <f t="shared" si="26"/>
        <v>-654109.30613614712</v>
      </c>
      <c r="J142" s="321">
        <f t="shared" si="26"/>
        <v>-662361.69206023251</v>
      </c>
      <c r="K142" s="321">
        <f t="shared" si="26"/>
        <v>-670831.84911263408</v>
      </c>
      <c r="L142" s="321">
        <f t="shared" si="26"/>
        <v>-679526.37346083566</v>
      </c>
      <c r="M142" s="321">
        <f t="shared" si="26"/>
        <v>-688452.08842733048</v>
      </c>
      <c r="N142" s="321">
        <f t="shared" si="26"/>
        <v>-697616.05308006587</v>
      </c>
      <c r="O142" s="321">
        <f t="shared" si="26"/>
        <v>-707025.57116671035</v>
      </c>
      <c r="P142" s="321">
        <f t="shared" si="26"/>
        <v>-716688.20040692831</v>
      </c>
      <c r="Q142" s="321">
        <f t="shared" si="26"/>
        <v>-726611.76215744461</v>
      </c>
      <c r="R142" s="321">
        <f t="shared" si="26"/>
        <v>-736804.35146529844</v>
      </c>
      <c r="S142" s="321">
        <f t="shared" si="26"/>
        <v>-747274.34752533573</v>
      </c>
      <c r="T142" s="321">
        <f t="shared" si="26"/>
        <v>437269.1083145205</v>
      </c>
      <c r="U142" s="321">
        <f t="shared" si="26"/>
        <v>444654.13418081094</v>
      </c>
      <c r="V142" s="321">
        <f t="shared" si="26"/>
        <v>452186.86056442716</v>
      </c>
      <c r="W142" s="321">
        <f t="shared" si="26"/>
        <v>459870.24147571577</v>
      </c>
      <c r="X142" s="321">
        <f t="shared" si="26"/>
        <v>467707.29000523011</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-7159769.9999999981</v>
      </c>
      <c r="E143" s="312">
        <f t="shared" ref="E143:AR143" si="27">E132+E140</f>
        <v>-164467.41007499999</v>
      </c>
      <c r="F143" s="312">
        <f t="shared" si="27"/>
        <v>-171910.41259639739</v>
      </c>
      <c r="G143" s="312">
        <f t="shared" si="27"/>
        <v>-179546.91260370411</v>
      </c>
      <c r="H143" s="312">
        <f t="shared" si="27"/>
        <v>-187382.67713764642</v>
      </c>
      <c r="I143" s="312">
        <f t="shared" si="27"/>
        <v>-195423.66920613273</v>
      </c>
      <c r="J143" s="312">
        <f t="shared" si="27"/>
        <v>-203676.0551302183</v>
      </c>
      <c r="K143" s="312">
        <f t="shared" si="27"/>
        <v>-212146.21218261978</v>
      </c>
      <c r="L143" s="312">
        <f t="shared" si="27"/>
        <v>-220840.73653082139</v>
      </c>
      <c r="M143" s="312">
        <f t="shared" si="27"/>
        <v>-229766.45149731627</v>
      </c>
      <c r="N143" s="312">
        <f t="shared" si="27"/>
        <v>-238930.41615005169</v>
      </c>
      <c r="O143" s="312">
        <f t="shared" si="27"/>
        <v>-248339.93423669614</v>
      </c>
      <c r="P143" s="312">
        <f t="shared" si="27"/>
        <v>-258002.56347691405</v>
      </c>
      <c r="Q143" s="312">
        <f t="shared" si="27"/>
        <v>-267926.12522743037</v>
      </c>
      <c r="R143" s="312">
        <f t="shared" si="27"/>
        <v>-278118.71453528421</v>
      </c>
      <c r="S143" s="312">
        <f t="shared" si="27"/>
        <v>-288588.71059532149</v>
      </c>
      <c r="T143" s="312">
        <f t="shared" si="27"/>
        <v>437269.1083145205</v>
      </c>
      <c r="U143" s="312">
        <f t="shared" si="27"/>
        <v>444654.13418081094</v>
      </c>
      <c r="V143" s="312">
        <f t="shared" si="27"/>
        <v>452186.86056442716</v>
      </c>
      <c r="W143" s="312">
        <f t="shared" si="27"/>
        <v>459870.24147571577</v>
      </c>
      <c r="X143" s="312">
        <f t="shared" si="27"/>
        <v>467707.29000523011</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-2147930.9999999995</v>
      </c>
      <c r="E144" s="312">
        <f t="shared" ref="E144:AR144" si="28">E142</f>
        <v>-623153.04700501426</v>
      </c>
      <c r="F144" s="312">
        <f t="shared" si="28"/>
        <v>-630596.04952641181</v>
      </c>
      <c r="G144" s="312">
        <f t="shared" si="28"/>
        <v>-638232.5495337185</v>
      </c>
      <c r="H144" s="312">
        <f t="shared" si="28"/>
        <v>-646068.3140676606</v>
      </c>
      <c r="I144" s="312">
        <f t="shared" si="28"/>
        <v>-654109.30613614712</v>
      </c>
      <c r="J144" s="312">
        <f t="shared" si="28"/>
        <v>-662361.69206023251</v>
      </c>
      <c r="K144" s="312">
        <f t="shared" si="28"/>
        <v>-670831.84911263408</v>
      </c>
      <c r="L144" s="312">
        <f t="shared" si="28"/>
        <v>-679526.37346083566</v>
      </c>
      <c r="M144" s="312">
        <f t="shared" si="28"/>
        <v>-688452.08842733048</v>
      </c>
      <c r="N144" s="312">
        <f t="shared" si="28"/>
        <v>-697616.05308006587</v>
      </c>
      <c r="O144" s="312">
        <f t="shared" si="28"/>
        <v>-707025.57116671035</v>
      </c>
      <c r="P144" s="312">
        <f t="shared" si="28"/>
        <v>-716688.20040692831</v>
      </c>
      <c r="Q144" s="312">
        <f t="shared" si="28"/>
        <v>-726611.76215744461</v>
      </c>
      <c r="R144" s="312">
        <f t="shared" si="28"/>
        <v>-736804.35146529844</v>
      </c>
      <c r="S144" s="312">
        <f t="shared" si="28"/>
        <v>-747274.34752533573</v>
      </c>
      <c r="T144" s="312">
        <f t="shared" si="28"/>
        <v>437269.1083145205</v>
      </c>
      <c r="U144" s="312">
        <f t="shared" si="28"/>
        <v>444654.13418081094</v>
      </c>
      <c r="V144" s="312">
        <f t="shared" si="28"/>
        <v>452186.86056442716</v>
      </c>
      <c r="W144" s="312">
        <f t="shared" si="28"/>
        <v>459870.24147571577</v>
      </c>
      <c r="X144" s="312">
        <f t="shared" si="28"/>
        <v>467707.29000523011</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13275000</v>
      </c>
      <c r="F145" s="312">
        <f t="shared" si="29"/>
        <v>13275000</v>
      </c>
      <c r="G145" s="312">
        <f t="shared" si="29"/>
        <v>13275000</v>
      </c>
      <c r="H145" s="312">
        <f t="shared" si="29"/>
        <v>13275000</v>
      </c>
      <c r="I145" s="312">
        <f t="shared" si="29"/>
        <v>13275000</v>
      </c>
      <c r="J145" s="312">
        <f t="shared" si="29"/>
        <v>13275000</v>
      </c>
      <c r="K145" s="312">
        <f t="shared" si="29"/>
        <v>13275000</v>
      </c>
      <c r="L145" s="312">
        <f t="shared" si="29"/>
        <v>13275000</v>
      </c>
      <c r="M145" s="312">
        <f t="shared" si="29"/>
        <v>13275000</v>
      </c>
      <c r="N145" s="312">
        <f t="shared" si="29"/>
        <v>13275000</v>
      </c>
      <c r="O145" s="312">
        <f t="shared" si="29"/>
        <v>13275000</v>
      </c>
      <c r="P145" s="312">
        <f t="shared" si="29"/>
        <v>13275000</v>
      </c>
      <c r="Q145" s="312">
        <f t="shared" si="29"/>
        <v>13275000</v>
      </c>
      <c r="R145" s="312">
        <f t="shared" si="29"/>
        <v>13275000</v>
      </c>
      <c r="S145" s="312">
        <f t="shared" si="29"/>
        <v>13275000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7159769.9999999991</v>
      </c>
      <c r="E146" s="323">
        <f t="shared" ref="E146:AR146" si="30">IF(E112&lt;=$C76,D146-($C$5*E118+E132+E135),D146-(E132+E135))</f>
        <v>6700855.6574999988</v>
      </c>
      <c r="F146" s="323">
        <f t="shared" si="30"/>
        <v>6238239.4596242234</v>
      </c>
      <c r="G146" s="323">
        <f t="shared" si="30"/>
        <v>5771612.4353942014</v>
      </c>
      <c r="H146" s="323">
        <f t="shared" si="30"/>
        <v>5300649.4497223785</v>
      </c>
      <c r="I146" s="323">
        <f t="shared" si="30"/>
        <v>4825008.4557806272</v>
      </c>
      <c r="J146" s="323">
        <f t="shared" si="30"/>
        <v>4344329.7143812887</v>
      </c>
      <c r="K146" s="323">
        <f t="shared" si="30"/>
        <v>3858234.9789445051</v>
      </c>
      <c r="L146" s="323">
        <f t="shared" si="30"/>
        <v>3366326.6445645159</v>
      </c>
      <c r="M146" s="323">
        <f t="shared" si="30"/>
        <v>2868186.8596238825</v>
      </c>
      <c r="N146" s="323">
        <f t="shared" si="30"/>
        <v>2363376.5983381784</v>
      </c>
      <c r="O146" s="323">
        <f t="shared" si="30"/>
        <v>1851434.6925444263</v>
      </c>
      <c r="P146" s="323">
        <f t="shared" si="30"/>
        <v>1331876.8209743567</v>
      </c>
      <c r="Q146" s="323">
        <f t="shared" si="30"/>
        <v>804194.45417826506</v>
      </c>
      <c r="R146" s="323">
        <f t="shared" si="30"/>
        <v>267853.75318674999</v>
      </c>
      <c r="S146" s="323">
        <f t="shared" si="30"/>
        <v>-277705.58008423529</v>
      </c>
      <c r="T146" s="323">
        <f t="shared" si="30"/>
        <v>-733571.37429969269</v>
      </c>
      <c r="U146" s="323">
        <f t="shared" si="30"/>
        <v>-1198554.4843994593</v>
      </c>
      <c r="V146" s="323">
        <f t="shared" si="30"/>
        <v>-1672837.2567012212</v>
      </c>
      <c r="W146" s="323">
        <f t="shared" si="30"/>
        <v>-2156605.6844490184</v>
      </c>
      <c r="X146" s="323">
        <f t="shared" si="30"/>
        <v>-2650049.4807517715</v>
      </c>
      <c r="Y146" s="323">
        <f t="shared" si="30"/>
        <v>-2650049.4807517715</v>
      </c>
      <c r="Z146" s="323">
        <f t="shared" si="30"/>
        <v>-2650049.4807517715</v>
      </c>
      <c r="AA146" s="323">
        <f t="shared" si="30"/>
        <v>-2650049.4807517715</v>
      </c>
      <c r="AB146" s="323">
        <f t="shared" si="30"/>
        <v>-2650049.4807517715</v>
      </c>
      <c r="AC146" s="323">
        <f t="shared" si="30"/>
        <v>-2650049.4807517715</v>
      </c>
      <c r="AD146" s="323">
        <f t="shared" si="30"/>
        <v>-2650049.4807517715</v>
      </c>
      <c r="AE146" s="323">
        <f t="shared" si="30"/>
        <v>-2650049.4807517715</v>
      </c>
      <c r="AF146" s="323">
        <f t="shared" si="30"/>
        <v>-2650049.4807517715</v>
      </c>
      <c r="AG146" s="323">
        <f t="shared" si="30"/>
        <v>-2650049.4807517715</v>
      </c>
      <c r="AH146" s="323">
        <f t="shared" si="30"/>
        <v>-2650049.4807517715</v>
      </c>
      <c r="AI146" s="323">
        <f t="shared" si="30"/>
        <v>-2650049.4807517715</v>
      </c>
      <c r="AJ146" s="323">
        <f t="shared" si="30"/>
        <v>-2650049.4807517715</v>
      </c>
      <c r="AK146" s="323">
        <f t="shared" si="30"/>
        <v>-2650049.4807517715</v>
      </c>
      <c r="AL146" s="323">
        <f t="shared" si="30"/>
        <v>-2650049.4807517715</v>
      </c>
      <c r="AM146" s="323">
        <f t="shared" si="30"/>
        <v>-2650049.4807517715</v>
      </c>
      <c r="AN146" s="323">
        <f t="shared" si="30"/>
        <v>-2650049.4807517715</v>
      </c>
      <c r="AO146" s="323">
        <f t="shared" si="30"/>
        <v>-2650049.4807517715</v>
      </c>
      <c r="AP146" s="323">
        <f t="shared" si="30"/>
        <v>-2650049.4807517715</v>
      </c>
      <c r="AQ146" s="323">
        <f t="shared" si="30"/>
        <v>-2650049.4807517715</v>
      </c>
      <c r="AR146" s="324">
        <f t="shared" si="30"/>
        <v>-2650049.4807517715</v>
      </c>
    </row>
    <row r="147" spans="1:44" ht="12.95" customHeight="1">
      <c r="B147" s="267" t="s">
        <v>577</v>
      </c>
      <c r="C147" s="268"/>
      <c r="D147" s="325"/>
      <c r="E147" s="326">
        <f t="shared" ref="E147:AR147" si="31">IF(E112&gt;$C$74,"",(-$C$94*(E139+$C$5*E118)+E132+$C$5*E118)/-E137)</f>
        <v>1.4230696088366825</v>
      </c>
      <c r="F147" s="326">
        <f t="shared" si="31"/>
        <v>1.4068428035431628</v>
      </c>
      <c r="G147" s="326">
        <f t="shared" si="31"/>
        <v>1.3901941461785723</v>
      </c>
      <c r="H147" s="326">
        <f t="shared" si="31"/>
        <v>1.3731110637729689</v>
      </c>
      <c r="I147" s="326">
        <f t="shared" si="31"/>
        <v>1.3555805561200478</v>
      </c>
      <c r="J147" s="326">
        <f t="shared" si="31"/>
        <v>1.3375891797618982</v>
      </c>
      <c r="K147" s="326">
        <f t="shared" si="31"/>
        <v>1.3191230313359474</v>
      </c>
      <c r="L147" s="326">
        <f t="shared" si="31"/>
        <v>1.3001677302578623</v>
      </c>
      <c r="M147" s="326">
        <f t="shared" si="31"/>
        <v>1.2807084007130467</v>
      </c>
      <c r="N147" s="326">
        <f t="shared" si="31"/>
        <v>1.2607296529282461</v>
      </c>
      <c r="O147" s="326">
        <f t="shared" si="31"/>
        <v>1.2402155636935741</v>
      </c>
      <c r="P147" s="326">
        <f t="shared" si="31"/>
        <v>1.219149656104032</v>
      </c>
      <c r="Q147" s="326">
        <f t="shared" si="31"/>
        <v>1.1975148784882892</v>
      </c>
      <c r="R147" s="326">
        <f t="shared" si="31"/>
        <v>1.1752935824911594</v>
      </c>
      <c r="S147" s="326">
        <f t="shared" si="31"/>
        <v>1.1524675002747791</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-5584564.1461638203</v>
      </c>
      <c r="D150" s="271" t="s">
        <v>580</v>
      </c>
    </row>
    <row r="151" spans="1:44">
      <c r="B151" s="72" t="s">
        <v>581</v>
      </c>
      <c r="C151" s="272">
        <f>(1-$C$94)*NPV($C$91,E145:AR145)</f>
        <v>101104547.52775344</v>
      </c>
      <c r="D151" s="271" t="str">
        <f>$C$7</f>
        <v>kWh</v>
      </c>
      <c r="F151" s="273"/>
    </row>
    <row r="152" spans="1:44">
      <c r="B152" s="72" t="s">
        <v>582</v>
      </c>
      <c r="C152" s="272">
        <f>$C$41*1000000</f>
        <v>7159769.9999999991</v>
      </c>
      <c r="D152" s="271" t="s">
        <v>528</v>
      </c>
      <c r="F152" s="46"/>
    </row>
    <row r="153" spans="1:44">
      <c r="B153" s="72" t="s">
        <v>583</v>
      </c>
      <c r="C153" s="274">
        <f>AVERAGE(E147:AR147)</f>
        <v>1.2954504903000179</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-0.10520086508104831</v>
      </c>
      <c r="D155" s="271"/>
      <c r="F155" s="46"/>
      <c r="G155" s="47"/>
    </row>
    <row r="156" spans="1:44">
      <c r="B156" s="72" t="s">
        <v>586</v>
      </c>
      <c r="C156" s="95" t="str">
        <f>IFERROR(IRR(D144:AR144),"n.v.t.")</f>
        <v>n.v.t.</v>
      </c>
      <c r="D156" s="271"/>
      <c r="G156" s="47"/>
    </row>
    <row r="157" spans="1:44">
      <c r="B157" s="72" t="s">
        <v>587</v>
      </c>
      <c r="C157" s="272">
        <f>$C$92*C152-C97</f>
        <v>5011838.9999999991</v>
      </c>
      <c r="D157" s="271" t="s">
        <v>528</v>
      </c>
      <c r="F157" s="33"/>
    </row>
    <row r="158" spans="1:44">
      <c r="B158" s="72" t="s">
        <v>588</v>
      </c>
      <c r="C158" s="272">
        <f>$C$93*C152-C98</f>
        <v>2147930.9999999995</v>
      </c>
      <c r="D158" s="271" t="s">
        <v>528</v>
      </c>
      <c r="F158" s="33"/>
    </row>
    <row r="159" spans="1:44">
      <c r="B159" s="72" t="s">
        <v>332</v>
      </c>
      <c r="C159" s="95">
        <f>IF(AND(E115&gt;0,E116&gt;0),ROUND(E116/E115,2),0)</f>
        <v>0</v>
      </c>
      <c r="D159" s="271" t="s">
        <v>589</v>
      </c>
      <c r="F159" s="33"/>
    </row>
    <row r="160" spans="1:44">
      <c r="B160" s="72" t="s">
        <v>590</v>
      </c>
      <c r="C160" s="95">
        <f>IF(C159=0,MAX(C29:C30),E118/SUM(C26,C28))</f>
        <v>2950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14" priority="3" operator="containsText" text="Pas op">
      <formula>NOT(ISERROR(SEARCH("Pas op",G1)))</formula>
    </cfRule>
  </conditionalFormatting>
  <conditionalFormatting sqref="G188">
    <cfRule type="containsText" dxfId="13" priority="2" operator="containsText" text="Pas op">
      <formula>NOT(ISERROR(SEARCH("Pas op",G188)))</formula>
    </cfRule>
  </conditionalFormatting>
  <conditionalFormatting sqref="G105">
    <cfRule type="containsText" dxfId="12"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276B88AA-4AF1-4970-B350-8A7BD374A4A2}">
      <formula1>"ja,nee"</formula1>
    </dataValidation>
    <dataValidation type="list" allowBlank="1" showErrorMessage="1" error="Alleen de opties aangegeven in de dropdownlijst zijn toegestaan" sqref="C7" xr:uid="{73CAF12D-3700-4C42-B536-EAEAAD80A5E4}">
      <formula1>"t CO2,kWh"</formula1>
    </dataValidation>
    <dataValidation type="list" allowBlank="1" showErrorMessage="1" error="Alleen de opties aangegeven in de dropdownlijst zijn toegestaan" sqref="C14" xr:uid="{DB217DBB-B9F9-4B26-8580-85C42E4532EA}">
      <formula1>"Nee,Ja,Geen warmte"</formula1>
    </dataValidation>
    <dataValidation type="list" allowBlank="1" showErrorMessage="1" error="Alleen de opties aangegeven in de dropdownlijst zijn toegestaan" sqref="C9" xr:uid="{A50EF68E-940A-4255-87B7-8D09338C7594}">
      <formula1>"Elektriciteit,Lagetemperatuurwarmte,Hogetemperatuurwarmte,Moleculen,CCS/CCU,Generiek"</formula1>
    </dataValidation>
    <dataValidation type="decimal" allowBlank="1" showErrorMessage="1" error="Alleen getallen tussen 0 en 1.0 toegestaan. Vul in met een punt, geen comma" sqref="C17:C18" xr:uid="{29C6EE63-6079-4215-94E4-B5C61E5CA9EC}">
      <formula1>0</formula1>
      <formula2>1</formula2>
    </dataValidation>
    <dataValidation type="decimal" operator="notBetween" allowBlank="1" showInputMessage="1" sqref="C39:C49" xr:uid="{F1C83ADB-17F3-42D5-8B3B-A199C6C0E79D}">
      <formula1>0</formula1>
      <formula2>0</formula2>
    </dataValidation>
    <dataValidation type="decimal" operator="notBetween" allowBlank="1" showInputMessage="1" showErrorMessage="1" sqref="C52:C60 C63:C65 C67:C70" xr:uid="{A778AFDD-6D52-425E-8444-12C17F6740B4}">
      <formula1>0</formula1>
      <formula2>0</formula2>
    </dataValidation>
    <dataValidation type="decimal" operator="greaterThanOrEqual" allowBlank="1" showInputMessage="1" sqref="C21 C24:C30 C33:C36" xr:uid="{4CBB91B2-32FD-4EA4-BCC2-8FFEC526666F}">
      <formula1>0</formula1>
    </dataValidation>
    <dataValidation type="decimal" operator="greaterThanOrEqual" allowBlank="1" showInputMessage="1" showErrorMessage="1" sqref="C73:C77" xr:uid="{BBB6DC6C-5A10-4254-B798-2980C2B1C191}">
      <formula1>0</formula1>
    </dataValidation>
    <dataValidation type="decimal" operator="greaterThan" allowBlank="1" showInputMessage="1" showErrorMessage="1" sqref="C80:C86 C89:C94" xr:uid="{3D61D4DE-5932-43DC-91D5-0CA994E3A1B3}">
      <formula1>0</formula1>
    </dataValidation>
    <dataValidation type="list" operator="greaterThanOrEqual" allowBlank="1" showInputMessage="1" sqref="C23" xr:uid="{005E34B5-F780-4A50-BC9B-AD536DA09432}">
      <formula1>"Ja"</formula1>
    </dataValidation>
    <dataValidation type="decimal" operator="greaterThan" allowBlank="1" showInputMessage="1" showErrorMessage="1" error="Alleen getallen boven de 0 toegstaan" sqref="C22" xr:uid="{2C27C6FF-8BEF-477A-9082-1167776371C8}">
      <formula1>0</formula1>
    </dataValidation>
    <dataValidation operator="notBetween" allowBlank="1" showInputMessage="1" showErrorMessage="1" sqref="C66" xr:uid="{5D3A5FF0-A3B6-4D9C-B97D-6F54A9E9AFF4}"/>
  </dataValidations>
  <pageMargins left="0.7" right="0.7" top="0.75" bottom="0.75" header="0.3" footer="0.3"/>
  <pageSetup paperSize="9" scale="14"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96C8B-9BE9-4C31-A25D-D4640ACC3FDC}">
  <sheetPr codeName="Sheet110">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624</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8.3000000000000004E-2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216.21621621621622</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IFERROR(INDEX(Correcties!$A$1:$I$334,MATCH('18'!C12,Correcties!$A$1:$A$334,0),5),"")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4500</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4500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2660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1580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7.1597699999999991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15</v>
      </c>
      <c r="D43" s="75" t="str">
        <f>CONCATENATE("Euro/",$C$8,"/jaar")</f>
        <v>Euro/kW/jaar</v>
      </c>
      <c r="E43" s="417" t="s">
        <v>463</v>
      </c>
      <c r="F43" s="431"/>
      <c r="G43" s="431"/>
      <c r="H43" s="431"/>
      <c r="I43" s="431"/>
      <c r="J43" s="431"/>
      <c r="K43" s="431"/>
      <c r="L43" s="431"/>
      <c r="M43" s="432"/>
    </row>
    <row r="44" spans="2:13" ht="15" customHeight="1">
      <c r="B44" s="72" t="s">
        <v>465</v>
      </c>
      <c r="C44" s="239">
        <f>(C42*C21+C43*SUM(C26,C28))/1000</f>
        <v>67.5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2.0299999999999999E-2</v>
      </c>
      <c r="D48" s="75" t="str">
        <f>CONCATENATE("Euro/",$C$7)</f>
        <v>Euro/kWh</v>
      </c>
      <c r="E48" s="417"/>
      <c r="F48" s="431"/>
      <c r="G48" s="431"/>
      <c r="H48" s="431"/>
      <c r="I48" s="431"/>
      <c r="J48" s="431"/>
      <c r="K48" s="431"/>
      <c r="L48" s="431"/>
      <c r="M48" s="432"/>
    </row>
    <row r="49" spans="2:13" ht="15" customHeight="1">
      <c r="B49" s="73" t="s">
        <v>472</v>
      </c>
      <c r="C49" s="331">
        <f>SUM(C45:C48)</f>
        <v>2.0299999999999999E-2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2660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179550000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239400000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-7159769.9999999991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11970000</v>
      </c>
      <c r="F115" s="312">
        <f t="shared" si="4"/>
        <v>11970000</v>
      </c>
      <c r="G115" s="312">
        <f t="shared" si="4"/>
        <v>11970000</v>
      </c>
      <c r="H115" s="312">
        <f t="shared" si="4"/>
        <v>11970000</v>
      </c>
      <c r="I115" s="312">
        <f t="shared" si="4"/>
        <v>11970000</v>
      </c>
      <c r="J115" s="312">
        <f t="shared" si="4"/>
        <v>11970000</v>
      </c>
      <c r="K115" s="312">
        <f t="shared" si="4"/>
        <v>11970000</v>
      </c>
      <c r="L115" s="312">
        <f t="shared" si="4"/>
        <v>11970000</v>
      </c>
      <c r="M115" s="312">
        <f t="shared" si="4"/>
        <v>11970000</v>
      </c>
      <c r="N115" s="312">
        <f t="shared" si="4"/>
        <v>11970000</v>
      </c>
      <c r="O115" s="312">
        <f t="shared" si="4"/>
        <v>11970000</v>
      </c>
      <c r="P115" s="312">
        <f t="shared" si="4"/>
        <v>11970000</v>
      </c>
      <c r="Q115" s="312">
        <f t="shared" si="4"/>
        <v>11970000</v>
      </c>
      <c r="R115" s="312">
        <f t="shared" si="4"/>
        <v>11970000</v>
      </c>
      <c r="S115" s="312">
        <f t="shared" si="4"/>
        <v>11970000</v>
      </c>
      <c r="T115" s="312">
        <f t="shared" si="4"/>
        <v>11970000</v>
      </c>
      <c r="U115" s="312">
        <f t="shared" si="4"/>
        <v>11970000</v>
      </c>
      <c r="V115" s="312">
        <f t="shared" si="4"/>
        <v>11970000</v>
      </c>
      <c r="W115" s="312">
        <f t="shared" si="4"/>
        <v>11970000</v>
      </c>
      <c r="X115" s="312">
        <f t="shared" si="4"/>
        <v>11970000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11970000</v>
      </c>
      <c r="F118" s="315">
        <f t="shared" si="7"/>
        <v>11970000</v>
      </c>
      <c r="G118" s="315">
        <f t="shared" si="7"/>
        <v>11970000</v>
      </c>
      <c r="H118" s="315">
        <f t="shared" si="7"/>
        <v>11970000</v>
      </c>
      <c r="I118" s="315">
        <f t="shared" si="7"/>
        <v>11970000</v>
      </c>
      <c r="J118" s="315">
        <f t="shared" si="7"/>
        <v>11970000</v>
      </c>
      <c r="K118" s="315">
        <f t="shared" si="7"/>
        <v>11970000</v>
      </c>
      <c r="L118" s="315">
        <f t="shared" si="7"/>
        <v>11970000</v>
      </c>
      <c r="M118" s="315">
        <f t="shared" si="7"/>
        <v>11970000</v>
      </c>
      <c r="N118" s="315">
        <f t="shared" si="7"/>
        <v>11970000</v>
      </c>
      <c r="O118" s="315">
        <f t="shared" si="7"/>
        <v>11970000</v>
      </c>
      <c r="P118" s="315">
        <f t="shared" si="7"/>
        <v>11970000</v>
      </c>
      <c r="Q118" s="315">
        <f t="shared" si="7"/>
        <v>11970000</v>
      </c>
      <c r="R118" s="315">
        <f t="shared" si="7"/>
        <v>11970000</v>
      </c>
      <c r="S118" s="315">
        <f t="shared" si="7"/>
        <v>11970000</v>
      </c>
      <c r="T118" s="315">
        <f t="shared" si="7"/>
        <v>11970000</v>
      </c>
      <c r="U118" s="315">
        <f t="shared" si="7"/>
        <v>11970000</v>
      </c>
      <c r="V118" s="315">
        <f t="shared" si="7"/>
        <v>11970000</v>
      </c>
      <c r="W118" s="315">
        <f t="shared" si="7"/>
        <v>11970000</v>
      </c>
      <c r="X118" s="315">
        <f t="shared" si="7"/>
        <v>11970000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-310491</v>
      </c>
      <c r="F120" s="312">
        <f t="shared" si="8"/>
        <v>-316700.82</v>
      </c>
      <c r="G120" s="312">
        <f t="shared" si="8"/>
        <v>-323034.83639999997</v>
      </c>
      <c r="H120" s="312">
        <f t="shared" si="8"/>
        <v>-329495.53312799998</v>
      </c>
      <c r="I120" s="312">
        <f t="shared" si="8"/>
        <v>-336085.44379056001</v>
      </c>
      <c r="J120" s="312">
        <f t="shared" si="8"/>
        <v>-342807.1526663712</v>
      </c>
      <c r="K120" s="312">
        <f t="shared" si="8"/>
        <v>-349663.29571969865</v>
      </c>
      <c r="L120" s="312">
        <f t="shared" si="8"/>
        <v>-356656.56163409253</v>
      </c>
      <c r="M120" s="312">
        <f t="shared" si="8"/>
        <v>-363789.69286677445</v>
      </c>
      <c r="N120" s="312">
        <f t="shared" si="8"/>
        <v>-371065.48672410991</v>
      </c>
      <c r="O120" s="312">
        <f t="shared" si="8"/>
        <v>-378486.79645859211</v>
      </c>
      <c r="P120" s="312">
        <f t="shared" si="8"/>
        <v>-386056.5323877639</v>
      </c>
      <c r="Q120" s="312">
        <f t="shared" si="8"/>
        <v>-393777.66303551925</v>
      </c>
      <c r="R120" s="312">
        <f t="shared" si="8"/>
        <v>-401653.21629622963</v>
      </c>
      <c r="S120" s="312">
        <f t="shared" si="8"/>
        <v>-409686.28062215424</v>
      </c>
      <c r="T120" s="312">
        <f t="shared" si="8"/>
        <v>-417880.00623459718</v>
      </c>
      <c r="U120" s="312">
        <f t="shared" si="8"/>
        <v>-426237.6063592892</v>
      </c>
      <c r="V120" s="312">
        <f t="shared" si="8"/>
        <v>-434762.35848647502</v>
      </c>
      <c r="W120" s="312">
        <f t="shared" si="8"/>
        <v>-443457.60565620451</v>
      </c>
      <c r="X120" s="312">
        <f t="shared" si="8"/>
        <v>-452326.75776932854</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820001.24009575718</v>
      </c>
      <c r="U127" s="312">
        <f t="shared" si="15"/>
        <v>836401.26489767246</v>
      </c>
      <c r="V127" s="312">
        <f t="shared" si="15"/>
        <v>853129.29019562597</v>
      </c>
      <c r="W127" s="312">
        <f t="shared" si="15"/>
        <v>870191.87599953834</v>
      </c>
      <c r="X127" s="312">
        <f t="shared" si="15"/>
        <v>887595.71351952921</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820001.24009575718</v>
      </c>
      <c r="U130" s="312">
        <f t="shared" si="17"/>
        <v>836401.26489767246</v>
      </c>
      <c r="V130" s="312">
        <f t="shared" si="17"/>
        <v>853129.29019562597</v>
      </c>
      <c r="W130" s="312">
        <f t="shared" si="17"/>
        <v>870191.87599953834</v>
      </c>
      <c r="X130" s="312">
        <f t="shared" si="17"/>
        <v>887595.71351952921</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-310491</v>
      </c>
      <c r="F131" s="312">
        <f t="shared" si="18"/>
        <v>-316700.82</v>
      </c>
      <c r="G131" s="312">
        <f t="shared" si="18"/>
        <v>-323034.83639999997</v>
      </c>
      <c r="H131" s="312">
        <f t="shared" si="18"/>
        <v>-329495.53312799998</v>
      </c>
      <c r="I131" s="312">
        <f t="shared" si="18"/>
        <v>-336085.44379056001</v>
      </c>
      <c r="J131" s="312">
        <f t="shared" si="18"/>
        <v>-342807.1526663712</v>
      </c>
      <c r="K131" s="312">
        <f t="shared" si="18"/>
        <v>-349663.29571969865</v>
      </c>
      <c r="L131" s="312">
        <f t="shared" si="18"/>
        <v>-356656.56163409253</v>
      </c>
      <c r="M131" s="312">
        <f t="shared" si="18"/>
        <v>-363789.69286677445</v>
      </c>
      <c r="N131" s="312">
        <f t="shared" si="18"/>
        <v>-371065.48672410991</v>
      </c>
      <c r="O131" s="312">
        <f t="shared" si="18"/>
        <v>-378486.79645859211</v>
      </c>
      <c r="P131" s="312">
        <f t="shared" si="18"/>
        <v>-386056.5323877639</v>
      </c>
      <c r="Q131" s="312">
        <f t="shared" si="18"/>
        <v>-393777.66303551925</v>
      </c>
      <c r="R131" s="312">
        <f t="shared" si="18"/>
        <v>-401653.21629622963</v>
      </c>
      <c r="S131" s="312">
        <f t="shared" si="18"/>
        <v>-409686.28062215424</v>
      </c>
      <c r="T131" s="312">
        <f t="shared" si="18"/>
        <v>-417880.00623459718</v>
      </c>
      <c r="U131" s="312">
        <f t="shared" si="18"/>
        <v>-426237.6063592892</v>
      </c>
      <c r="V131" s="312">
        <f t="shared" si="18"/>
        <v>-434762.35848647502</v>
      </c>
      <c r="W131" s="312">
        <f t="shared" si="18"/>
        <v>-443457.60565620451</v>
      </c>
      <c r="X131" s="312">
        <f t="shared" si="18"/>
        <v>-452326.75776932854</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-310491</v>
      </c>
      <c r="F132" s="321">
        <f t="shared" si="19"/>
        <v>-316700.82</v>
      </c>
      <c r="G132" s="321">
        <f t="shared" si="19"/>
        <v>-323034.83639999997</v>
      </c>
      <c r="H132" s="321">
        <f t="shared" si="19"/>
        <v>-329495.53312799998</v>
      </c>
      <c r="I132" s="321">
        <f t="shared" si="19"/>
        <v>-336085.44379056001</v>
      </c>
      <c r="J132" s="321">
        <f t="shared" si="19"/>
        <v>-342807.1526663712</v>
      </c>
      <c r="K132" s="321">
        <f t="shared" si="19"/>
        <v>-349663.29571969865</v>
      </c>
      <c r="L132" s="321">
        <f t="shared" si="19"/>
        <v>-356656.56163409253</v>
      </c>
      <c r="M132" s="321">
        <f t="shared" si="19"/>
        <v>-363789.69286677445</v>
      </c>
      <c r="N132" s="321">
        <f t="shared" si="19"/>
        <v>-371065.48672410991</v>
      </c>
      <c r="O132" s="321">
        <f t="shared" si="19"/>
        <v>-378486.79645859211</v>
      </c>
      <c r="P132" s="321">
        <f t="shared" si="19"/>
        <v>-386056.5323877639</v>
      </c>
      <c r="Q132" s="321">
        <f t="shared" si="19"/>
        <v>-393777.66303551925</v>
      </c>
      <c r="R132" s="321">
        <f t="shared" si="19"/>
        <v>-401653.21629622963</v>
      </c>
      <c r="S132" s="321">
        <f t="shared" si="19"/>
        <v>-409686.28062215424</v>
      </c>
      <c r="T132" s="321">
        <f t="shared" si="19"/>
        <v>402121.23386116</v>
      </c>
      <c r="U132" s="321">
        <f t="shared" si="19"/>
        <v>410163.65853838326</v>
      </c>
      <c r="V132" s="321">
        <f t="shared" si="19"/>
        <v>418366.93170915096</v>
      </c>
      <c r="W132" s="321">
        <f t="shared" si="19"/>
        <v>426734.27034333383</v>
      </c>
      <c r="X132" s="321">
        <f t="shared" si="19"/>
        <v>435268.95575020066</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-357988.49999999994</v>
      </c>
      <c r="F134" s="312">
        <f t="shared" si="20"/>
        <v>-357988.49999999994</v>
      </c>
      <c r="G134" s="312">
        <f t="shared" si="20"/>
        <v>-357988.49999999994</v>
      </c>
      <c r="H134" s="312">
        <f t="shared" si="20"/>
        <v>-357988.49999999994</v>
      </c>
      <c r="I134" s="312">
        <f t="shared" si="20"/>
        <v>-357988.49999999994</v>
      </c>
      <c r="J134" s="312">
        <f t="shared" si="20"/>
        <v>-357988.49999999994</v>
      </c>
      <c r="K134" s="312">
        <f t="shared" si="20"/>
        <v>-357988.49999999994</v>
      </c>
      <c r="L134" s="312">
        <f t="shared" si="20"/>
        <v>-357988.49999999994</v>
      </c>
      <c r="M134" s="312">
        <f t="shared" si="20"/>
        <v>-357988.49999999994</v>
      </c>
      <c r="N134" s="312">
        <f t="shared" si="20"/>
        <v>-357988.49999999994</v>
      </c>
      <c r="O134" s="312">
        <f t="shared" si="20"/>
        <v>-357988.49999999994</v>
      </c>
      <c r="P134" s="312">
        <f t="shared" si="20"/>
        <v>-357988.49999999994</v>
      </c>
      <c r="Q134" s="312">
        <f t="shared" si="20"/>
        <v>-357988.49999999994</v>
      </c>
      <c r="R134" s="312">
        <f t="shared" si="20"/>
        <v>-357988.49999999994</v>
      </c>
      <c r="S134" s="312">
        <f t="shared" si="20"/>
        <v>-357988.49999999994</v>
      </c>
      <c r="T134" s="312">
        <f t="shared" si="20"/>
        <v>-357988.49999999994</v>
      </c>
      <c r="U134" s="312">
        <f t="shared" si="20"/>
        <v>-357988.49999999994</v>
      </c>
      <c r="V134" s="312">
        <f t="shared" si="20"/>
        <v>-357988.49999999994</v>
      </c>
      <c r="W134" s="312">
        <f t="shared" si="20"/>
        <v>-357988.49999999994</v>
      </c>
      <c r="X134" s="312">
        <f t="shared" si="20"/>
        <v>-357988.49999999994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-213003.15749999997</v>
      </c>
      <c r="F135" s="312">
        <f t="shared" si="21"/>
        <v>-202561.65212422441</v>
      </c>
      <c r="G135" s="312">
        <f t="shared" si="21"/>
        <v>-191676.38276997831</v>
      </c>
      <c r="H135" s="312">
        <f t="shared" si="21"/>
        <v>-180328.48946817676</v>
      </c>
      <c r="I135" s="312">
        <f t="shared" si="21"/>
        <v>-168498.31070104867</v>
      </c>
      <c r="J135" s="312">
        <f t="shared" si="21"/>
        <v>-156165.34933631762</v>
      </c>
      <c r="K135" s="312">
        <f t="shared" si="21"/>
        <v>-143308.23711358552</v>
      </c>
      <c r="L135" s="312">
        <f t="shared" si="21"/>
        <v>-129904.6976213873</v>
      </c>
      <c r="M135" s="312">
        <f t="shared" si="21"/>
        <v>-115931.50770077063</v>
      </c>
      <c r="N135" s="312">
        <f t="shared" si="21"/>
        <v>-101364.45720852781</v>
      </c>
      <c r="O135" s="312">
        <f t="shared" si="21"/>
        <v>-86178.307070364608</v>
      </c>
      <c r="P135" s="312">
        <f t="shared" si="21"/>
        <v>-70346.745551329499</v>
      </c>
      <c r="Q135" s="312">
        <f t="shared" si="21"/>
        <v>-53842.342667735393</v>
      </c>
      <c r="R135" s="312">
        <f t="shared" si="21"/>
        <v>-36636.502661588544</v>
      </c>
      <c r="S135" s="312">
        <f t="shared" si="21"/>
        <v>-18699.414455180442</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-245682.4794300143</v>
      </c>
      <c r="F136" s="312">
        <f t="shared" si="22"/>
        <v>-256123.98480578989</v>
      </c>
      <c r="G136" s="312">
        <f t="shared" si="22"/>
        <v>-267009.25416003598</v>
      </c>
      <c r="H136" s="312">
        <f t="shared" si="22"/>
        <v>-278357.14746183751</v>
      </c>
      <c r="I136" s="312">
        <f t="shared" si="22"/>
        <v>-290187.32622896566</v>
      </c>
      <c r="J136" s="312">
        <f t="shared" si="22"/>
        <v>-302520.28759369667</v>
      </c>
      <c r="K136" s="312">
        <f t="shared" si="22"/>
        <v>-315377.39981642872</v>
      </c>
      <c r="L136" s="312">
        <f t="shared" si="22"/>
        <v>-328780.93930862698</v>
      </c>
      <c r="M136" s="312">
        <f t="shared" si="22"/>
        <v>-342754.12922924361</v>
      </c>
      <c r="N136" s="312">
        <f t="shared" si="22"/>
        <v>-357321.17972148646</v>
      </c>
      <c r="O136" s="312">
        <f t="shared" si="22"/>
        <v>-372507.3298596497</v>
      </c>
      <c r="P136" s="312">
        <f t="shared" si="22"/>
        <v>-388338.89137868484</v>
      </c>
      <c r="Q136" s="312">
        <f t="shared" si="22"/>
        <v>-404843.29426227888</v>
      </c>
      <c r="R136" s="312">
        <f t="shared" si="22"/>
        <v>-422049.13426842575</v>
      </c>
      <c r="S136" s="312">
        <f t="shared" si="22"/>
        <v>-439986.22247483383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-458685.63693001424</v>
      </c>
      <c r="F137" s="321">
        <f t="shared" si="23"/>
        <v>-458685.6369300143</v>
      </c>
      <c r="G137" s="321">
        <f t="shared" si="23"/>
        <v>-458685.6369300143</v>
      </c>
      <c r="H137" s="321">
        <f t="shared" si="23"/>
        <v>-458685.63693001424</v>
      </c>
      <c r="I137" s="321">
        <f t="shared" si="23"/>
        <v>-458685.63693001436</v>
      </c>
      <c r="J137" s="321">
        <f t="shared" si="23"/>
        <v>-458685.6369300143</v>
      </c>
      <c r="K137" s="321">
        <f t="shared" si="23"/>
        <v>-458685.63693001424</v>
      </c>
      <c r="L137" s="321">
        <f t="shared" si="23"/>
        <v>-458685.6369300143</v>
      </c>
      <c r="M137" s="321">
        <f t="shared" si="23"/>
        <v>-458685.63693001424</v>
      </c>
      <c r="N137" s="321">
        <f t="shared" si="23"/>
        <v>-458685.63693001424</v>
      </c>
      <c r="O137" s="321">
        <f t="shared" si="23"/>
        <v>-458685.6369300143</v>
      </c>
      <c r="P137" s="321">
        <f t="shared" si="23"/>
        <v>-458685.63693001436</v>
      </c>
      <c r="Q137" s="321">
        <f t="shared" si="23"/>
        <v>-458685.6369300143</v>
      </c>
      <c r="R137" s="321">
        <f t="shared" si="23"/>
        <v>-458685.6369300143</v>
      </c>
      <c r="S137" s="321">
        <f t="shared" si="23"/>
        <v>-458685.6369300143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-881482.65749999997</v>
      </c>
      <c r="F139" s="312">
        <f t="shared" si="24"/>
        <v>-877250.9721242243</v>
      </c>
      <c r="G139" s="312">
        <f t="shared" si="24"/>
        <v>-872699.71916997829</v>
      </c>
      <c r="H139" s="312">
        <f t="shared" si="24"/>
        <v>-867812.5225961766</v>
      </c>
      <c r="I139" s="312">
        <f t="shared" si="24"/>
        <v>-862572.25449160859</v>
      </c>
      <c r="J139" s="312">
        <f t="shared" si="24"/>
        <v>-856961.00200268871</v>
      </c>
      <c r="K139" s="312">
        <f t="shared" si="24"/>
        <v>-850960.032833284</v>
      </c>
      <c r="L139" s="312">
        <f t="shared" si="24"/>
        <v>-844549.75925547979</v>
      </c>
      <c r="M139" s="312">
        <f t="shared" si="24"/>
        <v>-837709.70056754502</v>
      </c>
      <c r="N139" s="312">
        <f t="shared" si="24"/>
        <v>-830418.44393263769</v>
      </c>
      <c r="O139" s="312">
        <f t="shared" si="24"/>
        <v>-822653.60352895665</v>
      </c>
      <c r="P139" s="312">
        <f t="shared" si="24"/>
        <v>-814391.7779390933</v>
      </c>
      <c r="Q139" s="312">
        <f t="shared" si="24"/>
        <v>-805608.5057032546</v>
      </c>
      <c r="R139" s="312">
        <f t="shared" si="24"/>
        <v>-796278.21895781811</v>
      </c>
      <c r="S139" s="312">
        <f t="shared" si="24"/>
        <v>-786374.19507733465</v>
      </c>
      <c r="T139" s="312">
        <f t="shared" si="24"/>
        <v>44132.733861160057</v>
      </c>
      <c r="U139" s="312">
        <f t="shared" si="24"/>
        <v>52175.158538383315</v>
      </c>
      <c r="V139" s="312">
        <f t="shared" si="24"/>
        <v>60378.431709151017</v>
      </c>
      <c r="W139" s="312">
        <f t="shared" si="24"/>
        <v>68745.77034333389</v>
      </c>
      <c r="X139" s="312">
        <f t="shared" si="24"/>
        <v>77280.455750200723</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167481.704925</v>
      </c>
      <c r="F140" s="312">
        <f t="shared" si="25"/>
        <v>166677.68470360263</v>
      </c>
      <c r="G140" s="312">
        <f t="shared" si="25"/>
        <v>165812.94664229586</v>
      </c>
      <c r="H140" s="312">
        <f t="shared" si="25"/>
        <v>164884.37929327355</v>
      </c>
      <c r="I140" s="312">
        <f t="shared" si="25"/>
        <v>163888.72835340563</v>
      </c>
      <c r="J140" s="312">
        <f t="shared" si="25"/>
        <v>162822.59038051087</v>
      </c>
      <c r="K140" s="312">
        <f t="shared" si="25"/>
        <v>161682.40623832395</v>
      </c>
      <c r="L140" s="312">
        <f t="shared" si="25"/>
        <v>160464.45425854117</v>
      </c>
      <c r="M140" s="312">
        <f t="shared" si="25"/>
        <v>159164.84310783356</v>
      </c>
      <c r="N140" s="312">
        <f t="shared" si="25"/>
        <v>157779.50434720117</v>
      </c>
      <c r="O140" s="312">
        <f t="shared" si="25"/>
        <v>156304.18467050177</v>
      </c>
      <c r="P140" s="312">
        <f t="shared" si="25"/>
        <v>154734.43780842773</v>
      </c>
      <c r="Q140" s="312">
        <f t="shared" si="25"/>
        <v>153065.61608361837</v>
      </c>
      <c r="R140" s="312">
        <f t="shared" si="25"/>
        <v>151292.86160198544</v>
      </c>
      <c r="S140" s="312">
        <f t="shared" si="25"/>
        <v>149411.09706469357</v>
      </c>
      <c r="T140" s="312">
        <f t="shared" si="25"/>
        <v>-8385.2194336204102</v>
      </c>
      <c r="U140" s="312">
        <f t="shared" si="25"/>
        <v>-9913.2801222928301</v>
      </c>
      <c r="V140" s="312">
        <f t="shared" si="25"/>
        <v>-11471.902024738692</v>
      </c>
      <c r="W140" s="312">
        <f t="shared" si="25"/>
        <v>-13061.69636523344</v>
      </c>
      <c r="X140" s="312">
        <f t="shared" si="25"/>
        <v>-14683.286592538137</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-601694.93200501427</v>
      </c>
      <c r="F142" s="321">
        <f t="shared" si="26"/>
        <v>-608708.77222641162</v>
      </c>
      <c r="G142" s="321">
        <f t="shared" si="26"/>
        <v>-615907.52668771846</v>
      </c>
      <c r="H142" s="321">
        <f t="shared" si="26"/>
        <v>-623296.79076474067</v>
      </c>
      <c r="I142" s="321">
        <f t="shared" si="26"/>
        <v>-630882.35236716876</v>
      </c>
      <c r="J142" s="321">
        <f t="shared" si="26"/>
        <v>-638670.19921587466</v>
      </c>
      <c r="K142" s="321">
        <f t="shared" si="26"/>
        <v>-646666.526411389</v>
      </c>
      <c r="L142" s="321">
        <f t="shared" si="26"/>
        <v>-654877.74430556572</v>
      </c>
      <c r="M142" s="321">
        <f t="shared" si="26"/>
        <v>-663310.48668895522</v>
      </c>
      <c r="N142" s="321">
        <f t="shared" si="26"/>
        <v>-671971.61930692289</v>
      </c>
      <c r="O142" s="321">
        <f t="shared" si="26"/>
        <v>-680868.24871810467</v>
      </c>
      <c r="P142" s="321">
        <f t="shared" si="26"/>
        <v>-690007.73150935047</v>
      </c>
      <c r="Q142" s="321">
        <f t="shared" si="26"/>
        <v>-699397.68388191517</v>
      </c>
      <c r="R142" s="321">
        <f t="shared" si="26"/>
        <v>-709045.99162425858</v>
      </c>
      <c r="S142" s="321">
        <f t="shared" si="26"/>
        <v>-718960.82048747491</v>
      </c>
      <c r="T142" s="321">
        <f t="shared" si="26"/>
        <v>393736.0144275396</v>
      </c>
      <c r="U142" s="321">
        <f t="shared" si="26"/>
        <v>400250.37841609045</v>
      </c>
      <c r="V142" s="321">
        <f t="shared" si="26"/>
        <v>406895.02968441229</v>
      </c>
      <c r="W142" s="321">
        <f t="shared" si="26"/>
        <v>413672.57397810038</v>
      </c>
      <c r="X142" s="321">
        <f t="shared" si="26"/>
        <v>420585.66915766255</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-7159769.9999999981</v>
      </c>
      <c r="E143" s="312">
        <f t="shared" ref="E143:AR143" si="27">E132+E140</f>
        <v>-143009.295075</v>
      </c>
      <c r="F143" s="312">
        <f t="shared" si="27"/>
        <v>-150023.13529639738</v>
      </c>
      <c r="G143" s="312">
        <f t="shared" si="27"/>
        <v>-157221.88975770411</v>
      </c>
      <c r="H143" s="312">
        <f t="shared" si="27"/>
        <v>-164611.15383472643</v>
      </c>
      <c r="I143" s="312">
        <f t="shared" si="27"/>
        <v>-172196.71543715437</v>
      </c>
      <c r="J143" s="312">
        <f t="shared" si="27"/>
        <v>-179984.56228586033</v>
      </c>
      <c r="K143" s="312">
        <f t="shared" si="27"/>
        <v>-187980.8894813747</v>
      </c>
      <c r="L143" s="312">
        <f t="shared" si="27"/>
        <v>-196192.10737555136</v>
      </c>
      <c r="M143" s="312">
        <f t="shared" si="27"/>
        <v>-204624.84975894089</v>
      </c>
      <c r="N143" s="312">
        <f t="shared" si="27"/>
        <v>-213285.98237690874</v>
      </c>
      <c r="O143" s="312">
        <f t="shared" si="27"/>
        <v>-222182.61178809035</v>
      </c>
      <c r="P143" s="312">
        <f t="shared" si="27"/>
        <v>-231322.09457933618</v>
      </c>
      <c r="Q143" s="312">
        <f t="shared" si="27"/>
        <v>-240712.04695190088</v>
      </c>
      <c r="R143" s="312">
        <f t="shared" si="27"/>
        <v>-250360.35469424419</v>
      </c>
      <c r="S143" s="312">
        <f t="shared" si="27"/>
        <v>-260275.18355746067</v>
      </c>
      <c r="T143" s="312">
        <f t="shared" si="27"/>
        <v>393736.0144275396</v>
      </c>
      <c r="U143" s="312">
        <f t="shared" si="27"/>
        <v>400250.37841609045</v>
      </c>
      <c r="V143" s="312">
        <f t="shared" si="27"/>
        <v>406895.02968441229</v>
      </c>
      <c r="W143" s="312">
        <f t="shared" si="27"/>
        <v>413672.57397810038</v>
      </c>
      <c r="X143" s="312">
        <f t="shared" si="27"/>
        <v>420585.66915766255</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-2147930.9999999995</v>
      </c>
      <c r="E144" s="312">
        <f t="shared" ref="E144:AR144" si="28">E142</f>
        <v>-601694.93200501427</v>
      </c>
      <c r="F144" s="312">
        <f t="shared" si="28"/>
        <v>-608708.77222641162</v>
      </c>
      <c r="G144" s="312">
        <f t="shared" si="28"/>
        <v>-615907.52668771846</v>
      </c>
      <c r="H144" s="312">
        <f t="shared" si="28"/>
        <v>-623296.79076474067</v>
      </c>
      <c r="I144" s="312">
        <f t="shared" si="28"/>
        <v>-630882.35236716876</v>
      </c>
      <c r="J144" s="312">
        <f t="shared" si="28"/>
        <v>-638670.19921587466</v>
      </c>
      <c r="K144" s="312">
        <f t="shared" si="28"/>
        <v>-646666.526411389</v>
      </c>
      <c r="L144" s="312">
        <f t="shared" si="28"/>
        <v>-654877.74430556572</v>
      </c>
      <c r="M144" s="312">
        <f t="shared" si="28"/>
        <v>-663310.48668895522</v>
      </c>
      <c r="N144" s="312">
        <f t="shared" si="28"/>
        <v>-671971.61930692289</v>
      </c>
      <c r="O144" s="312">
        <f t="shared" si="28"/>
        <v>-680868.24871810467</v>
      </c>
      <c r="P144" s="312">
        <f t="shared" si="28"/>
        <v>-690007.73150935047</v>
      </c>
      <c r="Q144" s="312">
        <f t="shared" si="28"/>
        <v>-699397.68388191517</v>
      </c>
      <c r="R144" s="312">
        <f t="shared" si="28"/>
        <v>-709045.99162425858</v>
      </c>
      <c r="S144" s="312">
        <f t="shared" si="28"/>
        <v>-718960.82048747491</v>
      </c>
      <c r="T144" s="312">
        <f t="shared" si="28"/>
        <v>393736.0144275396</v>
      </c>
      <c r="U144" s="312">
        <f t="shared" si="28"/>
        <v>400250.37841609045</v>
      </c>
      <c r="V144" s="312">
        <f t="shared" si="28"/>
        <v>406895.02968441229</v>
      </c>
      <c r="W144" s="312">
        <f t="shared" si="28"/>
        <v>413672.57397810038</v>
      </c>
      <c r="X144" s="312">
        <f t="shared" si="28"/>
        <v>420585.66915766255</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11970000</v>
      </c>
      <c r="F145" s="312">
        <f t="shared" si="29"/>
        <v>11970000</v>
      </c>
      <c r="G145" s="312">
        <f t="shared" si="29"/>
        <v>11970000</v>
      </c>
      <c r="H145" s="312">
        <f t="shared" si="29"/>
        <v>11970000</v>
      </c>
      <c r="I145" s="312">
        <f t="shared" si="29"/>
        <v>11970000</v>
      </c>
      <c r="J145" s="312">
        <f t="shared" si="29"/>
        <v>11970000</v>
      </c>
      <c r="K145" s="312">
        <f t="shared" si="29"/>
        <v>11970000</v>
      </c>
      <c r="L145" s="312">
        <f t="shared" si="29"/>
        <v>11970000</v>
      </c>
      <c r="M145" s="312">
        <f t="shared" si="29"/>
        <v>11970000</v>
      </c>
      <c r="N145" s="312">
        <f t="shared" si="29"/>
        <v>11970000</v>
      </c>
      <c r="O145" s="312">
        <f t="shared" si="29"/>
        <v>11970000</v>
      </c>
      <c r="P145" s="312">
        <f t="shared" si="29"/>
        <v>11970000</v>
      </c>
      <c r="Q145" s="312">
        <f t="shared" si="29"/>
        <v>11970000</v>
      </c>
      <c r="R145" s="312">
        <f t="shared" si="29"/>
        <v>11970000</v>
      </c>
      <c r="S145" s="312">
        <f t="shared" si="29"/>
        <v>11970000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7159769.9999999991</v>
      </c>
      <c r="E146" s="323">
        <f t="shared" ref="E146:AR146" si="30">IF(E112&lt;=$C76,D146-($C$5*E118+E132+E135),D146-(E132+E135))</f>
        <v>6689754.1574999988</v>
      </c>
      <c r="F146" s="323">
        <f t="shared" si="30"/>
        <v>6215506.6296242233</v>
      </c>
      <c r="G146" s="323">
        <f t="shared" si="30"/>
        <v>5736707.8487942014</v>
      </c>
      <c r="H146" s="323">
        <f t="shared" si="30"/>
        <v>5253021.8713903781</v>
      </c>
      <c r="I146" s="323">
        <f t="shared" si="30"/>
        <v>4764095.6258819867</v>
      </c>
      <c r="J146" s="323">
        <f t="shared" si="30"/>
        <v>4269558.1278846757</v>
      </c>
      <c r="K146" s="323">
        <f t="shared" si="30"/>
        <v>3769019.66071796</v>
      </c>
      <c r="L146" s="323">
        <f t="shared" si="30"/>
        <v>3262070.91997344</v>
      </c>
      <c r="M146" s="323">
        <f t="shared" si="30"/>
        <v>2748282.1205409849</v>
      </c>
      <c r="N146" s="323">
        <f t="shared" si="30"/>
        <v>2227202.0644736225</v>
      </c>
      <c r="O146" s="323">
        <f t="shared" si="30"/>
        <v>1698357.1680025794</v>
      </c>
      <c r="P146" s="323">
        <f t="shared" si="30"/>
        <v>1161250.4459416727</v>
      </c>
      <c r="Q146" s="323">
        <f t="shared" si="30"/>
        <v>615360.45164492726</v>
      </c>
      <c r="R146" s="323">
        <f t="shared" si="30"/>
        <v>60140.170602745377</v>
      </c>
      <c r="S146" s="323">
        <f t="shared" si="30"/>
        <v>-504984.13431991998</v>
      </c>
      <c r="T146" s="323">
        <f t="shared" si="30"/>
        <v>-907105.36818107998</v>
      </c>
      <c r="U146" s="323">
        <f t="shared" si="30"/>
        <v>-1317269.0267194633</v>
      </c>
      <c r="V146" s="323">
        <f t="shared" si="30"/>
        <v>-1735635.9584286143</v>
      </c>
      <c r="W146" s="323">
        <f t="shared" si="30"/>
        <v>-2162370.2287719483</v>
      </c>
      <c r="X146" s="323">
        <f t="shared" si="30"/>
        <v>-2597639.1845221492</v>
      </c>
      <c r="Y146" s="323">
        <f t="shared" si="30"/>
        <v>-2597639.1845221492</v>
      </c>
      <c r="Z146" s="323">
        <f t="shared" si="30"/>
        <v>-2597639.1845221492</v>
      </c>
      <c r="AA146" s="323">
        <f t="shared" si="30"/>
        <v>-2597639.1845221492</v>
      </c>
      <c r="AB146" s="323">
        <f t="shared" si="30"/>
        <v>-2597639.1845221492</v>
      </c>
      <c r="AC146" s="323">
        <f t="shared" si="30"/>
        <v>-2597639.1845221492</v>
      </c>
      <c r="AD146" s="323">
        <f t="shared" si="30"/>
        <v>-2597639.1845221492</v>
      </c>
      <c r="AE146" s="323">
        <f t="shared" si="30"/>
        <v>-2597639.1845221492</v>
      </c>
      <c r="AF146" s="323">
        <f t="shared" si="30"/>
        <v>-2597639.1845221492</v>
      </c>
      <c r="AG146" s="323">
        <f t="shared" si="30"/>
        <v>-2597639.1845221492</v>
      </c>
      <c r="AH146" s="323">
        <f t="shared" si="30"/>
        <v>-2597639.1845221492</v>
      </c>
      <c r="AI146" s="323">
        <f t="shared" si="30"/>
        <v>-2597639.1845221492</v>
      </c>
      <c r="AJ146" s="323">
        <f t="shared" si="30"/>
        <v>-2597639.1845221492</v>
      </c>
      <c r="AK146" s="323">
        <f t="shared" si="30"/>
        <v>-2597639.1845221492</v>
      </c>
      <c r="AL146" s="323">
        <f t="shared" si="30"/>
        <v>-2597639.1845221492</v>
      </c>
      <c r="AM146" s="323">
        <f t="shared" si="30"/>
        <v>-2597639.1845221492</v>
      </c>
      <c r="AN146" s="323">
        <f t="shared" si="30"/>
        <v>-2597639.1845221492</v>
      </c>
      <c r="AO146" s="323">
        <f t="shared" si="30"/>
        <v>-2597639.1845221492</v>
      </c>
      <c r="AP146" s="323">
        <f t="shared" si="30"/>
        <v>-2597639.1845221492</v>
      </c>
      <c r="AQ146" s="323">
        <f t="shared" si="30"/>
        <v>-2597639.1845221492</v>
      </c>
      <c r="AR146" s="324">
        <f t="shared" si="30"/>
        <v>-2597639.1845221492</v>
      </c>
    </row>
    <row r="147" spans="1:44" ht="12.95" customHeight="1">
      <c r="B147" s="267" t="s">
        <v>577</v>
      </c>
      <c r="C147" s="268"/>
      <c r="D147" s="325"/>
      <c r="E147" s="326">
        <f t="shared" ref="E147:AR147" si="31">IF(E112&gt;$C$74,"",(-$C$94*(E139+$C$5*E118)+E132+$C$5*E118)/-E137)</f>
        <v>1.4426739179233701</v>
      </c>
      <c r="F147" s="326">
        <f t="shared" si="31"/>
        <v>1.4273827475515632</v>
      </c>
      <c r="G147" s="326">
        <f t="shared" si="31"/>
        <v>1.4116884378071204</v>
      </c>
      <c r="H147" s="326">
        <f t="shared" si="31"/>
        <v>1.395578789974067</v>
      </c>
      <c r="I147" s="326">
        <f t="shared" si="31"/>
        <v>1.3790411855851477</v>
      </c>
      <c r="J147" s="326">
        <f t="shared" si="31"/>
        <v>1.3620625705562797</v>
      </c>
      <c r="K147" s="326">
        <f t="shared" si="31"/>
        <v>1.3446294386861959</v>
      </c>
      <c r="L147" s="326">
        <f t="shared" si="31"/>
        <v>1.3267278144950951</v>
      </c>
      <c r="M147" s="326">
        <f t="shared" si="31"/>
        <v>1.3083432353750037</v>
      </c>
      <c r="N147" s="326">
        <f t="shared" si="31"/>
        <v>1.2894607330234216</v>
      </c>
      <c r="O147" s="326">
        <f t="shared" si="31"/>
        <v>1.270064814130633</v>
      </c>
      <c r="P147" s="326">
        <f t="shared" si="31"/>
        <v>1.2501394402898116</v>
      </c>
      <c r="Q147" s="326">
        <f t="shared" si="31"/>
        <v>1.2296680070977639</v>
      </c>
      <c r="R147" s="326">
        <f t="shared" si="31"/>
        <v>1.208633322412803</v>
      </c>
      <c r="S147" s="326">
        <f t="shared" si="31"/>
        <v>1.1870175837348349</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-5430286.4216969069</v>
      </c>
      <c r="D150" s="271" t="s">
        <v>580</v>
      </c>
    </row>
    <row r="151" spans="1:44">
      <c r="B151" s="72" t="s">
        <v>581</v>
      </c>
      <c r="C151" s="272">
        <f>(1-$C$94)*NPV($C$91,E145:AR145)</f>
        <v>91165456.414855644</v>
      </c>
      <c r="D151" s="271" t="str">
        <f>$C$7</f>
        <v>kWh</v>
      </c>
      <c r="F151" s="273"/>
    </row>
    <row r="152" spans="1:44">
      <c r="B152" s="72" t="s">
        <v>582</v>
      </c>
      <c r="C152" s="272">
        <f>$C$41*1000000</f>
        <v>7159769.9999999991</v>
      </c>
      <c r="D152" s="271" t="s">
        <v>528</v>
      </c>
      <c r="F152" s="46"/>
    </row>
    <row r="153" spans="1:44">
      <c r="B153" s="72" t="s">
        <v>583</v>
      </c>
      <c r="C153" s="274">
        <f>AVERAGE(E147:AR147)</f>
        <v>1.3222074692428742</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-0.10822770621467659</v>
      </c>
      <c r="D155" s="271"/>
      <c r="F155" s="46"/>
      <c r="G155" s="47"/>
    </row>
    <row r="156" spans="1:44">
      <c r="B156" s="72" t="s">
        <v>586</v>
      </c>
      <c r="C156" s="95" t="str">
        <f>IFERROR(IRR(D144:AR144),"n.v.t.")</f>
        <v>n.v.t.</v>
      </c>
      <c r="D156" s="271"/>
      <c r="G156" s="47"/>
    </row>
    <row r="157" spans="1:44">
      <c r="B157" s="72" t="s">
        <v>587</v>
      </c>
      <c r="C157" s="272">
        <f>$C$92*C152-C97</f>
        <v>5011838.9999999991</v>
      </c>
      <c r="D157" s="271" t="s">
        <v>528</v>
      </c>
      <c r="F157" s="33"/>
    </row>
    <row r="158" spans="1:44">
      <c r="B158" s="72" t="s">
        <v>588</v>
      </c>
      <c r="C158" s="272">
        <f>$C$93*C152-C98</f>
        <v>2147930.9999999995</v>
      </c>
      <c r="D158" s="271" t="s">
        <v>528</v>
      </c>
      <c r="F158" s="33"/>
    </row>
    <row r="159" spans="1:44">
      <c r="B159" s="72" t="s">
        <v>332</v>
      </c>
      <c r="C159" s="95">
        <f>IF(AND(E115&gt;0,E116&gt;0),ROUND(E116/E115,2),0)</f>
        <v>0</v>
      </c>
      <c r="D159" s="271" t="s">
        <v>589</v>
      </c>
      <c r="F159" s="33"/>
    </row>
    <row r="160" spans="1:44">
      <c r="B160" s="72" t="s">
        <v>590</v>
      </c>
      <c r="C160" s="95">
        <f>IF(C159=0,MAX(C29:C30),E118/SUM(C26,C28))</f>
        <v>2660</v>
      </c>
      <c r="D160" s="271" t="s">
        <v>446</v>
      </c>
      <c r="F160" s="33"/>
    </row>
    <row r="161" spans="2:44" ht="15" customHeight="1">
      <c r="B161" s="73" t="s">
        <v>591</v>
      </c>
      <c r="C161" s="426" t="str">
        <f>CONCATENATE( "tussen ", INDEX(D112:X112, MATCH(0,D146:AR146, -1)), " en ",  1 + INDEX(D112:X112, MATCH(0,D146:AR146, -1)), " jaar")</f>
        <v>tussen 14 en 15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11" priority="3" operator="containsText" text="Pas op">
      <formula>NOT(ISERROR(SEARCH("Pas op",G1)))</formula>
    </cfRule>
  </conditionalFormatting>
  <conditionalFormatting sqref="G188">
    <cfRule type="containsText" dxfId="10" priority="2" operator="containsText" text="Pas op">
      <formula>NOT(ISERROR(SEARCH("Pas op",G188)))</formula>
    </cfRule>
  </conditionalFormatting>
  <conditionalFormatting sqref="G105">
    <cfRule type="containsText" dxfId="9"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3DDEC5CC-E211-47DF-AE4F-5999BACE062E}">
      <formula1>"ja,nee"</formula1>
    </dataValidation>
    <dataValidation type="list" allowBlank="1" showErrorMessage="1" error="Alleen de opties aangegeven in de dropdownlijst zijn toegestaan" sqref="C7" xr:uid="{9DC499ED-61F2-464B-9AFD-783372BD6C63}">
      <formula1>"t CO2,kWh"</formula1>
    </dataValidation>
    <dataValidation type="list" allowBlank="1" showErrorMessage="1" error="Alleen de opties aangegeven in de dropdownlijst zijn toegestaan" sqref="C14" xr:uid="{F54FD3E8-F071-4A33-8D03-F71194036E3C}">
      <formula1>"Nee,Ja,Geen warmte"</formula1>
    </dataValidation>
    <dataValidation type="list" allowBlank="1" showErrorMessage="1" error="Alleen de opties aangegeven in de dropdownlijst zijn toegestaan" sqref="C9" xr:uid="{2ED1FF67-1DCB-430C-85F9-7742E8C01184}">
      <formula1>"Elektriciteit,Lagetemperatuurwarmte,Hogetemperatuurwarmte,Moleculen,CCS/CCU,Generiek"</formula1>
    </dataValidation>
    <dataValidation type="decimal" allowBlank="1" showErrorMessage="1" error="Alleen getallen tussen 0 en 1.0 toegestaan. Vul in met een punt, geen comma" sqref="C17:C18" xr:uid="{6A66157F-FF7B-4B46-8B18-CF73D520C92B}">
      <formula1>0</formula1>
      <formula2>1</formula2>
    </dataValidation>
    <dataValidation type="decimal" operator="notBetween" allowBlank="1" showInputMessage="1" sqref="C39:C49" xr:uid="{EADD30BF-1415-49DA-ACED-C8F0557F9769}">
      <formula1>0</formula1>
      <formula2>0</formula2>
    </dataValidation>
    <dataValidation type="decimal" operator="notBetween" allowBlank="1" showInputMessage="1" showErrorMessage="1" sqref="C52:C60 C63:C65 C67:C70" xr:uid="{0ACCFA86-5053-454B-BB41-7029F10A4A00}">
      <formula1>0</formula1>
      <formula2>0</formula2>
    </dataValidation>
    <dataValidation type="decimal" operator="greaterThanOrEqual" allowBlank="1" showInputMessage="1" sqref="C21 C24:C30 C33:C36" xr:uid="{BD223ED3-C791-4E6A-9360-C4502874C0D4}">
      <formula1>0</formula1>
    </dataValidation>
    <dataValidation type="decimal" operator="greaterThanOrEqual" allowBlank="1" showInputMessage="1" showErrorMessage="1" sqref="C73:C77" xr:uid="{4E9470CD-743C-4558-9773-E43E333F0D2F}">
      <formula1>0</formula1>
    </dataValidation>
    <dataValidation type="decimal" operator="greaterThan" allowBlank="1" showInputMessage="1" showErrorMessage="1" sqref="C80:C86 C89:C94" xr:uid="{781B6686-F3C4-4D2F-89F5-6D4749118446}">
      <formula1>0</formula1>
    </dataValidation>
    <dataValidation type="list" operator="greaterThanOrEqual" allowBlank="1" showInputMessage="1" sqref="C23" xr:uid="{598069DF-01F2-49E3-8D33-92E0EE7D6109}">
      <formula1>"Ja"</formula1>
    </dataValidation>
    <dataValidation type="decimal" operator="greaterThan" allowBlank="1" showInputMessage="1" showErrorMessage="1" error="Alleen getallen boven de 0 toegstaan" sqref="C22" xr:uid="{4CA6C6AE-88D1-4138-AC7A-7EC043F9CE27}">
      <formula1>0</formula1>
    </dataValidation>
    <dataValidation operator="notBetween" allowBlank="1" showInputMessage="1" showErrorMessage="1" sqref="C66" xr:uid="{7A76F340-D62D-4FC5-BA21-73CB3FA82385}"/>
  </dataValidations>
  <pageMargins left="0.7" right="0.7" top="0.75" bottom="0.75" header="0.3" footer="0.3"/>
  <pageSetup paperSize="9" scale="14"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9B19-57C2-4C93-B8BB-AE54A1A7ACAD}">
  <sheetPr codeName="Sheet111">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625</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8.8999999999999996E-2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270.2702702702702</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IFERROR(INDEX(Correcties!$A$1:$I$334,MATCH('19'!C12,Correcties!$A$1:$A$334,0),5),"")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4500</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4500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2450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1580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7.1597699999999991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15</v>
      </c>
      <c r="D43" s="75" t="str">
        <f>CONCATENATE("Euro/",$C$8,"/jaar")</f>
        <v>Euro/kW/jaar</v>
      </c>
      <c r="E43" s="417" t="s">
        <v>463</v>
      </c>
      <c r="F43" s="431"/>
      <c r="G43" s="431"/>
      <c r="H43" s="431"/>
      <c r="I43" s="431"/>
      <c r="J43" s="431"/>
      <c r="K43" s="431"/>
      <c r="L43" s="431"/>
      <c r="M43" s="432"/>
    </row>
    <row r="44" spans="2:13" ht="15" customHeight="1">
      <c r="B44" s="72" t="s">
        <v>465</v>
      </c>
      <c r="C44" s="239">
        <f>(C42*C21+C43*SUM(C26,C28))/1000</f>
        <v>67.5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2.0299999999999999E-2</v>
      </c>
      <c r="D48" s="75" t="str">
        <f>CONCATENATE("Euro/",$C$7)</f>
        <v>Euro/kWh</v>
      </c>
      <c r="E48" s="417"/>
      <c r="F48" s="431"/>
      <c r="G48" s="431"/>
      <c r="H48" s="431"/>
      <c r="I48" s="431"/>
      <c r="J48" s="431"/>
      <c r="K48" s="431"/>
      <c r="L48" s="431"/>
      <c r="M48" s="432"/>
    </row>
    <row r="49" spans="2:13" ht="15" customHeight="1">
      <c r="B49" s="73" t="s">
        <v>472</v>
      </c>
      <c r="C49" s="331">
        <f>SUM(C45:C48)</f>
        <v>2.0299999999999999E-2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2450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165375000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220500000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-7159769.9999999991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11025000</v>
      </c>
      <c r="F115" s="312">
        <f t="shared" si="4"/>
        <v>11025000</v>
      </c>
      <c r="G115" s="312">
        <f t="shared" si="4"/>
        <v>11025000</v>
      </c>
      <c r="H115" s="312">
        <f t="shared" si="4"/>
        <v>11025000</v>
      </c>
      <c r="I115" s="312">
        <f t="shared" si="4"/>
        <v>11025000</v>
      </c>
      <c r="J115" s="312">
        <f t="shared" si="4"/>
        <v>11025000</v>
      </c>
      <c r="K115" s="312">
        <f t="shared" si="4"/>
        <v>11025000</v>
      </c>
      <c r="L115" s="312">
        <f t="shared" si="4"/>
        <v>11025000</v>
      </c>
      <c r="M115" s="312">
        <f t="shared" si="4"/>
        <v>11025000</v>
      </c>
      <c r="N115" s="312">
        <f t="shared" si="4"/>
        <v>11025000</v>
      </c>
      <c r="O115" s="312">
        <f t="shared" si="4"/>
        <v>11025000</v>
      </c>
      <c r="P115" s="312">
        <f t="shared" si="4"/>
        <v>11025000</v>
      </c>
      <c r="Q115" s="312">
        <f t="shared" si="4"/>
        <v>11025000</v>
      </c>
      <c r="R115" s="312">
        <f t="shared" si="4"/>
        <v>11025000</v>
      </c>
      <c r="S115" s="312">
        <f t="shared" si="4"/>
        <v>11025000</v>
      </c>
      <c r="T115" s="312">
        <f t="shared" si="4"/>
        <v>11025000</v>
      </c>
      <c r="U115" s="312">
        <f t="shared" si="4"/>
        <v>11025000</v>
      </c>
      <c r="V115" s="312">
        <f t="shared" si="4"/>
        <v>11025000</v>
      </c>
      <c r="W115" s="312">
        <f t="shared" si="4"/>
        <v>11025000</v>
      </c>
      <c r="X115" s="312">
        <f t="shared" si="4"/>
        <v>11025000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11025000</v>
      </c>
      <c r="F118" s="315">
        <f t="shared" si="7"/>
        <v>11025000</v>
      </c>
      <c r="G118" s="315">
        <f t="shared" si="7"/>
        <v>11025000</v>
      </c>
      <c r="H118" s="315">
        <f t="shared" si="7"/>
        <v>11025000</v>
      </c>
      <c r="I118" s="315">
        <f t="shared" si="7"/>
        <v>11025000</v>
      </c>
      <c r="J118" s="315">
        <f t="shared" si="7"/>
        <v>11025000</v>
      </c>
      <c r="K118" s="315">
        <f t="shared" si="7"/>
        <v>11025000</v>
      </c>
      <c r="L118" s="315">
        <f t="shared" si="7"/>
        <v>11025000</v>
      </c>
      <c r="M118" s="315">
        <f t="shared" si="7"/>
        <v>11025000</v>
      </c>
      <c r="N118" s="315">
        <f t="shared" si="7"/>
        <v>11025000</v>
      </c>
      <c r="O118" s="315">
        <f t="shared" si="7"/>
        <v>11025000</v>
      </c>
      <c r="P118" s="315">
        <f t="shared" si="7"/>
        <v>11025000</v>
      </c>
      <c r="Q118" s="315">
        <f t="shared" si="7"/>
        <v>11025000</v>
      </c>
      <c r="R118" s="315">
        <f t="shared" si="7"/>
        <v>11025000</v>
      </c>
      <c r="S118" s="315">
        <f t="shared" si="7"/>
        <v>11025000</v>
      </c>
      <c r="T118" s="315">
        <f t="shared" si="7"/>
        <v>11025000</v>
      </c>
      <c r="U118" s="315">
        <f t="shared" si="7"/>
        <v>11025000</v>
      </c>
      <c r="V118" s="315">
        <f t="shared" si="7"/>
        <v>11025000</v>
      </c>
      <c r="W118" s="315">
        <f t="shared" si="7"/>
        <v>11025000</v>
      </c>
      <c r="X118" s="315">
        <f t="shared" si="7"/>
        <v>11025000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-291307.5</v>
      </c>
      <c r="F120" s="312">
        <f t="shared" si="8"/>
        <v>-297133.65000000002</v>
      </c>
      <c r="G120" s="312">
        <f t="shared" si="8"/>
        <v>-303076.32299999997</v>
      </c>
      <c r="H120" s="312">
        <f t="shared" si="8"/>
        <v>-309137.84946</v>
      </c>
      <c r="I120" s="312">
        <f t="shared" si="8"/>
        <v>-315320.60644920002</v>
      </c>
      <c r="J120" s="312">
        <f t="shared" si="8"/>
        <v>-321627.01857818401</v>
      </c>
      <c r="K120" s="312">
        <f t="shared" si="8"/>
        <v>-328059.5589497477</v>
      </c>
      <c r="L120" s="312">
        <f t="shared" si="8"/>
        <v>-334620.7501287426</v>
      </c>
      <c r="M120" s="312">
        <f t="shared" si="8"/>
        <v>-341313.16513131745</v>
      </c>
      <c r="N120" s="312">
        <f t="shared" si="8"/>
        <v>-348139.42843394383</v>
      </c>
      <c r="O120" s="312">
        <f t="shared" si="8"/>
        <v>-355102.21700262272</v>
      </c>
      <c r="P120" s="312">
        <f t="shared" si="8"/>
        <v>-362204.26134267508</v>
      </c>
      <c r="Q120" s="312">
        <f t="shared" si="8"/>
        <v>-369448.34656952863</v>
      </c>
      <c r="R120" s="312">
        <f t="shared" si="8"/>
        <v>-376837.3135009192</v>
      </c>
      <c r="S120" s="312">
        <f t="shared" si="8"/>
        <v>-384374.0597709376</v>
      </c>
      <c r="T120" s="312">
        <f t="shared" si="8"/>
        <v>-392061.54096635629</v>
      </c>
      <c r="U120" s="312">
        <f t="shared" si="8"/>
        <v>-399902.77178568346</v>
      </c>
      <c r="V120" s="312">
        <f t="shared" si="8"/>
        <v>-407900.82722139719</v>
      </c>
      <c r="W120" s="312">
        <f t="shared" si="8"/>
        <v>-416058.84376582509</v>
      </c>
      <c r="X120" s="312">
        <f t="shared" si="8"/>
        <v>-424380.02064114157</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755264.30008819734</v>
      </c>
      <c r="U127" s="312">
        <f t="shared" si="15"/>
        <v>770369.58608996146</v>
      </c>
      <c r="V127" s="312">
        <f t="shared" si="15"/>
        <v>785776.97781176073</v>
      </c>
      <c r="W127" s="312">
        <f t="shared" si="15"/>
        <v>801492.51736799581</v>
      </c>
      <c r="X127" s="312">
        <f t="shared" si="15"/>
        <v>817522.36771535582</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755264.30008819734</v>
      </c>
      <c r="U130" s="312">
        <f t="shared" si="17"/>
        <v>770369.58608996146</v>
      </c>
      <c r="V130" s="312">
        <f t="shared" si="17"/>
        <v>785776.97781176073</v>
      </c>
      <c r="W130" s="312">
        <f t="shared" si="17"/>
        <v>801492.51736799581</v>
      </c>
      <c r="X130" s="312">
        <f t="shared" si="17"/>
        <v>817522.36771535582</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-291307.5</v>
      </c>
      <c r="F131" s="312">
        <f t="shared" si="18"/>
        <v>-297133.65000000002</v>
      </c>
      <c r="G131" s="312">
        <f t="shared" si="18"/>
        <v>-303076.32299999997</v>
      </c>
      <c r="H131" s="312">
        <f t="shared" si="18"/>
        <v>-309137.84946</v>
      </c>
      <c r="I131" s="312">
        <f t="shared" si="18"/>
        <v>-315320.60644920002</v>
      </c>
      <c r="J131" s="312">
        <f t="shared" si="18"/>
        <v>-321627.01857818401</v>
      </c>
      <c r="K131" s="312">
        <f t="shared" si="18"/>
        <v>-328059.5589497477</v>
      </c>
      <c r="L131" s="312">
        <f t="shared" si="18"/>
        <v>-334620.7501287426</v>
      </c>
      <c r="M131" s="312">
        <f t="shared" si="18"/>
        <v>-341313.16513131745</v>
      </c>
      <c r="N131" s="312">
        <f t="shared" si="18"/>
        <v>-348139.42843394383</v>
      </c>
      <c r="O131" s="312">
        <f t="shared" si="18"/>
        <v>-355102.21700262272</v>
      </c>
      <c r="P131" s="312">
        <f t="shared" si="18"/>
        <v>-362204.26134267508</v>
      </c>
      <c r="Q131" s="312">
        <f t="shared" si="18"/>
        <v>-369448.34656952863</v>
      </c>
      <c r="R131" s="312">
        <f t="shared" si="18"/>
        <v>-376837.3135009192</v>
      </c>
      <c r="S131" s="312">
        <f t="shared" si="18"/>
        <v>-384374.0597709376</v>
      </c>
      <c r="T131" s="312">
        <f t="shared" si="18"/>
        <v>-392061.54096635629</v>
      </c>
      <c r="U131" s="312">
        <f t="shared" si="18"/>
        <v>-399902.77178568346</v>
      </c>
      <c r="V131" s="312">
        <f t="shared" si="18"/>
        <v>-407900.82722139719</v>
      </c>
      <c r="W131" s="312">
        <f t="shared" si="18"/>
        <v>-416058.84376582509</v>
      </c>
      <c r="X131" s="312">
        <f t="shared" si="18"/>
        <v>-424380.02064114157</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-291307.5</v>
      </c>
      <c r="F132" s="321">
        <f t="shared" si="19"/>
        <v>-297133.65000000002</v>
      </c>
      <c r="G132" s="321">
        <f t="shared" si="19"/>
        <v>-303076.32299999997</v>
      </c>
      <c r="H132" s="321">
        <f t="shared" si="19"/>
        <v>-309137.84946</v>
      </c>
      <c r="I132" s="321">
        <f t="shared" si="19"/>
        <v>-315320.60644920002</v>
      </c>
      <c r="J132" s="321">
        <f t="shared" si="19"/>
        <v>-321627.01857818401</v>
      </c>
      <c r="K132" s="321">
        <f t="shared" si="19"/>
        <v>-328059.5589497477</v>
      </c>
      <c r="L132" s="321">
        <f t="shared" si="19"/>
        <v>-334620.7501287426</v>
      </c>
      <c r="M132" s="321">
        <f t="shared" si="19"/>
        <v>-341313.16513131745</v>
      </c>
      <c r="N132" s="321">
        <f t="shared" si="19"/>
        <v>-348139.42843394383</v>
      </c>
      <c r="O132" s="321">
        <f t="shared" si="19"/>
        <v>-355102.21700262272</v>
      </c>
      <c r="P132" s="321">
        <f t="shared" si="19"/>
        <v>-362204.26134267508</v>
      </c>
      <c r="Q132" s="321">
        <f t="shared" si="19"/>
        <v>-369448.34656952863</v>
      </c>
      <c r="R132" s="321">
        <f t="shared" si="19"/>
        <v>-376837.3135009192</v>
      </c>
      <c r="S132" s="321">
        <f t="shared" si="19"/>
        <v>-384374.0597709376</v>
      </c>
      <c r="T132" s="321">
        <f t="shared" si="19"/>
        <v>363202.75912184105</v>
      </c>
      <c r="U132" s="321">
        <f t="shared" si="19"/>
        <v>370466.814304278</v>
      </c>
      <c r="V132" s="321">
        <f t="shared" si="19"/>
        <v>377876.15059036354</v>
      </c>
      <c r="W132" s="321">
        <f t="shared" si="19"/>
        <v>385433.67360217072</v>
      </c>
      <c r="X132" s="321">
        <f t="shared" si="19"/>
        <v>393142.34707421425</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-357988.49999999994</v>
      </c>
      <c r="F134" s="312">
        <f t="shared" si="20"/>
        <v>-357988.49999999994</v>
      </c>
      <c r="G134" s="312">
        <f t="shared" si="20"/>
        <v>-357988.49999999994</v>
      </c>
      <c r="H134" s="312">
        <f t="shared" si="20"/>
        <v>-357988.49999999994</v>
      </c>
      <c r="I134" s="312">
        <f t="shared" si="20"/>
        <v>-357988.49999999994</v>
      </c>
      <c r="J134" s="312">
        <f t="shared" si="20"/>
        <v>-357988.49999999994</v>
      </c>
      <c r="K134" s="312">
        <f t="shared" si="20"/>
        <v>-357988.49999999994</v>
      </c>
      <c r="L134" s="312">
        <f t="shared" si="20"/>
        <v>-357988.49999999994</v>
      </c>
      <c r="M134" s="312">
        <f t="shared" si="20"/>
        <v>-357988.49999999994</v>
      </c>
      <c r="N134" s="312">
        <f t="shared" si="20"/>
        <v>-357988.49999999994</v>
      </c>
      <c r="O134" s="312">
        <f t="shared" si="20"/>
        <v>-357988.49999999994</v>
      </c>
      <c r="P134" s="312">
        <f t="shared" si="20"/>
        <v>-357988.49999999994</v>
      </c>
      <c r="Q134" s="312">
        <f t="shared" si="20"/>
        <v>-357988.49999999994</v>
      </c>
      <c r="R134" s="312">
        <f t="shared" si="20"/>
        <v>-357988.49999999994</v>
      </c>
      <c r="S134" s="312">
        <f t="shared" si="20"/>
        <v>-357988.49999999994</v>
      </c>
      <c r="T134" s="312">
        <f t="shared" si="20"/>
        <v>-357988.49999999994</v>
      </c>
      <c r="U134" s="312">
        <f t="shared" si="20"/>
        <v>-357988.49999999994</v>
      </c>
      <c r="V134" s="312">
        <f t="shared" si="20"/>
        <v>-357988.49999999994</v>
      </c>
      <c r="W134" s="312">
        <f t="shared" si="20"/>
        <v>-357988.49999999994</v>
      </c>
      <c r="X134" s="312">
        <f t="shared" si="20"/>
        <v>-357988.49999999994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-213003.15749999997</v>
      </c>
      <c r="F135" s="312">
        <f t="shared" si="21"/>
        <v>-202561.65212422441</v>
      </c>
      <c r="G135" s="312">
        <f t="shared" si="21"/>
        <v>-191676.38276997831</v>
      </c>
      <c r="H135" s="312">
        <f t="shared" si="21"/>
        <v>-180328.48946817676</v>
      </c>
      <c r="I135" s="312">
        <f t="shared" si="21"/>
        <v>-168498.31070104867</v>
      </c>
      <c r="J135" s="312">
        <f t="shared" si="21"/>
        <v>-156165.34933631762</v>
      </c>
      <c r="K135" s="312">
        <f t="shared" si="21"/>
        <v>-143308.23711358552</v>
      </c>
      <c r="L135" s="312">
        <f t="shared" si="21"/>
        <v>-129904.6976213873</v>
      </c>
      <c r="M135" s="312">
        <f t="shared" si="21"/>
        <v>-115931.50770077063</v>
      </c>
      <c r="N135" s="312">
        <f t="shared" si="21"/>
        <v>-101364.45720852781</v>
      </c>
      <c r="O135" s="312">
        <f t="shared" si="21"/>
        <v>-86178.307070364608</v>
      </c>
      <c r="P135" s="312">
        <f t="shared" si="21"/>
        <v>-70346.745551329499</v>
      </c>
      <c r="Q135" s="312">
        <f t="shared" si="21"/>
        <v>-53842.342667735393</v>
      </c>
      <c r="R135" s="312">
        <f t="shared" si="21"/>
        <v>-36636.502661588544</v>
      </c>
      <c r="S135" s="312">
        <f t="shared" si="21"/>
        <v>-18699.414455180442</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-245682.4794300143</v>
      </c>
      <c r="F136" s="312">
        <f t="shared" si="22"/>
        <v>-256123.98480578989</v>
      </c>
      <c r="G136" s="312">
        <f t="shared" si="22"/>
        <v>-267009.25416003598</v>
      </c>
      <c r="H136" s="312">
        <f t="shared" si="22"/>
        <v>-278357.14746183751</v>
      </c>
      <c r="I136" s="312">
        <f t="shared" si="22"/>
        <v>-290187.32622896566</v>
      </c>
      <c r="J136" s="312">
        <f t="shared" si="22"/>
        <v>-302520.28759369667</v>
      </c>
      <c r="K136" s="312">
        <f t="shared" si="22"/>
        <v>-315377.39981642872</v>
      </c>
      <c r="L136" s="312">
        <f t="shared" si="22"/>
        <v>-328780.93930862698</v>
      </c>
      <c r="M136" s="312">
        <f t="shared" si="22"/>
        <v>-342754.12922924361</v>
      </c>
      <c r="N136" s="312">
        <f t="shared" si="22"/>
        <v>-357321.17972148646</v>
      </c>
      <c r="O136" s="312">
        <f t="shared" si="22"/>
        <v>-372507.3298596497</v>
      </c>
      <c r="P136" s="312">
        <f t="shared" si="22"/>
        <v>-388338.89137868484</v>
      </c>
      <c r="Q136" s="312">
        <f t="shared" si="22"/>
        <v>-404843.29426227888</v>
      </c>
      <c r="R136" s="312">
        <f t="shared" si="22"/>
        <v>-422049.13426842575</v>
      </c>
      <c r="S136" s="312">
        <f t="shared" si="22"/>
        <v>-439986.22247483383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-458685.63693001424</v>
      </c>
      <c r="F137" s="321">
        <f t="shared" si="23"/>
        <v>-458685.6369300143</v>
      </c>
      <c r="G137" s="321">
        <f t="shared" si="23"/>
        <v>-458685.6369300143</v>
      </c>
      <c r="H137" s="321">
        <f t="shared" si="23"/>
        <v>-458685.63693001424</v>
      </c>
      <c r="I137" s="321">
        <f t="shared" si="23"/>
        <v>-458685.63693001436</v>
      </c>
      <c r="J137" s="321">
        <f t="shared" si="23"/>
        <v>-458685.6369300143</v>
      </c>
      <c r="K137" s="321">
        <f t="shared" si="23"/>
        <v>-458685.63693001424</v>
      </c>
      <c r="L137" s="321">
        <f t="shared" si="23"/>
        <v>-458685.6369300143</v>
      </c>
      <c r="M137" s="321">
        <f t="shared" si="23"/>
        <v>-458685.63693001424</v>
      </c>
      <c r="N137" s="321">
        <f t="shared" si="23"/>
        <v>-458685.63693001424</v>
      </c>
      <c r="O137" s="321">
        <f t="shared" si="23"/>
        <v>-458685.6369300143</v>
      </c>
      <c r="P137" s="321">
        <f t="shared" si="23"/>
        <v>-458685.63693001436</v>
      </c>
      <c r="Q137" s="321">
        <f t="shared" si="23"/>
        <v>-458685.6369300143</v>
      </c>
      <c r="R137" s="321">
        <f t="shared" si="23"/>
        <v>-458685.6369300143</v>
      </c>
      <c r="S137" s="321">
        <f t="shared" si="23"/>
        <v>-458685.6369300143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-862299.15749999997</v>
      </c>
      <c r="F139" s="312">
        <f t="shared" si="24"/>
        <v>-857683.80212422437</v>
      </c>
      <c r="G139" s="312">
        <f t="shared" si="24"/>
        <v>-852741.20576997823</v>
      </c>
      <c r="H139" s="312">
        <f t="shared" si="24"/>
        <v>-847454.83892817667</v>
      </c>
      <c r="I139" s="312">
        <f t="shared" si="24"/>
        <v>-841807.41715024866</v>
      </c>
      <c r="J139" s="312">
        <f t="shared" si="24"/>
        <v>-835780.86791450158</v>
      </c>
      <c r="K139" s="312">
        <f t="shared" si="24"/>
        <v>-829356.29606333305</v>
      </c>
      <c r="L139" s="312">
        <f t="shared" si="24"/>
        <v>-822513.94775012985</v>
      </c>
      <c r="M139" s="312">
        <f t="shared" si="24"/>
        <v>-815233.17283208808</v>
      </c>
      <c r="N139" s="312">
        <f t="shared" si="24"/>
        <v>-807492.38564247161</v>
      </c>
      <c r="O139" s="312">
        <f t="shared" si="24"/>
        <v>-799269.02407298726</v>
      </c>
      <c r="P139" s="312">
        <f t="shared" si="24"/>
        <v>-790539.50689400441</v>
      </c>
      <c r="Q139" s="312">
        <f t="shared" si="24"/>
        <v>-781279.18923726398</v>
      </c>
      <c r="R139" s="312">
        <f t="shared" si="24"/>
        <v>-771462.31616250775</v>
      </c>
      <c r="S139" s="312">
        <f t="shared" si="24"/>
        <v>-761061.97422611795</v>
      </c>
      <c r="T139" s="312">
        <f t="shared" si="24"/>
        <v>5214.2591218411108</v>
      </c>
      <c r="U139" s="312">
        <f t="shared" si="24"/>
        <v>12478.314304278058</v>
      </c>
      <c r="V139" s="312">
        <f t="shared" si="24"/>
        <v>19887.650590363599</v>
      </c>
      <c r="W139" s="312">
        <f t="shared" si="24"/>
        <v>27445.173602170777</v>
      </c>
      <c r="X139" s="312">
        <f t="shared" si="24"/>
        <v>35153.847074214311</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163836.83992500001</v>
      </c>
      <c r="F140" s="312">
        <f t="shared" si="25"/>
        <v>162959.92240360263</v>
      </c>
      <c r="G140" s="312">
        <f t="shared" si="25"/>
        <v>162020.82909629587</v>
      </c>
      <c r="H140" s="312">
        <f t="shared" si="25"/>
        <v>161016.41939635357</v>
      </c>
      <c r="I140" s="312">
        <f t="shared" si="25"/>
        <v>159943.40925854724</v>
      </c>
      <c r="J140" s="312">
        <f t="shared" si="25"/>
        <v>158798.36490375531</v>
      </c>
      <c r="K140" s="312">
        <f t="shared" si="25"/>
        <v>157577.69625203329</v>
      </c>
      <c r="L140" s="312">
        <f t="shared" si="25"/>
        <v>156277.65007252467</v>
      </c>
      <c r="M140" s="312">
        <f t="shared" si="25"/>
        <v>154894.30283809674</v>
      </c>
      <c r="N140" s="312">
        <f t="shared" si="25"/>
        <v>153423.55327206961</v>
      </c>
      <c r="O140" s="312">
        <f t="shared" si="25"/>
        <v>151861.11457386758</v>
      </c>
      <c r="P140" s="312">
        <f t="shared" si="25"/>
        <v>150202.50630986085</v>
      </c>
      <c r="Q140" s="312">
        <f t="shared" si="25"/>
        <v>148443.04595508016</v>
      </c>
      <c r="R140" s="312">
        <f t="shared" si="25"/>
        <v>146577.84007087647</v>
      </c>
      <c r="S140" s="312">
        <f t="shared" si="25"/>
        <v>144601.77510296242</v>
      </c>
      <c r="T140" s="312">
        <f t="shared" si="25"/>
        <v>-990.7092331498111</v>
      </c>
      <c r="U140" s="312">
        <f t="shared" si="25"/>
        <v>-2370.8797178128311</v>
      </c>
      <c r="V140" s="312">
        <f t="shared" si="25"/>
        <v>-3778.6536121690838</v>
      </c>
      <c r="W140" s="312">
        <f t="shared" si="25"/>
        <v>-5214.5829844124473</v>
      </c>
      <c r="X140" s="312">
        <f t="shared" si="25"/>
        <v>-6679.2309441007192</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-586156.29700501426</v>
      </c>
      <c r="F142" s="321">
        <f t="shared" si="26"/>
        <v>-592859.36452641175</v>
      </c>
      <c r="G142" s="321">
        <f t="shared" si="26"/>
        <v>-599741.13083371846</v>
      </c>
      <c r="H142" s="321">
        <f t="shared" si="26"/>
        <v>-606807.06699366064</v>
      </c>
      <c r="I142" s="321">
        <f t="shared" si="26"/>
        <v>-614062.83412066707</v>
      </c>
      <c r="J142" s="321">
        <f t="shared" si="26"/>
        <v>-621514.29060444306</v>
      </c>
      <c r="K142" s="321">
        <f t="shared" si="26"/>
        <v>-629167.49962772871</v>
      </c>
      <c r="L142" s="321">
        <f t="shared" si="26"/>
        <v>-637028.73698623222</v>
      </c>
      <c r="M142" s="321">
        <f t="shared" si="26"/>
        <v>-645104.49922323495</v>
      </c>
      <c r="N142" s="321">
        <f t="shared" si="26"/>
        <v>-653401.51209188835</v>
      </c>
      <c r="O142" s="321">
        <f t="shared" si="26"/>
        <v>-661926.7393587695</v>
      </c>
      <c r="P142" s="321">
        <f t="shared" si="26"/>
        <v>-670687.39196282858</v>
      </c>
      <c r="Q142" s="321">
        <f t="shared" si="26"/>
        <v>-679690.93754446274</v>
      </c>
      <c r="R142" s="321">
        <f t="shared" si="26"/>
        <v>-688945.11036005709</v>
      </c>
      <c r="S142" s="321">
        <f t="shared" si="26"/>
        <v>-698457.92159798951</v>
      </c>
      <c r="T142" s="321">
        <f t="shared" si="26"/>
        <v>362212.04988869122</v>
      </c>
      <c r="U142" s="321">
        <f t="shared" si="26"/>
        <v>368095.93458646518</v>
      </c>
      <c r="V142" s="321">
        <f t="shared" si="26"/>
        <v>374097.49697819445</v>
      </c>
      <c r="W142" s="321">
        <f t="shared" si="26"/>
        <v>380219.09061775828</v>
      </c>
      <c r="X142" s="321">
        <f t="shared" si="26"/>
        <v>386463.11613011354</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-7159769.9999999981</v>
      </c>
      <c r="E143" s="312">
        <f t="shared" ref="E143:AR143" si="27">E132+E140</f>
        <v>-127470.66007499999</v>
      </c>
      <c r="F143" s="312">
        <f t="shared" si="27"/>
        <v>-134173.7275963974</v>
      </c>
      <c r="G143" s="312">
        <f t="shared" si="27"/>
        <v>-141055.4939037041</v>
      </c>
      <c r="H143" s="312">
        <f t="shared" si="27"/>
        <v>-148121.43006364643</v>
      </c>
      <c r="I143" s="312">
        <f t="shared" si="27"/>
        <v>-155377.19719065278</v>
      </c>
      <c r="J143" s="312">
        <f t="shared" si="27"/>
        <v>-162828.6536744287</v>
      </c>
      <c r="K143" s="312">
        <f t="shared" si="27"/>
        <v>-170481.86269771442</v>
      </c>
      <c r="L143" s="312">
        <f t="shared" si="27"/>
        <v>-178343.10005621793</v>
      </c>
      <c r="M143" s="312">
        <f t="shared" si="27"/>
        <v>-186418.86229322071</v>
      </c>
      <c r="N143" s="312">
        <f t="shared" si="27"/>
        <v>-194715.87516187422</v>
      </c>
      <c r="O143" s="312">
        <f t="shared" si="27"/>
        <v>-203241.10242875514</v>
      </c>
      <c r="P143" s="312">
        <f t="shared" si="27"/>
        <v>-212001.75503281422</v>
      </c>
      <c r="Q143" s="312">
        <f t="shared" si="27"/>
        <v>-221005.30061444847</v>
      </c>
      <c r="R143" s="312">
        <f t="shared" si="27"/>
        <v>-230259.47343004274</v>
      </c>
      <c r="S143" s="312">
        <f t="shared" si="27"/>
        <v>-239772.28466797518</v>
      </c>
      <c r="T143" s="312">
        <f t="shared" si="27"/>
        <v>362212.04988869122</v>
      </c>
      <c r="U143" s="312">
        <f t="shared" si="27"/>
        <v>368095.93458646518</v>
      </c>
      <c r="V143" s="312">
        <f t="shared" si="27"/>
        <v>374097.49697819445</v>
      </c>
      <c r="W143" s="312">
        <f t="shared" si="27"/>
        <v>380219.09061775828</v>
      </c>
      <c r="X143" s="312">
        <f t="shared" si="27"/>
        <v>386463.11613011354</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-2147930.9999999995</v>
      </c>
      <c r="E144" s="312">
        <f t="shared" ref="E144:AR144" si="28">E142</f>
        <v>-586156.29700501426</v>
      </c>
      <c r="F144" s="312">
        <f t="shared" si="28"/>
        <v>-592859.36452641175</v>
      </c>
      <c r="G144" s="312">
        <f t="shared" si="28"/>
        <v>-599741.13083371846</v>
      </c>
      <c r="H144" s="312">
        <f t="shared" si="28"/>
        <v>-606807.06699366064</v>
      </c>
      <c r="I144" s="312">
        <f t="shared" si="28"/>
        <v>-614062.83412066707</v>
      </c>
      <c r="J144" s="312">
        <f t="shared" si="28"/>
        <v>-621514.29060444306</v>
      </c>
      <c r="K144" s="312">
        <f t="shared" si="28"/>
        <v>-629167.49962772871</v>
      </c>
      <c r="L144" s="312">
        <f t="shared" si="28"/>
        <v>-637028.73698623222</v>
      </c>
      <c r="M144" s="312">
        <f t="shared" si="28"/>
        <v>-645104.49922323495</v>
      </c>
      <c r="N144" s="312">
        <f t="shared" si="28"/>
        <v>-653401.51209188835</v>
      </c>
      <c r="O144" s="312">
        <f t="shared" si="28"/>
        <v>-661926.7393587695</v>
      </c>
      <c r="P144" s="312">
        <f t="shared" si="28"/>
        <v>-670687.39196282858</v>
      </c>
      <c r="Q144" s="312">
        <f t="shared" si="28"/>
        <v>-679690.93754446274</v>
      </c>
      <c r="R144" s="312">
        <f t="shared" si="28"/>
        <v>-688945.11036005709</v>
      </c>
      <c r="S144" s="312">
        <f t="shared" si="28"/>
        <v>-698457.92159798951</v>
      </c>
      <c r="T144" s="312">
        <f t="shared" si="28"/>
        <v>362212.04988869122</v>
      </c>
      <c r="U144" s="312">
        <f t="shared" si="28"/>
        <v>368095.93458646518</v>
      </c>
      <c r="V144" s="312">
        <f t="shared" si="28"/>
        <v>374097.49697819445</v>
      </c>
      <c r="W144" s="312">
        <f t="shared" si="28"/>
        <v>380219.09061775828</v>
      </c>
      <c r="X144" s="312">
        <f t="shared" si="28"/>
        <v>386463.11613011354</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11025000</v>
      </c>
      <c r="F145" s="312">
        <f t="shared" si="29"/>
        <v>11025000</v>
      </c>
      <c r="G145" s="312">
        <f t="shared" si="29"/>
        <v>11025000</v>
      </c>
      <c r="H145" s="312">
        <f t="shared" si="29"/>
        <v>11025000</v>
      </c>
      <c r="I145" s="312">
        <f t="shared" si="29"/>
        <v>11025000</v>
      </c>
      <c r="J145" s="312">
        <f t="shared" si="29"/>
        <v>11025000</v>
      </c>
      <c r="K145" s="312">
        <f t="shared" si="29"/>
        <v>11025000</v>
      </c>
      <c r="L145" s="312">
        <f t="shared" si="29"/>
        <v>11025000</v>
      </c>
      <c r="M145" s="312">
        <f t="shared" si="29"/>
        <v>11025000</v>
      </c>
      <c r="N145" s="312">
        <f t="shared" si="29"/>
        <v>11025000</v>
      </c>
      <c r="O145" s="312">
        <f t="shared" si="29"/>
        <v>11025000</v>
      </c>
      <c r="P145" s="312">
        <f t="shared" si="29"/>
        <v>11025000</v>
      </c>
      <c r="Q145" s="312">
        <f t="shared" si="29"/>
        <v>11025000</v>
      </c>
      <c r="R145" s="312">
        <f t="shared" si="29"/>
        <v>11025000</v>
      </c>
      <c r="S145" s="312">
        <f t="shared" si="29"/>
        <v>11025000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7159769.9999999991</v>
      </c>
      <c r="E146" s="323">
        <f t="shared" ref="E146:AR146" si="30">IF(E112&lt;=$C76,D146-($C$5*E118+E132+E135),D146-(E132+E135))</f>
        <v>6682855.6574999988</v>
      </c>
      <c r="F146" s="323">
        <f t="shared" si="30"/>
        <v>6201325.9596242234</v>
      </c>
      <c r="G146" s="323">
        <f t="shared" si="30"/>
        <v>5714853.6653942019</v>
      </c>
      <c r="H146" s="323">
        <f t="shared" si="30"/>
        <v>5223095.0043223789</v>
      </c>
      <c r="I146" s="323">
        <f t="shared" si="30"/>
        <v>4725688.9214726277</v>
      </c>
      <c r="J146" s="323">
        <f t="shared" si="30"/>
        <v>4222256.2893871292</v>
      </c>
      <c r="K146" s="323">
        <f t="shared" si="30"/>
        <v>3712399.0854504625</v>
      </c>
      <c r="L146" s="323">
        <f t="shared" si="30"/>
        <v>3195699.5332005923</v>
      </c>
      <c r="M146" s="323">
        <f t="shared" si="30"/>
        <v>2671719.2060326803</v>
      </c>
      <c r="N146" s="323">
        <f t="shared" si="30"/>
        <v>2139998.0916751521</v>
      </c>
      <c r="O146" s="323">
        <f t="shared" si="30"/>
        <v>1600053.6157481396</v>
      </c>
      <c r="P146" s="323">
        <f t="shared" si="30"/>
        <v>1051379.6226421441</v>
      </c>
      <c r="Q146" s="323">
        <f t="shared" si="30"/>
        <v>493445.31187940808</v>
      </c>
      <c r="R146" s="323">
        <f t="shared" si="30"/>
        <v>-74305.871958084172</v>
      </c>
      <c r="S146" s="323">
        <f t="shared" si="30"/>
        <v>-652457.39773196622</v>
      </c>
      <c r="T146" s="323">
        <f t="shared" si="30"/>
        <v>-1015660.1568538073</v>
      </c>
      <c r="U146" s="323">
        <f t="shared" si="30"/>
        <v>-1386126.9711580854</v>
      </c>
      <c r="V146" s="323">
        <f t="shared" si="30"/>
        <v>-1764003.1217484488</v>
      </c>
      <c r="W146" s="323">
        <f t="shared" si="30"/>
        <v>-2149436.7953506196</v>
      </c>
      <c r="X146" s="323">
        <f t="shared" si="30"/>
        <v>-2542579.142424834</v>
      </c>
      <c r="Y146" s="323">
        <f t="shared" si="30"/>
        <v>-2542579.142424834</v>
      </c>
      <c r="Z146" s="323">
        <f t="shared" si="30"/>
        <v>-2542579.142424834</v>
      </c>
      <c r="AA146" s="323">
        <f t="shared" si="30"/>
        <v>-2542579.142424834</v>
      </c>
      <c r="AB146" s="323">
        <f t="shared" si="30"/>
        <v>-2542579.142424834</v>
      </c>
      <c r="AC146" s="323">
        <f t="shared" si="30"/>
        <v>-2542579.142424834</v>
      </c>
      <c r="AD146" s="323">
        <f t="shared" si="30"/>
        <v>-2542579.142424834</v>
      </c>
      <c r="AE146" s="323">
        <f t="shared" si="30"/>
        <v>-2542579.142424834</v>
      </c>
      <c r="AF146" s="323">
        <f t="shared" si="30"/>
        <v>-2542579.142424834</v>
      </c>
      <c r="AG146" s="323">
        <f t="shared" si="30"/>
        <v>-2542579.142424834</v>
      </c>
      <c r="AH146" s="323">
        <f t="shared" si="30"/>
        <v>-2542579.142424834</v>
      </c>
      <c r="AI146" s="323">
        <f t="shared" si="30"/>
        <v>-2542579.142424834</v>
      </c>
      <c r="AJ146" s="323">
        <f t="shared" si="30"/>
        <v>-2542579.142424834</v>
      </c>
      <c r="AK146" s="323">
        <f t="shared" si="30"/>
        <v>-2542579.142424834</v>
      </c>
      <c r="AL146" s="323">
        <f t="shared" si="30"/>
        <v>-2542579.142424834</v>
      </c>
      <c r="AM146" s="323">
        <f t="shared" si="30"/>
        <v>-2542579.142424834</v>
      </c>
      <c r="AN146" s="323">
        <f t="shared" si="30"/>
        <v>-2542579.142424834</v>
      </c>
      <c r="AO146" s="323">
        <f t="shared" si="30"/>
        <v>-2542579.142424834</v>
      </c>
      <c r="AP146" s="323">
        <f t="shared" si="30"/>
        <v>-2542579.142424834</v>
      </c>
      <c r="AQ146" s="323">
        <f t="shared" si="30"/>
        <v>-2542579.142424834</v>
      </c>
      <c r="AR146" s="324">
        <f t="shared" si="30"/>
        <v>-2542579.142424834</v>
      </c>
    </row>
    <row r="147" spans="1:44" ht="12.95" customHeight="1">
      <c r="B147" s="267" t="s">
        <v>577</v>
      </c>
      <c r="C147" s="268"/>
      <c r="D147" s="325"/>
      <c r="E147" s="326">
        <f t="shared" ref="E147:AR147" si="31">IF(E112&gt;$C$74,"",(-$C$94*(E139+$C$5*E118)+E132+$C$5*E118)/-E137)</f>
        <v>1.4548560848588752</v>
      </c>
      <c r="F147" s="326">
        <f t="shared" si="31"/>
        <v>1.4402424432234815</v>
      </c>
      <c r="G147" s="326">
        <f t="shared" si="31"/>
        <v>1.4252392127901801</v>
      </c>
      <c r="H147" s="326">
        <f t="shared" si="31"/>
        <v>1.409834465854491</v>
      </c>
      <c r="I147" s="326">
        <f t="shared" si="31"/>
        <v>1.3940158603808828</v>
      </c>
      <c r="J147" s="326">
        <f t="shared" si="31"/>
        <v>1.3777706242456325</v>
      </c>
      <c r="K147" s="326">
        <f t="shared" si="31"/>
        <v>1.3610855388470386</v>
      </c>
      <c r="L147" s="326">
        <f t="shared" si="31"/>
        <v>1.3439469220568576</v>
      </c>
      <c r="M147" s="326">
        <f t="shared" si="31"/>
        <v>1.3263406104857045</v>
      </c>
      <c r="N147" s="326">
        <f t="shared" si="31"/>
        <v>1.3082519410340394</v>
      </c>
      <c r="O147" s="326">
        <f t="shared" si="31"/>
        <v>1.289665731699166</v>
      </c>
      <c r="P147" s="326">
        <f t="shared" si="31"/>
        <v>1.270566261607418</v>
      </c>
      <c r="Q147" s="326">
        <f t="shared" si="31"/>
        <v>1.2509372502394254</v>
      </c>
      <c r="R147" s="326">
        <f t="shared" si="31"/>
        <v>1.2307618358150008</v>
      </c>
      <c r="S147" s="326">
        <f t="shared" si="31"/>
        <v>1.2100225528027795</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-5318568.0694967275</v>
      </c>
      <c r="D150" s="271" t="s">
        <v>580</v>
      </c>
    </row>
    <row r="151" spans="1:44">
      <c r="B151" s="72" t="s">
        <v>581</v>
      </c>
      <c r="C151" s="272">
        <f>(1-$C$94)*NPV($C$91,E145:AR145)</f>
        <v>83968183.539998621</v>
      </c>
      <c r="D151" s="271" t="str">
        <f>$C$7</f>
        <v>kWh</v>
      </c>
      <c r="F151" s="273"/>
    </row>
    <row r="152" spans="1:44">
      <c r="B152" s="72" t="s">
        <v>582</v>
      </c>
      <c r="C152" s="272">
        <f>$C$41*1000000</f>
        <v>7159769.9999999991</v>
      </c>
      <c r="D152" s="271" t="s">
        <v>528</v>
      </c>
      <c r="F152" s="46"/>
    </row>
    <row r="153" spans="1:44">
      <c r="B153" s="72" t="s">
        <v>583</v>
      </c>
      <c r="C153" s="274">
        <f>AVERAGE(E147:AR147)</f>
        <v>1.3395691557293985</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-0.11069200440513538</v>
      </c>
      <c r="D155" s="271"/>
      <c r="F155" s="46"/>
      <c r="G155" s="47"/>
    </row>
    <row r="156" spans="1:44">
      <c r="B156" s="72" t="s">
        <v>586</v>
      </c>
      <c r="C156" s="95" t="str">
        <f>IFERROR(IRR(D144:AR144),"n.v.t.")</f>
        <v>n.v.t.</v>
      </c>
      <c r="D156" s="271"/>
      <c r="G156" s="47"/>
    </row>
    <row r="157" spans="1:44">
      <c r="B157" s="72" t="s">
        <v>587</v>
      </c>
      <c r="C157" s="272">
        <f>$C$92*C152-C97</f>
        <v>5011838.9999999991</v>
      </c>
      <c r="D157" s="271" t="s">
        <v>528</v>
      </c>
      <c r="F157" s="33"/>
    </row>
    <row r="158" spans="1:44">
      <c r="B158" s="72" t="s">
        <v>588</v>
      </c>
      <c r="C158" s="272">
        <f>$C$93*C152-C98</f>
        <v>2147930.9999999995</v>
      </c>
      <c r="D158" s="271" t="s">
        <v>528</v>
      </c>
      <c r="F158" s="33"/>
    </row>
    <row r="159" spans="1:44">
      <c r="B159" s="72" t="s">
        <v>332</v>
      </c>
      <c r="C159" s="95">
        <f>IF(AND(E115&gt;0,E116&gt;0),ROUND(E116/E115,2),0)</f>
        <v>0</v>
      </c>
      <c r="D159" s="271" t="s">
        <v>589</v>
      </c>
      <c r="F159" s="33"/>
    </row>
    <row r="160" spans="1:44">
      <c r="B160" s="72" t="s">
        <v>590</v>
      </c>
      <c r="C160" s="95">
        <f>IF(C159=0,MAX(C29:C30),E118/SUM(C26,C28))</f>
        <v>2450</v>
      </c>
      <c r="D160" s="271" t="s">
        <v>446</v>
      </c>
      <c r="F160" s="33"/>
    </row>
    <row r="161" spans="2:44" ht="15" customHeight="1">
      <c r="B161" s="73" t="s">
        <v>591</v>
      </c>
      <c r="C161" s="426" t="str">
        <f>CONCATENATE( "tussen ", INDEX(D112:X112, MATCH(0,D146:AR146, -1)), " en ",  1 + INDEX(D112:X112, MATCH(0,D146:AR146, -1)), " jaar")</f>
        <v>tussen 13 en 14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8" priority="3" operator="containsText" text="Pas op">
      <formula>NOT(ISERROR(SEARCH("Pas op",G1)))</formula>
    </cfRule>
  </conditionalFormatting>
  <conditionalFormatting sqref="G188">
    <cfRule type="containsText" dxfId="7" priority="2" operator="containsText" text="Pas op">
      <formula>NOT(ISERROR(SEARCH("Pas op",G188)))</formula>
    </cfRule>
  </conditionalFormatting>
  <conditionalFormatting sqref="G105">
    <cfRule type="containsText" dxfId="6"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AD8B53C8-DC64-4B0C-AE38-8B6478C223B9}">
      <formula1>"ja,nee"</formula1>
    </dataValidation>
    <dataValidation type="list" allowBlank="1" showErrorMessage="1" error="Alleen de opties aangegeven in de dropdownlijst zijn toegestaan" sqref="C7" xr:uid="{FA2BC0C5-2169-4FEE-BDC6-5BD08CC91901}">
      <formula1>"t CO2,kWh"</formula1>
    </dataValidation>
    <dataValidation type="list" allowBlank="1" showErrorMessage="1" error="Alleen de opties aangegeven in de dropdownlijst zijn toegestaan" sqref="C14" xr:uid="{E3FE060A-EABC-44BD-AF4C-8E06D3C24B46}">
      <formula1>"Nee,Ja,Geen warmte"</formula1>
    </dataValidation>
    <dataValidation type="list" allowBlank="1" showErrorMessage="1" error="Alleen de opties aangegeven in de dropdownlijst zijn toegestaan" sqref="C9" xr:uid="{63A8E57A-B342-46F7-B8FE-FA0B13236D5E}">
      <formula1>"Elektriciteit,Lagetemperatuurwarmte,Hogetemperatuurwarmte,Moleculen,CCS/CCU,Generiek"</formula1>
    </dataValidation>
    <dataValidation type="decimal" allowBlank="1" showErrorMessage="1" error="Alleen getallen tussen 0 en 1.0 toegestaan. Vul in met een punt, geen comma" sqref="C17:C18" xr:uid="{8704B7B7-C96D-4AC1-8EBF-A5690379A51D}">
      <formula1>0</formula1>
      <formula2>1</formula2>
    </dataValidation>
    <dataValidation type="decimal" operator="notBetween" allowBlank="1" showInputMessage="1" sqref="C39:C49" xr:uid="{B54D1427-9135-47D4-9565-1840D3D3B191}">
      <formula1>0</formula1>
      <formula2>0</formula2>
    </dataValidation>
    <dataValidation type="decimal" operator="notBetween" allowBlank="1" showInputMessage="1" showErrorMessage="1" sqref="C52:C60 C63:C65 C67:C70" xr:uid="{55E1EC47-6E19-4C18-9FC6-528E9321D09F}">
      <formula1>0</formula1>
      <formula2>0</formula2>
    </dataValidation>
    <dataValidation type="decimal" operator="greaterThanOrEqual" allowBlank="1" showInputMessage="1" sqref="C21 C24:C30 C33:C36" xr:uid="{C7042DAF-128C-4151-B0CF-99BD723AC8AC}">
      <formula1>0</formula1>
    </dataValidation>
    <dataValidation type="decimal" operator="greaterThanOrEqual" allowBlank="1" showInputMessage="1" showErrorMessage="1" sqref="C73:C77" xr:uid="{441EE190-4021-48E1-AD65-672059273378}">
      <formula1>0</formula1>
    </dataValidation>
    <dataValidation type="decimal" operator="greaterThan" allowBlank="1" showInputMessage="1" showErrorMessage="1" sqref="C80:C86 C89:C94" xr:uid="{45DA9050-90BC-4599-BAFD-08E536403CA9}">
      <formula1>0</formula1>
    </dataValidation>
    <dataValidation type="list" operator="greaterThanOrEqual" allowBlank="1" showInputMessage="1" sqref="C23" xr:uid="{223796F0-4974-41C9-A90F-FA966F946940}">
      <formula1>"Ja"</formula1>
    </dataValidation>
    <dataValidation type="decimal" operator="greaterThan" allowBlank="1" showInputMessage="1" showErrorMessage="1" error="Alleen getallen boven de 0 toegstaan" sqref="C22" xr:uid="{162E58BE-D91D-47FE-8179-D54629D5C4EC}">
      <formula1>0</formula1>
    </dataValidation>
    <dataValidation operator="notBetween" allowBlank="1" showInputMessage="1" showErrorMessage="1" sqref="C66" xr:uid="{25ACE629-FC0A-4C7E-90C9-80614AAFC831}"/>
  </dataValidations>
  <pageMargins left="0.7" right="0.7" top="0.75" bottom="0.75" header="0.3" footer="0.3"/>
  <pageSetup paperSize="9" scale="14"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ACA-27FD-4945-A4BF-517453D64788}">
  <sheetPr codeName="Sheet112">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626</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9.4E-2</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315.31531531531527</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207</v>
      </c>
      <c r="D12" s="81" t="str">
        <f>_xlfn.XLOOKUP(C12,Correcties!A4:A37,Correcties!B4:B37,"")</f>
        <v>Elektriciteit-WOL (negatieve uren niet meegenomen)</v>
      </c>
      <c r="E12" s="417" t="str">
        <f>IFERROR(INDEX(Correcties!$A$1:$I$334,MATCH('20'!C12,Correcties!$A$1:$A$334,0),5),"")</f>
        <v>EPEX3 x PF_WOL3</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616</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v>4500</v>
      </c>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4500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2280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1580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7.1597699999999991</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15</v>
      </c>
      <c r="D43" s="75" t="str">
        <f>CONCATENATE("Euro/",$C$8,"/jaar")</f>
        <v>Euro/kW/jaar</v>
      </c>
      <c r="E43" s="417" t="s">
        <v>463</v>
      </c>
      <c r="F43" s="431"/>
      <c r="G43" s="431"/>
      <c r="H43" s="431"/>
      <c r="I43" s="431"/>
      <c r="J43" s="431"/>
      <c r="K43" s="431"/>
      <c r="L43" s="431"/>
      <c r="M43" s="432"/>
    </row>
    <row r="44" spans="2:13" ht="15" customHeight="1">
      <c r="B44" s="72" t="s">
        <v>465</v>
      </c>
      <c r="C44" s="239">
        <f>(C42*C21+C43*SUM(C26,C28))/1000</f>
        <v>67.5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2.0299999999999999E-2</v>
      </c>
      <c r="D48" s="75" t="str">
        <f>CONCATENATE("Euro/",$C$7)</f>
        <v>Euro/kWh</v>
      </c>
      <c r="E48" s="417"/>
      <c r="F48" s="431"/>
      <c r="G48" s="431"/>
      <c r="H48" s="431"/>
      <c r="I48" s="431"/>
      <c r="J48" s="431"/>
      <c r="K48" s="431"/>
      <c r="L48" s="431"/>
      <c r="M48" s="432"/>
    </row>
    <row r="49" spans="2:13" ht="15" customHeight="1">
      <c r="B49" s="73" t="s">
        <v>472</v>
      </c>
      <c r="C49" s="331">
        <f>SUM(C45:C48)</f>
        <v>2.0299999999999999E-2</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8.3000000000000004E-2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0.11070000000000001</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20</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20</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v>5.0900000000000001E-2</v>
      </c>
      <c r="D80" s="75" t="s">
        <v>511</v>
      </c>
      <c r="E80" s="417" t="s">
        <v>512</v>
      </c>
      <c r="F80" s="431"/>
      <c r="G80" s="431"/>
      <c r="H80" s="431"/>
      <c r="I80" s="431"/>
      <c r="J80" s="431"/>
      <c r="K80" s="431"/>
      <c r="L80" s="431"/>
      <c r="M80" s="432"/>
    </row>
    <row r="81" spans="2:13" ht="15" customHeight="1">
      <c r="B81" s="72" t="s">
        <v>513</v>
      </c>
      <c r="C81" s="240">
        <v>2280</v>
      </c>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153900000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205200000</v>
      </c>
      <c r="D85" s="74" t="str">
        <f>C7</f>
        <v>kWh</v>
      </c>
      <c r="E85" s="417"/>
      <c r="F85" s="431"/>
      <c r="G85" s="431"/>
      <c r="H85" s="431"/>
      <c r="I85" s="431"/>
      <c r="J85" s="431"/>
      <c r="K85" s="431"/>
      <c r="L85" s="431"/>
      <c r="M85" s="432"/>
    </row>
    <row r="86" spans="2:13" ht="15" customHeight="1">
      <c r="B86" s="89" t="s">
        <v>518</v>
      </c>
      <c r="C86" s="96">
        <f ca="1">C85/C84</f>
        <v>1.3333333333333333</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-7159769.9999999991</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10260000</v>
      </c>
      <c r="F115" s="312">
        <f t="shared" si="4"/>
        <v>10260000</v>
      </c>
      <c r="G115" s="312">
        <f t="shared" si="4"/>
        <v>10260000</v>
      </c>
      <c r="H115" s="312">
        <f t="shared" si="4"/>
        <v>10260000</v>
      </c>
      <c r="I115" s="312">
        <f t="shared" si="4"/>
        <v>10260000</v>
      </c>
      <c r="J115" s="312">
        <f t="shared" si="4"/>
        <v>10260000</v>
      </c>
      <c r="K115" s="312">
        <f t="shared" si="4"/>
        <v>10260000</v>
      </c>
      <c r="L115" s="312">
        <f t="shared" si="4"/>
        <v>10260000</v>
      </c>
      <c r="M115" s="312">
        <f t="shared" si="4"/>
        <v>10260000</v>
      </c>
      <c r="N115" s="312">
        <f t="shared" si="4"/>
        <v>10260000</v>
      </c>
      <c r="O115" s="312">
        <f t="shared" si="4"/>
        <v>10260000</v>
      </c>
      <c r="P115" s="312">
        <f t="shared" si="4"/>
        <v>10260000</v>
      </c>
      <c r="Q115" s="312">
        <f t="shared" si="4"/>
        <v>10260000</v>
      </c>
      <c r="R115" s="312">
        <f t="shared" si="4"/>
        <v>10260000</v>
      </c>
      <c r="S115" s="312">
        <f t="shared" si="4"/>
        <v>10260000</v>
      </c>
      <c r="T115" s="312">
        <f t="shared" si="4"/>
        <v>10260000</v>
      </c>
      <c r="U115" s="312">
        <f t="shared" si="4"/>
        <v>10260000</v>
      </c>
      <c r="V115" s="312">
        <f t="shared" si="4"/>
        <v>10260000</v>
      </c>
      <c r="W115" s="312">
        <f t="shared" si="4"/>
        <v>10260000</v>
      </c>
      <c r="X115" s="312">
        <f t="shared" si="4"/>
        <v>10260000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10260000</v>
      </c>
      <c r="F118" s="315">
        <f t="shared" si="7"/>
        <v>10260000</v>
      </c>
      <c r="G118" s="315">
        <f t="shared" si="7"/>
        <v>10260000</v>
      </c>
      <c r="H118" s="315">
        <f t="shared" si="7"/>
        <v>10260000</v>
      </c>
      <c r="I118" s="315">
        <f t="shared" si="7"/>
        <v>10260000</v>
      </c>
      <c r="J118" s="315">
        <f t="shared" si="7"/>
        <v>10260000</v>
      </c>
      <c r="K118" s="315">
        <f t="shared" si="7"/>
        <v>10260000</v>
      </c>
      <c r="L118" s="315">
        <f t="shared" si="7"/>
        <v>10260000</v>
      </c>
      <c r="M118" s="315">
        <f t="shared" si="7"/>
        <v>10260000</v>
      </c>
      <c r="N118" s="315">
        <f t="shared" si="7"/>
        <v>10260000</v>
      </c>
      <c r="O118" s="315">
        <f t="shared" si="7"/>
        <v>10260000</v>
      </c>
      <c r="P118" s="315">
        <f t="shared" si="7"/>
        <v>10260000</v>
      </c>
      <c r="Q118" s="315">
        <f t="shared" si="7"/>
        <v>10260000</v>
      </c>
      <c r="R118" s="315">
        <f t="shared" si="7"/>
        <v>10260000</v>
      </c>
      <c r="S118" s="315">
        <f t="shared" si="7"/>
        <v>10260000</v>
      </c>
      <c r="T118" s="315">
        <f t="shared" si="7"/>
        <v>10260000</v>
      </c>
      <c r="U118" s="315">
        <f t="shared" si="7"/>
        <v>10260000</v>
      </c>
      <c r="V118" s="315">
        <f t="shared" si="7"/>
        <v>10260000</v>
      </c>
      <c r="W118" s="315">
        <f t="shared" si="7"/>
        <v>10260000</v>
      </c>
      <c r="X118" s="315">
        <f t="shared" si="7"/>
        <v>10260000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-275778</v>
      </c>
      <c r="F120" s="312">
        <f t="shared" si="8"/>
        <v>-281293.56</v>
      </c>
      <c r="G120" s="312">
        <f t="shared" si="8"/>
        <v>-286919.43119999999</v>
      </c>
      <c r="H120" s="312">
        <f t="shared" si="8"/>
        <v>-292657.81982400001</v>
      </c>
      <c r="I120" s="312">
        <f t="shared" si="8"/>
        <v>-298510.97622047999</v>
      </c>
      <c r="J120" s="312">
        <f t="shared" si="8"/>
        <v>-304481.19574488961</v>
      </c>
      <c r="K120" s="312">
        <f t="shared" si="8"/>
        <v>-310570.8196597874</v>
      </c>
      <c r="L120" s="312">
        <f t="shared" si="8"/>
        <v>-316782.23605298309</v>
      </c>
      <c r="M120" s="312">
        <f t="shared" si="8"/>
        <v>-323117.8807740428</v>
      </c>
      <c r="N120" s="312">
        <f t="shared" si="8"/>
        <v>-329580.23838952364</v>
      </c>
      <c r="O120" s="312">
        <f t="shared" si="8"/>
        <v>-336171.84315731411</v>
      </c>
      <c r="P120" s="312">
        <f t="shared" si="8"/>
        <v>-342895.28002046037</v>
      </c>
      <c r="Q120" s="312">
        <f t="shared" si="8"/>
        <v>-349753.18562086963</v>
      </c>
      <c r="R120" s="312">
        <f t="shared" si="8"/>
        <v>-356748.24933328701</v>
      </c>
      <c r="S120" s="312">
        <f t="shared" si="8"/>
        <v>-363883.21431995276</v>
      </c>
      <c r="T120" s="312">
        <f t="shared" si="8"/>
        <v>-371160.87860635173</v>
      </c>
      <c r="U120" s="312">
        <f t="shared" si="8"/>
        <v>-378584.09617847879</v>
      </c>
      <c r="V120" s="312">
        <f t="shared" si="8"/>
        <v>-386155.77810204844</v>
      </c>
      <c r="W120" s="312">
        <f t="shared" si="8"/>
        <v>-393878.89366408932</v>
      </c>
      <c r="X120" s="312">
        <f t="shared" si="8"/>
        <v>-401756.47153737111</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6.8504698420698173E-2</v>
      </c>
      <c r="U122" s="317">
        <f t="shared" si="10"/>
        <v>6.987479238911215E-2</v>
      </c>
      <c r="V122" s="317">
        <f t="shared" si="10"/>
        <v>7.1272288236894396E-2</v>
      </c>
      <c r="W122" s="317">
        <f t="shared" si="10"/>
        <v>7.2697734001632278E-2</v>
      </c>
      <c r="X122" s="317">
        <f t="shared" si="10"/>
        <v>7.4151688681664926E-2</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702858.2057963633</v>
      </c>
      <c r="U127" s="312">
        <f t="shared" si="15"/>
        <v>716915.36991229071</v>
      </c>
      <c r="V127" s="312">
        <f t="shared" si="15"/>
        <v>731253.6773105365</v>
      </c>
      <c r="W127" s="312">
        <f t="shared" si="15"/>
        <v>745878.75085674715</v>
      </c>
      <c r="X127" s="312">
        <f t="shared" si="15"/>
        <v>760796.32587388216</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702858.2057963633</v>
      </c>
      <c r="U130" s="312">
        <f t="shared" si="17"/>
        <v>716915.36991229071</v>
      </c>
      <c r="V130" s="312">
        <f t="shared" si="17"/>
        <v>731253.6773105365</v>
      </c>
      <c r="W130" s="312">
        <f t="shared" si="17"/>
        <v>745878.75085674715</v>
      </c>
      <c r="X130" s="312">
        <f t="shared" si="17"/>
        <v>760796.32587388216</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-275778</v>
      </c>
      <c r="F131" s="312">
        <f t="shared" si="18"/>
        <v>-281293.56</v>
      </c>
      <c r="G131" s="312">
        <f t="shared" si="18"/>
        <v>-286919.43119999999</v>
      </c>
      <c r="H131" s="312">
        <f t="shared" si="18"/>
        <v>-292657.81982400001</v>
      </c>
      <c r="I131" s="312">
        <f t="shared" si="18"/>
        <v>-298510.97622047999</v>
      </c>
      <c r="J131" s="312">
        <f t="shared" si="18"/>
        <v>-304481.19574488961</v>
      </c>
      <c r="K131" s="312">
        <f t="shared" si="18"/>
        <v>-310570.8196597874</v>
      </c>
      <c r="L131" s="312">
        <f t="shared" si="18"/>
        <v>-316782.23605298309</v>
      </c>
      <c r="M131" s="312">
        <f t="shared" si="18"/>
        <v>-323117.8807740428</v>
      </c>
      <c r="N131" s="312">
        <f t="shared" si="18"/>
        <v>-329580.23838952364</v>
      </c>
      <c r="O131" s="312">
        <f t="shared" si="18"/>
        <v>-336171.84315731411</v>
      </c>
      <c r="P131" s="312">
        <f t="shared" si="18"/>
        <v>-342895.28002046037</v>
      </c>
      <c r="Q131" s="312">
        <f t="shared" si="18"/>
        <v>-349753.18562086963</v>
      </c>
      <c r="R131" s="312">
        <f t="shared" si="18"/>
        <v>-356748.24933328701</v>
      </c>
      <c r="S131" s="312">
        <f t="shared" si="18"/>
        <v>-363883.21431995276</v>
      </c>
      <c r="T131" s="312">
        <f t="shared" si="18"/>
        <v>-371160.87860635173</v>
      </c>
      <c r="U131" s="312">
        <f t="shared" si="18"/>
        <v>-378584.09617847879</v>
      </c>
      <c r="V131" s="312">
        <f t="shared" si="18"/>
        <v>-386155.77810204844</v>
      </c>
      <c r="W131" s="312">
        <f t="shared" si="18"/>
        <v>-393878.89366408932</v>
      </c>
      <c r="X131" s="312">
        <f t="shared" si="18"/>
        <v>-401756.47153737111</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-275778</v>
      </c>
      <c r="F132" s="321">
        <f t="shared" si="19"/>
        <v>-281293.56</v>
      </c>
      <c r="G132" s="321">
        <f t="shared" si="19"/>
        <v>-286919.43119999999</v>
      </c>
      <c r="H132" s="321">
        <f t="shared" si="19"/>
        <v>-292657.81982400001</v>
      </c>
      <c r="I132" s="321">
        <f t="shared" si="19"/>
        <v>-298510.97622047999</v>
      </c>
      <c r="J132" s="321">
        <f t="shared" si="19"/>
        <v>-304481.19574488961</v>
      </c>
      <c r="K132" s="321">
        <f t="shared" si="19"/>
        <v>-310570.8196597874</v>
      </c>
      <c r="L132" s="321">
        <f t="shared" si="19"/>
        <v>-316782.23605298309</v>
      </c>
      <c r="M132" s="321">
        <f t="shared" si="19"/>
        <v>-323117.8807740428</v>
      </c>
      <c r="N132" s="321">
        <f t="shared" si="19"/>
        <v>-329580.23838952364</v>
      </c>
      <c r="O132" s="321">
        <f t="shared" si="19"/>
        <v>-336171.84315731411</v>
      </c>
      <c r="P132" s="321">
        <f t="shared" si="19"/>
        <v>-342895.28002046037</v>
      </c>
      <c r="Q132" s="321">
        <f t="shared" si="19"/>
        <v>-349753.18562086963</v>
      </c>
      <c r="R132" s="321">
        <f t="shared" si="19"/>
        <v>-356748.24933328701</v>
      </c>
      <c r="S132" s="321">
        <f t="shared" si="19"/>
        <v>-363883.21431995276</v>
      </c>
      <c r="T132" s="321">
        <f t="shared" si="19"/>
        <v>331697.32719001157</v>
      </c>
      <c r="U132" s="321">
        <f t="shared" si="19"/>
        <v>338331.27373381192</v>
      </c>
      <c r="V132" s="321">
        <f t="shared" si="19"/>
        <v>345097.89920848806</v>
      </c>
      <c r="W132" s="321">
        <f t="shared" si="19"/>
        <v>351999.85719265783</v>
      </c>
      <c r="X132" s="321">
        <f t="shared" si="19"/>
        <v>359039.85433651105</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-357988.49999999994</v>
      </c>
      <c r="F134" s="312">
        <f t="shared" si="20"/>
        <v>-357988.49999999994</v>
      </c>
      <c r="G134" s="312">
        <f t="shared" si="20"/>
        <v>-357988.49999999994</v>
      </c>
      <c r="H134" s="312">
        <f t="shared" si="20"/>
        <v>-357988.49999999994</v>
      </c>
      <c r="I134" s="312">
        <f t="shared" si="20"/>
        <v>-357988.49999999994</v>
      </c>
      <c r="J134" s="312">
        <f t="shared" si="20"/>
        <v>-357988.49999999994</v>
      </c>
      <c r="K134" s="312">
        <f t="shared" si="20"/>
        <v>-357988.49999999994</v>
      </c>
      <c r="L134" s="312">
        <f t="shared" si="20"/>
        <v>-357988.49999999994</v>
      </c>
      <c r="M134" s="312">
        <f t="shared" si="20"/>
        <v>-357988.49999999994</v>
      </c>
      <c r="N134" s="312">
        <f t="shared" si="20"/>
        <v>-357988.49999999994</v>
      </c>
      <c r="O134" s="312">
        <f t="shared" si="20"/>
        <v>-357988.49999999994</v>
      </c>
      <c r="P134" s="312">
        <f t="shared" si="20"/>
        <v>-357988.49999999994</v>
      </c>
      <c r="Q134" s="312">
        <f t="shared" si="20"/>
        <v>-357988.49999999994</v>
      </c>
      <c r="R134" s="312">
        <f t="shared" si="20"/>
        <v>-357988.49999999994</v>
      </c>
      <c r="S134" s="312">
        <f t="shared" si="20"/>
        <v>-357988.49999999994</v>
      </c>
      <c r="T134" s="312">
        <f t="shared" si="20"/>
        <v>-357988.49999999994</v>
      </c>
      <c r="U134" s="312">
        <f t="shared" si="20"/>
        <v>-357988.49999999994</v>
      </c>
      <c r="V134" s="312">
        <f t="shared" si="20"/>
        <v>-357988.49999999994</v>
      </c>
      <c r="W134" s="312">
        <f t="shared" si="20"/>
        <v>-357988.49999999994</v>
      </c>
      <c r="X134" s="312">
        <f t="shared" si="20"/>
        <v>-357988.49999999994</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-213003.15749999997</v>
      </c>
      <c r="F135" s="312">
        <f t="shared" si="21"/>
        <v>-202561.65212422441</v>
      </c>
      <c r="G135" s="312">
        <f t="shared" si="21"/>
        <v>-191676.38276997831</v>
      </c>
      <c r="H135" s="312">
        <f t="shared" si="21"/>
        <v>-180328.48946817676</v>
      </c>
      <c r="I135" s="312">
        <f t="shared" si="21"/>
        <v>-168498.31070104867</v>
      </c>
      <c r="J135" s="312">
        <f t="shared" si="21"/>
        <v>-156165.34933631762</v>
      </c>
      <c r="K135" s="312">
        <f t="shared" si="21"/>
        <v>-143308.23711358552</v>
      </c>
      <c r="L135" s="312">
        <f t="shared" si="21"/>
        <v>-129904.6976213873</v>
      </c>
      <c r="M135" s="312">
        <f t="shared" si="21"/>
        <v>-115931.50770077063</v>
      </c>
      <c r="N135" s="312">
        <f t="shared" si="21"/>
        <v>-101364.45720852781</v>
      </c>
      <c r="O135" s="312">
        <f t="shared" si="21"/>
        <v>-86178.307070364608</v>
      </c>
      <c r="P135" s="312">
        <f t="shared" si="21"/>
        <v>-70346.745551329499</v>
      </c>
      <c r="Q135" s="312">
        <f t="shared" si="21"/>
        <v>-53842.342667735393</v>
      </c>
      <c r="R135" s="312">
        <f t="shared" si="21"/>
        <v>-36636.502661588544</v>
      </c>
      <c r="S135" s="312">
        <f t="shared" si="21"/>
        <v>-18699.414455180442</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-245682.4794300143</v>
      </c>
      <c r="F136" s="312">
        <f t="shared" si="22"/>
        <v>-256123.98480578989</v>
      </c>
      <c r="G136" s="312">
        <f t="shared" si="22"/>
        <v>-267009.25416003598</v>
      </c>
      <c r="H136" s="312">
        <f t="shared" si="22"/>
        <v>-278357.14746183751</v>
      </c>
      <c r="I136" s="312">
        <f t="shared" si="22"/>
        <v>-290187.32622896566</v>
      </c>
      <c r="J136" s="312">
        <f t="shared" si="22"/>
        <v>-302520.28759369667</v>
      </c>
      <c r="K136" s="312">
        <f t="shared" si="22"/>
        <v>-315377.39981642872</v>
      </c>
      <c r="L136" s="312">
        <f t="shared" si="22"/>
        <v>-328780.93930862698</v>
      </c>
      <c r="M136" s="312">
        <f t="shared" si="22"/>
        <v>-342754.12922924361</v>
      </c>
      <c r="N136" s="312">
        <f t="shared" si="22"/>
        <v>-357321.17972148646</v>
      </c>
      <c r="O136" s="312">
        <f t="shared" si="22"/>
        <v>-372507.3298596497</v>
      </c>
      <c r="P136" s="312">
        <f t="shared" si="22"/>
        <v>-388338.89137868484</v>
      </c>
      <c r="Q136" s="312">
        <f t="shared" si="22"/>
        <v>-404843.29426227888</v>
      </c>
      <c r="R136" s="312">
        <f t="shared" si="22"/>
        <v>-422049.13426842575</v>
      </c>
      <c r="S136" s="312">
        <f t="shared" si="22"/>
        <v>-439986.22247483383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-458685.63693001424</v>
      </c>
      <c r="F137" s="321">
        <f t="shared" si="23"/>
        <v>-458685.6369300143</v>
      </c>
      <c r="G137" s="321">
        <f t="shared" si="23"/>
        <v>-458685.6369300143</v>
      </c>
      <c r="H137" s="321">
        <f t="shared" si="23"/>
        <v>-458685.63693001424</v>
      </c>
      <c r="I137" s="321">
        <f t="shared" si="23"/>
        <v>-458685.63693001436</v>
      </c>
      <c r="J137" s="321">
        <f t="shared" si="23"/>
        <v>-458685.6369300143</v>
      </c>
      <c r="K137" s="321">
        <f t="shared" si="23"/>
        <v>-458685.63693001424</v>
      </c>
      <c r="L137" s="321">
        <f t="shared" si="23"/>
        <v>-458685.6369300143</v>
      </c>
      <c r="M137" s="321">
        <f t="shared" si="23"/>
        <v>-458685.63693001424</v>
      </c>
      <c r="N137" s="321">
        <f t="shared" si="23"/>
        <v>-458685.63693001424</v>
      </c>
      <c r="O137" s="321">
        <f t="shared" si="23"/>
        <v>-458685.6369300143</v>
      </c>
      <c r="P137" s="321">
        <f t="shared" si="23"/>
        <v>-458685.63693001436</v>
      </c>
      <c r="Q137" s="321">
        <f t="shared" si="23"/>
        <v>-458685.6369300143</v>
      </c>
      <c r="R137" s="321">
        <f t="shared" si="23"/>
        <v>-458685.6369300143</v>
      </c>
      <c r="S137" s="321">
        <f t="shared" si="23"/>
        <v>-458685.6369300143</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-846769.65749999997</v>
      </c>
      <c r="F139" s="312">
        <f t="shared" si="24"/>
        <v>-841843.71212422429</v>
      </c>
      <c r="G139" s="312">
        <f t="shared" si="24"/>
        <v>-836584.31396997836</v>
      </c>
      <c r="H139" s="312">
        <f t="shared" si="24"/>
        <v>-830974.80929217662</v>
      </c>
      <c r="I139" s="312">
        <f t="shared" si="24"/>
        <v>-824997.78692152863</v>
      </c>
      <c r="J139" s="312">
        <f t="shared" si="24"/>
        <v>-818635.04508120718</v>
      </c>
      <c r="K139" s="312">
        <f t="shared" si="24"/>
        <v>-811867.55677337293</v>
      </c>
      <c r="L139" s="312">
        <f t="shared" si="24"/>
        <v>-804675.43367437029</v>
      </c>
      <c r="M139" s="312">
        <f t="shared" si="24"/>
        <v>-797037.88847481343</v>
      </c>
      <c r="N139" s="312">
        <f t="shared" si="24"/>
        <v>-788933.19559805142</v>
      </c>
      <c r="O139" s="312">
        <f t="shared" si="24"/>
        <v>-780338.65022767859</v>
      </c>
      <c r="P139" s="312">
        <f t="shared" si="24"/>
        <v>-771230.52557178971</v>
      </c>
      <c r="Q139" s="312">
        <f t="shared" si="24"/>
        <v>-761584.02828860492</v>
      </c>
      <c r="R139" s="312">
        <f t="shared" si="24"/>
        <v>-751373.25199487549</v>
      </c>
      <c r="S139" s="312">
        <f t="shared" si="24"/>
        <v>-740571.12877513317</v>
      </c>
      <c r="T139" s="312">
        <f t="shared" si="24"/>
        <v>-26291.172809988377</v>
      </c>
      <c r="U139" s="312">
        <f t="shared" si="24"/>
        <v>-19657.226266188023</v>
      </c>
      <c r="V139" s="312">
        <f t="shared" si="24"/>
        <v>-12890.600791511883</v>
      </c>
      <c r="W139" s="312">
        <f t="shared" si="24"/>
        <v>-5988.6428073421121</v>
      </c>
      <c r="X139" s="312">
        <f t="shared" si="24"/>
        <v>1051.3543365111109</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160886.234925</v>
      </c>
      <c r="F140" s="312">
        <f t="shared" si="25"/>
        <v>159950.30530360262</v>
      </c>
      <c r="G140" s="312">
        <f t="shared" si="25"/>
        <v>158951.0196542959</v>
      </c>
      <c r="H140" s="312">
        <f t="shared" si="25"/>
        <v>157885.21376551356</v>
      </c>
      <c r="I140" s="312">
        <f t="shared" si="25"/>
        <v>156749.57951509045</v>
      </c>
      <c r="J140" s="312">
        <f t="shared" si="25"/>
        <v>155540.65856542936</v>
      </c>
      <c r="K140" s="312">
        <f t="shared" si="25"/>
        <v>154254.83578694085</v>
      </c>
      <c r="L140" s="312">
        <f t="shared" si="25"/>
        <v>152888.33239813035</v>
      </c>
      <c r="M140" s="312">
        <f t="shared" si="25"/>
        <v>151437.19881021456</v>
      </c>
      <c r="N140" s="312">
        <f t="shared" si="25"/>
        <v>149897.30716362977</v>
      </c>
      <c r="O140" s="312">
        <f t="shared" si="25"/>
        <v>148264.34354325893</v>
      </c>
      <c r="P140" s="312">
        <f t="shared" si="25"/>
        <v>146533.79985864004</v>
      </c>
      <c r="Q140" s="312">
        <f t="shared" si="25"/>
        <v>144700.96537483492</v>
      </c>
      <c r="R140" s="312">
        <f t="shared" si="25"/>
        <v>142760.91787902635</v>
      </c>
      <c r="S140" s="312">
        <f t="shared" si="25"/>
        <v>140708.51446727529</v>
      </c>
      <c r="T140" s="312">
        <f t="shared" si="25"/>
        <v>4995.3228338977915</v>
      </c>
      <c r="U140" s="312">
        <f t="shared" si="25"/>
        <v>3734.8729905757245</v>
      </c>
      <c r="V140" s="312">
        <f t="shared" si="25"/>
        <v>2449.2141503872576</v>
      </c>
      <c r="W140" s="312">
        <f t="shared" si="25"/>
        <v>1137.8421333950014</v>
      </c>
      <c r="X140" s="312">
        <f t="shared" si="25"/>
        <v>-199.75732393711107</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-573577.40200501424</v>
      </c>
      <c r="F142" s="321">
        <f t="shared" si="26"/>
        <v>-580028.8916264117</v>
      </c>
      <c r="G142" s="321">
        <f t="shared" si="26"/>
        <v>-586654.04847571836</v>
      </c>
      <c r="H142" s="321">
        <f t="shared" si="26"/>
        <v>-593458.24298850074</v>
      </c>
      <c r="I142" s="321">
        <f t="shared" si="26"/>
        <v>-600447.03363540396</v>
      </c>
      <c r="J142" s="321">
        <f t="shared" si="26"/>
        <v>-607626.17410947452</v>
      </c>
      <c r="K142" s="321">
        <f t="shared" si="26"/>
        <v>-615001.62080286082</v>
      </c>
      <c r="L142" s="321">
        <f t="shared" si="26"/>
        <v>-622579.54058486712</v>
      </c>
      <c r="M142" s="321">
        <f t="shared" si="26"/>
        <v>-630366.31889384252</v>
      </c>
      <c r="N142" s="321">
        <f t="shared" si="26"/>
        <v>-638368.56815590814</v>
      </c>
      <c r="O142" s="321">
        <f t="shared" si="26"/>
        <v>-646593.13654406951</v>
      </c>
      <c r="P142" s="321">
        <f t="shared" si="26"/>
        <v>-655047.11709183466</v>
      </c>
      <c r="Q142" s="321">
        <f t="shared" si="26"/>
        <v>-663737.85717604903</v>
      </c>
      <c r="R142" s="321">
        <f t="shared" si="26"/>
        <v>-672672.96838427498</v>
      </c>
      <c r="S142" s="321">
        <f t="shared" si="26"/>
        <v>-681860.33678269177</v>
      </c>
      <c r="T142" s="321">
        <f t="shared" si="26"/>
        <v>336692.65002390934</v>
      </c>
      <c r="U142" s="321">
        <f t="shared" si="26"/>
        <v>342066.14672438765</v>
      </c>
      <c r="V142" s="321">
        <f t="shared" si="26"/>
        <v>347547.11335887533</v>
      </c>
      <c r="W142" s="321">
        <f t="shared" si="26"/>
        <v>353137.69932605285</v>
      </c>
      <c r="X142" s="321">
        <f t="shared" si="26"/>
        <v>358840.09701257397</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-7159769.9999999981</v>
      </c>
      <c r="E143" s="312">
        <f t="shared" ref="E143:AR143" si="27">E132+E140</f>
        <v>-114891.765075</v>
      </c>
      <c r="F143" s="312">
        <f t="shared" si="27"/>
        <v>-121343.25469639737</v>
      </c>
      <c r="G143" s="312">
        <f t="shared" si="27"/>
        <v>-127968.41154570409</v>
      </c>
      <c r="H143" s="312">
        <f t="shared" si="27"/>
        <v>-134772.60605848645</v>
      </c>
      <c r="I143" s="312">
        <f t="shared" si="27"/>
        <v>-141761.39670538955</v>
      </c>
      <c r="J143" s="312">
        <f t="shared" si="27"/>
        <v>-148940.53717946025</v>
      </c>
      <c r="K143" s="312">
        <f t="shared" si="27"/>
        <v>-156315.98387284655</v>
      </c>
      <c r="L143" s="312">
        <f t="shared" si="27"/>
        <v>-163893.90365485274</v>
      </c>
      <c r="M143" s="312">
        <f t="shared" si="27"/>
        <v>-171680.68196382825</v>
      </c>
      <c r="N143" s="312">
        <f t="shared" si="27"/>
        <v>-179682.93122589387</v>
      </c>
      <c r="O143" s="312">
        <f t="shared" si="27"/>
        <v>-187907.49961405518</v>
      </c>
      <c r="P143" s="312">
        <f t="shared" si="27"/>
        <v>-196361.48016182033</v>
      </c>
      <c r="Q143" s="312">
        <f t="shared" si="27"/>
        <v>-205052.2202460347</v>
      </c>
      <c r="R143" s="312">
        <f t="shared" si="27"/>
        <v>-213987.33145426065</v>
      </c>
      <c r="S143" s="312">
        <f t="shared" si="27"/>
        <v>-223174.69985267747</v>
      </c>
      <c r="T143" s="312">
        <f t="shared" si="27"/>
        <v>336692.65002390934</v>
      </c>
      <c r="U143" s="312">
        <f t="shared" si="27"/>
        <v>342066.14672438765</v>
      </c>
      <c r="V143" s="312">
        <f t="shared" si="27"/>
        <v>347547.11335887533</v>
      </c>
      <c r="W143" s="312">
        <f t="shared" si="27"/>
        <v>353137.69932605285</v>
      </c>
      <c r="X143" s="312">
        <f t="shared" si="27"/>
        <v>358840.09701257397</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-2147930.9999999995</v>
      </c>
      <c r="E144" s="312">
        <f t="shared" ref="E144:AR144" si="28">E142</f>
        <v>-573577.40200501424</v>
      </c>
      <c r="F144" s="312">
        <f t="shared" si="28"/>
        <v>-580028.8916264117</v>
      </c>
      <c r="G144" s="312">
        <f t="shared" si="28"/>
        <v>-586654.04847571836</v>
      </c>
      <c r="H144" s="312">
        <f t="shared" si="28"/>
        <v>-593458.24298850074</v>
      </c>
      <c r="I144" s="312">
        <f t="shared" si="28"/>
        <v>-600447.03363540396</v>
      </c>
      <c r="J144" s="312">
        <f t="shared" si="28"/>
        <v>-607626.17410947452</v>
      </c>
      <c r="K144" s="312">
        <f t="shared" si="28"/>
        <v>-615001.62080286082</v>
      </c>
      <c r="L144" s="312">
        <f t="shared" si="28"/>
        <v>-622579.54058486712</v>
      </c>
      <c r="M144" s="312">
        <f t="shared" si="28"/>
        <v>-630366.31889384252</v>
      </c>
      <c r="N144" s="312">
        <f t="shared" si="28"/>
        <v>-638368.56815590814</v>
      </c>
      <c r="O144" s="312">
        <f t="shared" si="28"/>
        <v>-646593.13654406951</v>
      </c>
      <c r="P144" s="312">
        <f t="shared" si="28"/>
        <v>-655047.11709183466</v>
      </c>
      <c r="Q144" s="312">
        <f t="shared" si="28"/>
        <v>-663737.85717604903</v>
      </c>
      <c r="R144" s="312">
        <f t="shared" si="28"/>
        <v>-672672.96838427498</v>
      </c>
      <c r="S144" s="312">
        <f t="shared" si="28"/>
        <v>-681860.33678269177</v>
      </c>
      <c r="T144" s="312">
        <f t="shared" si="28"/>
        <v>336692.65002390934</v>
      </c>
      <c r="U144" s="312">
        <f t="shared" si="28"/>
        <v>342066.14672438765</v>
      </c>
      <c r="V144" s="312">
        <f t="shared" si="28"/>
        <v>347547.11335887533</v>
      </c>
      <c r="W144" s="312">
        <f t="shared" si="28"/>
        <v>353137.69932605285</v>
      </c>
      <c r="X144" s="312">
        <f t="shared" si="28"/>
        <v>358840.09701257397</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10260000</v>
      </c>
      <c r="F145" s="312">
        <f t="shared" si="29"/>
        <v>10260000</v>
      </c>
      <c r="G145" s="312">
        <f t="shared" si="29"/>
        <v>10260000</v>
      </c>
      <c r="H145" s="312">
        <f t="shared" si="29"/>
        <v>10260000</v>
      </c>
      <c r="I145" s="312">
        <f t="shared" si="29"/>
        <v>10260000</v>
      </c>
      <c r="J145" s="312">
        <f t="shared" si="29"/>
        <v>10260000</v>
      </c>
      <c r="K145" s="312">
        <f t="shared" si="29"/>
        <v>10260000</v>
      </c>
      <c r="L145" s="312">
        <f t="shared" si="29"/>
        <v>10260000</v>
      </c>
      <c r="M145" s="312">
        <f t="shared" si="29"/>
        <v>10260000</v>
      </c>
      <c r="N145" s="312">
        <f t="shared" si="29"/>
        <v>10260000</v>
      </c>
      <c r="O145" s="312">
        <f t="shared" si="29"/>
        <v>10260000</v>
      </c>
      <c r="P145" s="312">
        <f t="shared" si="29"/>
        <v>10260000</v>
      </c>
      <c r="Q145" s="312">
        <f t="shared" si="29"/>
        <v>10260000</v>
      </c>
      <c r="R145" s="312">
        <f t="shared" si="29"/>
        <v>10260000</v>
      </c>
      <c r="S145" s="312">
        <f t="shared" si="29"/>
        <v>10260000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7159769.9999999991</v>
      </c>
      <c r="E146" s="323">
        <f t="shared" ref="E146:AR146" si="30">IF(E112&lt;=$C76,D146-($C$5*E118+E132+E135),D146-(E132+E135))</f>
        <v>6684111.1574999988</v>
      </c>
      <c r="F146" s="323">
        <f t="shared" si="30"/>
        <v>6203526.3696242236</v>
      </c>
      <c r="G146" s="323">
        <f t="shared" si="30"/>
        <v>5717682.1835942017</v>
      </c>
      <c r="H146" s="323">
        <f t="shared" si="30"/>
        <v>5226228.4928863784</v>
      </c>
      <c r="I146" s="323">
        <f t="shared" si="30"/>
        <v>4728797.7798079066</v>
      </c>
      <c r="J146" s="323">
        <f t="shared" si="30"/>
        <v>4225004.3248891141</v>
      </c>
      <c r="K146" s="323">
        <f t="shared" si="30"/>
        <v>3714443.3816624871</v>
      </c>
      <c r="L146" s="323">
        <f t="shared" si="30"/>
        <v>3196690.3153368575</v>
      </c>
      <c r="M146" s="323">
        <f t="shared" si="30"/>
        <v>2671299.7038116707</v>
      </c>
      <c r="N146" s="323">
        <f t="shared" si="30"/>
        <v>2137804.3994097221</v>
      </c>
      <c r="O146" s="323">
        <f t="shared" si="30"/>
        <v>1595714.5496374008</v>
      </c>
      <c r="P146" s="323">
        <f t="shared" si="30"/>
        <v>1044516.5752091906</v>
      </c>
      <c r="Q146" s="323">
        <f t="shared" si="30"/>
        <v>483672.10349779564</v>
      </c>
      <c r="R146" s="323">
        <f t="shared" si="30"/>
        <v>-87383.144507328863</v>
      </c>
      <c r="S146" s="323">
        <f t="shared" si="30"/>
        <v>-669240.51573219569</v>
      </c>
      <c r="T146" s="323">
        <f t="shared" si="30"/>
        <v>-1000937.8429222072</v>
      </c>
      <c r="U146" s="323">
        <f t="shared" si="30"/>
        <v>-1339269.1166560191</v>
      </c>
      <c r="V146" s="323">
        <f t="shared" si="30"/>
        <v>-1684367.0158645073</v>
      </c>
      <c r="W146" s="323">
        <f t="shared" si="30"/>
        <v>-2036366.8730571652</v>
      </c>
      <c r="X146" s="323">
        <f t="shared" si="30"/>
        <v>-2395406.7273936761</v>
      </c>
      <c r="Y146" s="323">
        <f t="shared" si="30"/>
        <v>-2395406.7273936761</v>
      </c>
      <c r="Z146" s="323">
        <f t="shared" si="30"/>
        <v>-2395406.7273936761</v>
      </c>
      <c r="AA146" s="323">
        <f t="shared" si="30"/>
        <v>-2395406.7273936761</v>
      </c>
      <c r="AB146" s="323">
        <f t="shared" si="30"/>
        <v>-2395406.7273936761</v>
      </c>
      <c r="AC146" s="323">
        <f t="shared" si="30"/>
        <v>-2395406.7273936761</v>
      </c>
      <c r="AD146" s="323">
        <f t="shared" si="30"/>
        <v>-2395406.7273936761</v>
      </c>
      <c r="AE146" s="323">
        <f t="shared" si="30"/>
        <v>-2395406.7273936761</v>
      </c>
      <c r="AF146" s="323">
        <f t="shared" si="30"/>
        <v>-2395406.7273936761</v>
      </c>
      <c r="AG146" s="323">
        <f t="shared" si="30"/>
        <v>-2395406.7273936761</v>
      </c>
      <c r="AH146" s="323">
        <f t="shared" si="30"/>
        <v>-2395406.7273936761</v>
      </c>
      <c r="AI146" s="323">
        <f t="shared" si="30"/>
        <v>-2395406.7273936761</v>
      </c>
      <c r="AJ146" s="323">
        <f t="shared" si="30"/>
        <v>-2395406.7273936761</v>
      </c>
      <c r="AK146" s="323">
        <f t="shared" si="30"/>
        <v>-2395406.7273936761</v>
      </c>
      <c r="AL146" s="323">
        <f t="shared" si="30"/>
        <v>-2395406.7273936761</v>
      </c>
      <c r="AM146" s="323">
        <f t="shared" si="30"/>
        <v>-2395406.7273936761</v>
      </c>
      <c r="AN146" s="323">
        <f t="shared" si="30"/>
        <v>-2395406.7273936761</v>
      </c>
      <c r="AO146" s="323">
        <f t="shared" si="30"/>
        <v>-2395406.7273936761</v>
      </c>
      <c r="AP146" s="323">
        <f t="shared" si="30"/>
        <v>-2395406.7273936761</v>
      </c>
      <c r="AQ146" s="323">
        <f t="shared" si="30"/>
        <v>-2395406.7273936761</v>
      </c>
      <c r="AR146" s="324">
        <f t="shared" si="30"/>
        <v>-2395406.7273936761</v>
      </c>
    </row>
    <row r="147" spans="1:44" ht="12.95" customHeight="1">
      <c r="B147" s="267" t="s">
        <v>577</v>
      </c>
      <c r="C147" s="268"/>
      <c r="D147" s="325"/>
      <c r="E147" s="326">
        <f t="shared" ref="E147:AR147" si="31">IF(E112&gt;$C$74,"",(-$C$94*(E139+$C$5*E118)+E132+$C$5*E118)/-E137)</f>
        <v>1.4526389781563274</v>
      </c>
      <c r="F147" s="326">
        <f t="shared" si="31"/>
        <v>1.4385738121646965</v>
      </c>
      <c r="G147" s="326">
        <f t="shared" si="31"/>
        <v>1.4241300268880333</v>
      </c>
      <c r="H147" s="326">
        <f t="shared" si="31"/>
        <v>1.4092959140121153</v>
      </c>
      <c r="I147" s="326">
        <f t="shared" si="31"/>
        <v>1.3940593552794733</v>
      </c>
      <c r="J147" s="326">
        <f t="shared" si="31"/>
        <v>1.3784078068200085</v>
      </c>
      <c r="K147" s="326">
        <f t="shared" si="31"/>
        <v>1.3623282828507164</v>
      </c>
      <c r="L147" s="326">
        <f t="shared" si="31"/>
        <v>1.3458073387184228</v>
      </c>
      <c r="M147" s="326">
        <f t="shared" si="31"/>
        <v>1.3288310532583147</v>
      </c>
      <c r="N147" s="326">
        <f t="shared" si="31"/>
        <v>1.3113850104399156</v>
      </c>
      <c r="O147" s="326">
        <f t="shared" si="31"/>
        <v>1.2934542802709739</v>
      </c>
      <c r="P147" s="326">
        <f t="shared" si="31"/>
        <v>1.2750233989284756</v>
      </c>
      <c r="Q147" s="326">
        <f t="shared" si="31"/>
        <v>1.2560763480847181</v>
      </c>
      <c r="R147" s="326">
        <f t="shared" si="31"/>
        <v>1.2365965333950133</v>
      </c>
      <c r="S147" s="326">
        <f t="shared" si="31"/>
        <v>1.2165667621122065</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-5228129.4034299161</v>
      </c>
      <c r="D150" s="271" t="s">
        <v>580</v>
      </c>
    </row>
    <row r="151" spans="1:44">
      <c r="B151" s="72" t="s">
        <v>581</v>
      </c>
      <c r="C151" s="272">
        <f>(1-$C$94)*NPV($C$91,E145:AR145)</f>
        <v>78141819.78416197</v>
      </c>
      <c r="D151" s="271" t="str">
        <f>$C$7</f>
        <v>kWh</v>
      </c>
      <c r="F151" s="273"/>
    </row>
    <row r="152" spans="1:44">
      <c r="B152" s="72" t="s">
        <v>582</v>
      </c>
      <c r="C152" s="272">
        <f>$C$41*1000000</f>
        <v>7159769.9999999991</v>
      </c>
      <c r="D152" s="271" t="s">
        <v>528</v>
      </c>
      <c r="F152" s="46"/>
    </row>
    <row r="153" spans="1:44">
      <c r="B153" s="72" t="s">
        <v>583</v>
      </c>
      <c r="C153" s="274">
        <f>AVERAGE(E147:AR147)</f>
        <v>1.3415449934252939</v>
      </c>
      <c r="D153" s="271"/>
      <c r="F153" s="46"/>
    </row>
    <row r="154" spans="1:44">
      <c r="B154" s="72" t="s">
        <v>584</v>
      </c>
      <c r="C154" s="95" t="str">
        <f>CONCATENATE(ROUND(((1-$C$94)*$C$90*$C$92+$C$93*$C$91)*100,1),"% / ",ROUND((((1+(1-$C$94)*$C$90*$C$92+$C$93*$C$91)/(1+$C$89))-1)*100,1),"%")</f>
        <v>4,4% / 2,3%</v>
      </c>
      <c r="D154" s="271"/>
      <c r="F154" s="273"/>
      <c r="G154" s="47"/>
    </row>
    <row r="155" spans="1:44">
      <c r="B155" s="72" t="s">
        <v>585</v>
      </c>
      <c r="C155" s="95">
        <f>IFERROR(IRR(D143:AR143),"n.v.t.")</f>
        <v>-0.1128883822075113</v>
      </c>
      <c r="D155" s="271"/>
      <c r="F155" s="46"/>
      <c r="G155" s="47"/>
    </row>
    <row r="156" spans="1:44">
      <c r="B156" s="72" t="s">
        <v>586</v>
      </c>
      <c r="C156" s="95" t="str">
        <f>IFERROR(IRR(D144:AR144),"n.v.t.")</f>
        <v>n.v.t.</v>
      </c>
      <c r="D156" s="271"/>
      <c r="G156" s="47"/>
    </row>
    <row r="157" spans="1:44">
      <c r="B157" s="72" t="s">
        <v>587</v>
      </c>
      <c r="C157" s="272">
        <f>$C$92*C152-C97</f>
        <v>5011838.9999999991</v>
      </c>
      <c r="D157" s="271" t="s">
        <v>528</v>
      </c>
      <c r="F157" s="33"/>
    </row>
    <row r="158" spans="1:44">
      <c r="B158" s="72" t="s">
        <v>588</v>
      </c>
      <c r="C158" s="272">
        <f>$C$93*C152-C98</f>
        <v>2147930.9999999995</v>
      </c>
      <c r="D158" s="271" t="s">
        <v>528</v>
      </c>
      <c r="F158" s="33"/>
    </row>
    <row r="159" spans="1:44">
      <c r="B159" s="72" t="s">
        <v>332</v>
      </c>
      <c r="C159" s="95">
        <f>IF(AND(E115&gt;0,E116&gt;0),ROUND(E116/E115,2),0)</f>
        <v>0</v>
      </c>
      <c r="D159" s="271" t="s">
        <v>589</v>
      </c>
      <c r="F159" s="33"/>
    </row>
    <row r="160" spans="1:44">
      <c r="B160" s="72" t="s">
        <v>590</v>
      </c>
      <c r="C160" s="95">
        <f>IF(C159=0,MAX(C29:C30),E118/SUM(C26,C28))</f>
        <v>2280</v>
      </c>
      <c r="D160" s="271" t="s">
        <v>446</v>
      </c>
      <c r="F160" s="33"/>
    </row>
    <row r="161" spans="2:44" ht="15" customHeight="1">
      <c r="B161" s="73" t="s">
        <v>591</v>
      </c>
      <c r="C161" s="426" t="str">
        <f>CONCATENATE( "tussen ", INDEX(D112:X112, MATCH(0,D146:AR146, -1)), " en ",  1 + INDEX(D112:X112, MATCH(0,D146:AR146, -1)), " jaar")</f>
        <v>tussen 13 en 14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3.7999999999999999E-2</v>
      </c>
      <c r="D164" s="271" t="str">
        <f t="shared" ref="D164:D179" si="32">CONCATENATE("Euro/",$C$7)</f>
        <v>Euro/kWh</v>
      </c>
    </row>
    <row r="165" spans="2:44" ht="14.85" customHeight="1">
      <c r="B165" s="72" t="s">
        <v>593</v>
      </c>
      <c r="C165" s="341">
        <f>IF($C$15&gt;0,CONCATENATE(TEXT(C166,"0"&amp;","&amp;REPT("0",Colofon!$C$31))," / ",TEXT(C167,"0"&amp;","&amp;REPT("0",Colofon!$C$31))),C164)</f>
        <v>3.7999999999999999E-2</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5.7000000000000002E-2</v>
      </c>
      <c r="D168" s="275" t="str">
        <f t="shared" si="32"/>
        <v>Euro/kWh</v>
      </c>
    </row>
    <row r="169" spans="2:44" s="10" customFormat="1">
      <c r="B169" s="72" t="s">
        <v>596</v>
      </c>
      <c r="C169" s="341">
        <f>IF($C$15&gt;0,CONCATENATE(TEXT(C170,"0"&amp;","&amp;REPT("0",Colofon!$C$31))," / ",TEXT(C171,"0"&amp;","&amp;REPT("0",Colofon!$C$31))),C168)</f>
        <v>5.7000000000000002E-2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0.08</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0.08</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5" priority="3" operator="containsText" text="Pas op">
      <formula>NOT(ISERROR(SEARCH("Pas op",G1)))</formula>
    </cfRule>
  </conditionalFormatting>
  <conditionalFormatting sqref="G188">
    <cfRule type="containsText" dxfId="4" priority="2" operator="containsText" text="Pas op">
      <formula>NOT(ISERROR(SEARCH("Pas op",G188)))</formula>
    </cfRule>
  </conditionalFormatting>
  <conditionalFormatting sqref="G105">
    <cfRule type="containsText" dxfId="3"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2A5B8554-4E3C-4F38-8E84-592EA61B888A}">
      <formula1>"ja,nee"</formula1>
    </dataValidation>
    <dataValidation type="list" allowBlank="1" showErrorMessage="1" error="Alleen de opties aangegeven in de dropdownlijst zijn toegestaan" sqref="C7" xr:uid="{262CCFC9-C744-45E9-B98C-6C4EBDBADF8E}">
      <formula1>"t CO2,kWh"</formula1>
    </dataValidation>
    <dataValidation type="list" allowBlank="1" showErrorMessage="1" error="Alleen de opties aangegeven in de dropdownlijst zijn toegestaan" sqref="C14" xr:uid="{384724C9-309C-4ED7-A506-9B2BCC808377}">
      <formula1>"Nee,Ja,Geen warmte"</formula1>
    </dataValidation>
    <dataValidation type="list" allowBlank="1" showErrorMessage="1" error="Alleen de opties aangegeven in de dropdownlijst zijn toegestaan" sqref="C9" xr:uid="{8E1413D4-B7B7-467F-974C-215EA8E2F572}">
      <formula1>"Elektriciteit,Lagetemperatuurwarmte,Hogetemperatuurwarmte,Moleculen,CCS/CCU,Generiek"</formula1>
    </dataValidation>
    <dataValidation type="decimal" allowBlank="1" showErrorMessage="1" error="Alleen getallen tussen 0 en 1.0 toegestaan. Vul in met een punt, geen comma" sqref="C17:C18" xr:uid="{BB0F880B-3D6A-4802-A91D-7BFD1872FB42}">
      <formula1>0</formula1>
      <formula2>1</formula2>
    </dataValidation>
    <dataValidation type="decimal" operator="notBetween" allowBlank="1" showInputMessage="1" sqref="C39:C49" xr:uid="{6DE4C595-C2DC-4094-9308-DB145F7497E4}">
      <formula1>0</formula1>
      <formula2>0</formula2>
    </dataValidation>
    <dataValidation type="decimal" operator="notBetween" allowBlank="1" showInputMessage="1" showErrorMessage="1" sqref="C52:C60 C63:C65 C67:C70" xr:uid="{D5C6F4E2-D6B8-4678-BDA5-CA8DE441628B}">
      <formula1>0</formula1>
      <formula2>0</formula2>
    </dataValidation>
    <dataValidation type="decimal" operator="greaterThanOrEqual" allowBlank="1" showInputMessage="1" sqref="C21 C24:C30 C33:C36" xr:uid="{1C892DE4-1EE1-4109-AB6B-9FB4B8A71B85}">
      <formula1>0</formula1>
    </dataValidation>
    <dataValidation type="decimal" operator="greaterThanOrEqual" allowBlank="1" showInputMessage="1" showErrorMessage="1" sqref="C73:C77" xr:uid="{64274A4B-DFC2-4FEB-8EA6-C854C02ED090}">
      <formula1>0</formula1>
    </dataValidation>
    <dataValidation type="decimal" operator="greaterThan" allowBlank="1" showInputMessage="1" showErrorMessage="1" sqref="C80:C86 C89:C94" xr:uid="{D4585D15-7DBB-463F-87D4-60F7625288EE}">
      <formula1>0</formula1>
    </dataValidation>
    <dataValidation type="list" operator="greaterThanOrEqual" allowBlank="1" showInputMessage="1" sqref="C23" xr:uid="{3FD11312-1F64-4E60-9E24-55102EC41D9A}">
      <formula1>"Ja"</formula1>
    </dataValidation>
    <dataValidation type="decimal" operator="greaterThan" allowBlank="1" showInputMessage="1" showErrorMessage="1" error="Alleen getallen boven de 0 toegstaan" sqref="C22" xr:uid="{88F3160E-0D8B-4900-A708-A11D296020E0}">
      <formula1>0</formula1>
    </dataValidation>
    <dataValidation operator="notBetween" allowBlank="1" showInputMessage="1" showErrorMessage="1" sqref="C66" xr:uid="{2E9BAB24-6619-43FB-A9B6-9ECEF4941FE6}"/>
  </dataValidations>
  <pageMargins left="0.7" right="0.7" top="0.75" bottom="0.75" header="0.3" footer="0.3"/>
  <pageSetup paperSize="9" scale="14"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6AB9-0182-4189-A0C9-CEA927607EEF}">
  <sheetPr codeName="Sheet113">
    <pageSetUpPr fitToPage="1"/>
  </sheetPr>
  <dimension ref="A1:AR200"/>
  <sheetViews>
    <sheetView showGridLines="0" tabSelected="1"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627</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0.17699999999999999</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858.33333333333326</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t="s">
        <v>81</v>
      </c>
      <c r="D12" s="81" t="str">
        <f>_xlfn.XLOOKUP(C12,Correcties!A4:A37,Correcties!B4:B37,"")</f>
        <v/>
      </c>
      <c r="E12" s="417" t="str">
        <f>IFERROR(INDEX(Correcties!$A$1:$I$334,MATCH('21'!C12,Correcties!$A$1:$A$334,0),5),"")</f>
        <v>EPEX1</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c r="D15" s="75" t="str">
        <f>_xlfn.XLOOKUP(C15,Correcties!A4:A37,Correcties!B4:B37,"")</f>
        <v/>
      </c>
      <c r="E15" s="417" t="str">
        <f>"Enkel relevant voor zon-pv. "&amp;_xlfn.XLOOKUP(C15,Correcties!A4:A37,Correcties!E4:E37,"")</f>
        <v xml:space="preserve">Enkel relevant voor zon-pv. </v>
      </c>
      <c r="F15" s="431"/>
      <c r="G15" s="431"/>
      <c r="H15" s="431"/>
      <c r="I15" s="431"/>
      <c r="J15" s="431"/>
      <c r="K15" s="431"/>
      <c r="L15" s="431"/>
      <c r="M15" s="432"/>
    </row>
    <row r="16" spans="1:44" ht="15" customHeight="1">
      <c r="B16" s="72" t="s">
        <v>425</v>
      </c>
      <c r="C16" s="229"/>
      <c r="D16" s="75" t="str">
        <f>_xlfn.XLOOKUP(C16,Correcties!A4:A37,Correcties!B4:B37,"")</f>
        <v/>
      </c>
      <c r="E16" s="417" t="str">
        <f>"Enkel relevant voor zon-pv. "&amp;_xlfn.XLOOKUP(C16,Correcties!A4:A37,Correcties!E4:E37,"")</f>
        <v xml:space="preserve">Enkel relevant voor zon-pv. </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50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5000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6580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0.33130299999999996</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110</v>
      </c>
      <c r="D43" s="75" t="str">
        <f>CONCATENATE("Euro/",$C$8,"/jaar")</f>
        <v>Euro/kW/jaar</v>
      </c>
      <c r="E43" s="417" t="s">
        <v>463</v>
      </c>
      <c r="F43" s="431"/>
      <c r="G43" s="431"/>
      <c r="H43" s="431"/>
      <c r="I43" s="431"/>
      <c r="J43" s="431"/>
      <c r="K43" s="431"/>
      <c r="L43" s="431"/>
      <c r="M43" s="432"/>
    </row>
    <row r="44" spans="2:13" ht="15" customHeight="1">
      <c r="B44" s="72" t="s">
        <v>465</v>
      </c>
      <c r="C44" s="239">
        <f>(C42*C21+C43*SUM(C26,C28))/1000</f>
        <v>5.5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2.8999999999999998E-3</v>
      </c>
      <c r="D48" s="75" t="str">
        <f>CONCATENATE("Euro/",$C$7)</f>
        <v>Euro/kWh</v>
      </c>
      <c r="E48" s="417"/>
      <c r="F48" s="431"/>
      <c r="G48" s="431"/>
      <c r="H48" s="431"/>
      <c r="I48" s="431"/>
      <c r="J48" s="431"/>
      <c r="K48" s="431"/>
      <c r="L48" s="431"/>
      <c r="M48" s="432"/>
    </row>
    <row r="49" spans="2:13" ht="15" customHeight="1">
      <c r="B49" s="73" t="s">
        <v>472</v>
      </c>
      <c r="C49" s="331">
        <f>SUM(C45:C48)</f>
        <v>2.8999999999999998E-3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0.12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0.12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3750000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3750000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6.25E-2</v>
      </c>
      <c r="D90" s="75"/>
      <c r="E90" s="417"/>
      <c r="F90" s="431"/>
      <c r="G90" s="431"/>
      <c r="H90" s="431"/>
      <c r="I90" s="431"/>
      <c r="J90" s="431"/>
      <c r="K90" s="431"/>
      <c r="L90" s="431"/>
      <c r="M90" s="432"/>
    </row>
    <row r="91" spans="2:13" ht="15" customHeight="1">
      <c r="B91" s="72" t="s">
        <v>522</v>
      </c>
      <c r="C91" s="247">
        <v>8.5000000000000006E-2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c r="D101" s="251"/>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-331302.99999999994</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250000</v>
      </c>
      <c r="F115" s="312">
        <f t="shared" si="4"/>
        <v>250000</v>
      </c>
      <c r="G115" s="312">
        <f t="shared" si="4"/>
        <v>250000</v>
      </c>
      <c r="H115" s="312">
        <f t="shared" si="4"/>
        <v>250000</v>
      </c>
      <c r="I115" s="312">
        <f t="shared" si="4"/>
        <v>250000</v>
      </c>
      <c r="J115" s="312">
        <f t="shared" si="4"/>
        <v>250000</v>
      </c>
      <c r="K115" s="312">
        <f t="shared" si="4"/>
        <v>250000</v>
      </c>
      <c r="L115" s="312">
        <f t="shared" si="4"/>
        <v>250000</v>
      </c>
      <c r="M115" s="312">
        <f t="shared" si="4"/>
        <v>250000</v>
      </c>
      <c r="N115" s="312">
        <f t="shared" si="4"/>
        <v>250000</v>
      </c>
      <c r="O115" s="312">
        <f t="shared" si="4"/>
        <v>250000</v>
      </c>
      <c r="P115" s="312">
        <f t="shared" si="4"/>
        <v>250000</v>
      </c>
      <c r="Q115" s="312">
        <f t="shared" si="4"/>
        <v>250000</v>
      </c>
      <c r="R115" s="312">
        <f t="shared" si="4"/>
        <v>250000</v>
      </c>
      <c r="S115" s="312">
        <f t="shared" si="4"/>
        <v>250000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250000</v>
      </c>
      <c r="F118" s="315">
        <f t="shared" si="7"/>
        <v>250000</v>
      </c>
      <c r="G118" s="315">
        <f t="shared" si="7"/>
        <v>250000</v>
      </c>
      <c r="H118" s="315">
        <f t="shared" si="7"/>
        <v>250000</v>
      </c>
      <c r="I118" s="315">
        <f t="shared" si="7"/>
        <v>250000</v>
      </c>
      <c r="J118" s="315">
        <f t="shared" si="7"/>
        <v>250000</v>
      </c>
      <c r="K118" s="315">
        <f t="shared" si="7"/>
        <v>250000</v>
      </c>
      <c r="L118" s="315">
        <f t="shared" si="7"/>
        <v>250000</v>
      </c>
      <c r="M118" s="315">
        <f t="shared" si="7"/>
        <v>250000</v>
      </c>
      <c r="N118" s="315">
        <f t="shared" si="7"/>
        <v>250000</v>
      </c>
      <c r="O118" s="315">
        <f t="shared" si="7"/>
        <v>250000</v>
      </c>
      <c r="P118" s="315">
        <f t="shared" si="7"/>
        <v>250000</v>
      </c>
      <c r="Q118" s="315">
        <f t="shared" si="7"/>
        <v>250000</v>
      </c>
      <c r="R118" s="315">
        <f t="shared" si="7"/>
        <v>250000</v>
      </c>
      <c r="S118" s="315">
        <f t="shared" si="7"/>
        <v>250000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-6225</v>
      </c>
      <c r="F120" s="312">
        <f t="shared" si="8"/>
        <v>-6349.5</v>
      </c>
      <c r="G120" s="312">
        <f t="shared" si="8"/>
        <v>-6476.49</v>
      </c>
      <c r="H120" s="312">
        <f t="shared" si="8"/>
        <v>-6606.0197999999991</v>
      </c>
      <c r="I120" s="312">
        <f t="shared" si="8"/>
        <v>-6738.1401960000003</v>
      </c>
      <c r="J120" s="312">
        <f t="shared" si="8"/>
        <v>-6872.9029999200002</v>
      </c>
      <c r="K120" s="312">
        <f t="shared" si="8"/>
        <v>-7010.3610599184003</v>
      </c>
      <c r="L120" s="312">
        <f t="shared" si="8"/>
        <v>-7150.5682811167671</v>
      </c>
      <c r="M120" s="312">
        <f t="shared" si="8"/>
        <v>-7293.5796467391028</v>
      </c>
      <c r="N120" s="312">
        <f t="shared" si="8"/>
        <v>-7439.4512396738846</v>
      </c>
      <c r="O120" s="312">
        <f t="shared" si="8"/>
        <v>-7588.240264467363</v>
      </c>
      <c r="P120" s="312">
        <f t="shared" si="8"/>
        <v>-7740.0050697567085</v>
      </c>
      <c r="Q120" s="312">
        <f t="shared" si="8"/>
        <v>-7894.8051711518447</v>
      </c>
      <c r="R120" s="312">
        <f t="shared" si="8"/>
        <v>-8052.7012745748807</v>
      </c>
      <c r="S120" s="312">
        <f t="shared" si="8"/>
        <v>-8213.7553000663793</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-6225</v>
      </c>
      <c r="F131" s="312">
        <f t="shared" si="18"/>
        <v>-6349.5</v>
      </c>
      <c r="G131" s="312">
        <f t="shared" si="18"/>
        <v>-6476.49</v>
      </c>
      <c r="H131" s="312">
        <f t="shared" si="18"/>
        <v>-6606.0197999999991</v>
      </c>
      <c r="I131" s="312">
        <f t="shared" si="18"/>
        <v>-6738.1401960000003</v>
      </c>
      <c r="J131" s="312">
        <f t="shared" si="18"/>
        <v>-6872.9029999200002</v>
      </c>
      <c r="K131" s="312">
        <f t="shared" si="18"/>
        <v>-7010.3610599184003</v>
      </c>
      <c r="L131" s="312">
        <f t="shared" si="18"/>
        <v>-7150.5682811167671</v>
      </c>
      <c r="M131" s="312">
        <f t="shared" si="18"/>
        <v>-7293.5796467391028</v>
      </c>
      <c r="N131" s="312">
        <f t="shared" si="18"/>
        <v>-7439.4512396738846</v>
      </c>
      <c r="O131" s="312">
        <f t="shared" si="18"/>
        <v>-7588.240264467363</v>
      </c>
      <c r="P131" s="312">
        <f t="shared" si="18"/>
        <v>-7740.0050697567085</v>
      </c>
      <c r="Q131" s="312">
        <f t="shared" si="18"/>
        <v>-7894.8051711518447</v>
      </c>
      <c r="R131" s="312">
        <f t="shared" si="18"/>
        <v>-8052.7012745748807</v>
      </c>
      <c r="S131" s="312">
        <f t="shared" si="18"/>
        <v>-8213.7553000663793</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-6225</v>
      </c>
      <c r="F132" s="321">
        <f t="shared" si="19"/>
        <v>-6349.5</v>
      </c>
      <c r="G132" s="321">
        <f t="shared" si="19"/>
        <v>-6476.49</v>
      </c>
      <c r="H132" s="321">
        <f t="shared" si="19"/>
        <v>-6606.0197999999991</v>
      </c>
      <c r="I132" s="321">
        <f t="shared" si="19"/>
        <v>-6738.1401960000003</v>
      </c>
      <c r="J132" s="321">
        <f t="shared" si="19"/>
        <v>-6872.9029999200002</v>
      </c>
      <c r="K132" s="321">
        <f t="shared" si="19"/>
        <v>-7010.3610599184003</v>
      </c>
      <c r="L132" s="321">
        <f t="shared" si="19"/>
        <v>-7150.5682811167671</v>
      </c>
      <c r="M132" s="321">
        <f t="shared" si="19"/>
        <v>-7293.5796467391028</v>
      </c>
      <c r="N132" s="321">
        <f t="shared" si="19"/>
        <v>-7439.4512396738846</v>
      </c>
      <c r="O132" s="321">
        <f t="shared" si="19"/>
        <v>-7588.240264467363</v>
      </c>
      <c r="P132" s="321">
        <f t="shared" si="19"/>
        <v>-7740.0050697567085</v>
      </c>
      <c r="Q132" s="321">
        <f t="shared" si="19"/>
        <v>-7894.8051711518447</v>
      </c>
      <c r="R132" s="321">
        <f t="shared" si="19"/>
        <v>-8052.7012745748807</v>
      </c>
      <c r="S132" s="321">
        <f t="shared" si="19"/>
        <v>-8213.7553000663793</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-22086.866666666661</v>
      </c>
      <c r="F134" s="312">
        <f t="shared" si="20"/>
        <v>-22086.866666666661</v>
      </c>
      <c r="G134" s="312">
        <f t="shared" si="20"/>
        <v>-22086.866666666661</v>
      </c>
      <c r="H134" s="312">
        <f t="shared" si="20"/>
        <v>-22086.866666666661</v>
      </c>
      <c r="I134" s="312">
        <f t="shared" si="20"/>
        <v>-22086.866666666661</v>
      </c>
      <c r="J134" s="312">
        <f t="shared" si="20"/>
        <v>-22086.866666666661</v>
      </c>
      <c r="K134" s="312">
        <f t="shared" si="20"/>
        <v>-22086.866666666661</v>
      </c>
      <c r="L134" s="312">
        <f t="shared" si="20"/>
        <v>-22086.866666666661</v>
      </c>
      <c r="M134" s="312">
        <f t="shared" si="20"/>
        <v>-22086.866666666661</v>
      </c>
      <c r="N134" s="312">
        <f t="shared" si="20"/>
        <v>-22086.866666666661</v>
      </c>
      <c r="O134" s="312">
        <f t="shared" si="20"/>
        <v>-22086.866666666661</v>
      </c>
      <c r="P134" s="312">
        <f t="shared" si="20"/>
        <v>-22086.866666666661</v>
      </c>
      <c r="Q134" s="312">
        <f t="shared" si="20"/>
        <v>-22086.866666666661</v>
      </c>
      <c r="R134" s="312">
        <f t="shared" si="20"/>
        <v>-22086.866666666661</v>
      </c>
      <c r="S134" s="312">
        <f t="shared" si="20"/>
        <v>-22086.866666666661</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-14494.506249999997</v>
      </c>
      <c r="F135" s="312">
        <f t="shared" si="21"/>
        <v>-13883.544973577127</v>
      </c>
      <c r="G135" s="312">
        <f t="shared" si="21"/>
        <v>-13234.398617377827</v>
      </c>
      <c r="H135" s="312">
        <f t="shared" si="21"/>
        <v>-12544.680613916071</v>
      </c>
      <c r="I135" s="312">
        <f t="shared" si="21"/>
        <v>-11811.855235237957</v>
      </c>
      <c r="J135" s="312">
        <f t="shared" si="21"/>
        <v>-11033.228270392457</v>
      </c>
      <c r="K135" s="312">
        <f t="shared" si="21"/>
        <v>-10205.937120244118</v>
      </c>
      <c r="L135" s="312">
        <f t="shared" si="21"/>
        <v>-9326.9402732115032</v>
      </c>
      <c r="M135" s="312">
        <f t="shared" si="21"/>
        <v>-8393.0061232393527</v>
      </c>
      <c r="N135" s="312">
        <f t="shared" si="21"/>
        <v>-7400.7010888939431</v>
      </c>
      <c r="O135" s="312">
        <f t="shared" si="21"/>
        <v>-6346.3769899019426</v>
      </c>
      <c r="P135" s="312">
        <f t="shared" si="21"/>
        <v>-5226.1576347229447</v>
      </c>
      <c r="Q135" s="312">
        <f t="shared" si="21"/>
        <v>-4035.9245698452587</v>
      </c>
      <c r="R135" s="312">
        <f t="shared" si="21"/>
        <v>-2771.3019384127178</v>
      </c>
      <c r="S135" s="312">
        <f t="shared" si="21"/>
        <v>-1427.6403925156424</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-9775.380422765922</v>
      </c>
      <c r="F136" s="312">
        <f t="shared" si="22"/>
        <v>-10386.341699188792</v>
      </c>
      <c r="G136" s="312">
        <f t="shared" si="22"/>
        <v>-11035.488055388092</v>
      </c>
      <c r="H136" s="312">
        <f t="shared" si="22"/>
        <v>-11725.206058849848</v>
      </c>
      <c r="I136" s="312">
        <f t="shared" si="22"/>
        <v>-12458.031437527965</v>
      </c>
      <c r="J136" s="312">
        <f t="shared" si="22"/>
        <v>-13236.658402373461</v>
      </c>
      <c r="K136" s="312">
        <f t="shared" si="22"/>
        <v>-14063.949552521801</v>
      </c>
      <c r="L136" s="312">
        <f t="shared" si="22"/>
        <v>-14942.946399554414</v>
      </c>
      <c r="M136" s="312">
        <f t="shared" si="22"/>
        <v>-15876.880549526568</v>
      </c>
      <c r="N136" s="312">
        <f t="shared" si="22"/>
        <v>-16869.185583871975</v>
      </c>
      <c r="O136" s="312">
        <f t="shared" si="22"/>
        <v>-17923.509682863976</v>
      </c>
      <c r="P136" s="312">
        <f t="shared" si="22"/>
        <v>-19043.729038042973</v>
      </c>
      <c r="Q136" s="312">
        <f t="shared" si="22"/>
        <v>-20233.962102920661</v>
      </c>
      <c r="R136" s="312">
        <f t="shared" si="22"/>
        <v>-21498.5847343532</v>
      </c>
      <c r="S136" s="312">
        <f t="shared" si="22"/>
        <v>-22842.246280250278</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-24269.886672765919</v>
      </c>
      <c r="F137" s="321">
        <f t="shared" si="23"/>
        <v>-24269.886672765919</v>
      </c>
      <c r="G137" s="321">
        <f t="shared" si="23"/>
        <v>-24269.886672765919</v>
      </c>
      <c r="H137" s="321">
        <f t="shared" si="23"/>
        <v>-24269.886672765919</v>
      </c>
      <c r="I137" s="321">
        <f t="shared" si="23"/>
        <v>-24269.886672765922</v>
      </c>
      <c r="J137" s="321">
        <f t="shared" si="23"/>
        <v>-24269.886672765919</v>
      </c>
      <c r="K137" s="321">
        <f t="shared" si="23"/>
        <v>-24269.886672765919</v>
      </c>
      <c r="L137" s="321">
        <f t="shared" si="23"/>
        <v>-24269.886672765919</v>
      </c>
      <c r="M137" s="321">
        <f t="shared" si="23"/>
        <v>-24269.886672765919</v>
      </c>
      <c r="N137" s="321">
        <f t="shared" si="23"/>
        <v>-24269.886672765919</v>
      </c>
      <c r="O137" s="321">
        <f t="shared" si="23"/>
        <v>-24269.886672765919</v>
      </c>
      <c r="P137" s="321">
        <f t="shared" si="23"/>
        <v>-24269.886672765919</v>
      </c>
      <c r="Q137" s="321">
        <f t="shared" si="23"/>
        <v>-24269.886672765919</v>
      </c>
      <c r="R137" s="321">
        <f t="shared" si="23"/>
        <v>-24269.886672765919</v>
      </c>
      <c r="S137" s="321">
        <f t="shared" si="23"/>
        <v>-24269.886672765919</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-42806.37291666666</v>
      </c>
      <c r="F139" s="312">
        <f t="shared" si="24"/>
        <v>-42319.911640243787</v>
      </c>
      <c r="G139" s="312">
        <f t="shared" si="24"/>
        <v>-41797.755284044484</v>
      </c>
      <c r="H139" s="312">
        <f t="shared" si="24"/>
        <v>-41237.567080582732</v>
      </c>
      <c r="I139" s="312">
        <f t="shared" si="24"/>
        <v>-40636.862097904617</v>
      </c>
      <c r="J139" s="312">
        <f t="shared" si="24"/>
        <v>-39992.997936979118</v>
      </c>
      <c r="K139" s="312">
        <f t="shared" si="24"/>
        <v>-39303.164846829182</v>
      </c>
      <c r="L139" s="312">
        <f t="shared" si="24"/>
        <v>-38564.375220994931</v>
      </c>
      <c r="M139" s="312">
        <f t="shared" si="24"/>
        <v>-37773.452436645122</v>
      </c>
      <c r="N139" s="312">
        <f t="shared" si="24"/>
        <v>-36927.018995234488</v>
      </c>
      <c r="O139" s="312">
        <f t="shared" si="24"/>
        <v>-36021.483921035964</v>
      </c>
      <c r="P139" s="312">
        <f t="shared" si="24"/>
        <v>-35053.029371146316</v>
      </c>
      <c r="Q139" s="312">
        <f t="shared" si="24"/>
        <v>-34017.596407663768</v>
      </c>
      <c r="R139" s="312">
        <f t="shared" si="24"/>
        <v>-32910.869879654259</v>
      </c>
      <c r="S139" s="312">
        <f t="shared" si="24"/>
        <v>-31728.262359248682</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8133.2108541666657</v>
      </c>
      <c r="F140" s="312">
        <f t="shared" si="25"/>
        <v>8040.7832116463196</v>
      </c>
      <c r="G140" s="312">
        <f t="shared" si="25"/>
        <v>7941.5735039684523</v>
      </c>
      <c r="H140" s="312">
        <f t="shared" si="25"/>
        <v>7835.1377453107189</v>
      </c>
      <c r="I140" s="312">
        <f t="shared" si="25"/>
        <v>7721.003798601877</v>
      </c>
      <c r="J140" s="312">
        <f t="shared" si="25"/>
        <v>7598.6696080260326</v>
      </c>
      <c r="K140" s="312">
        <f t="shared" si="25"/>
        <v>7467.6013208975446</v>
      </c>
      <c r="L140" s="312">
        <f t="shared" si="25"/>
        <v>7327.2312919890373</v>
      </c>
      <c r="M140" s="312">
        <f t="shared" si="25"/>
        <v>7176.9559629625737</v>
      </c>
      <c r="N140" s="312">
        <f t="shared" si="25"/>
        <v>7016.1336090945524</v>
      </c>
      <c r="O140" s="312">
        <f t="shared" si="25"/>
        <v>6844.081944996833</v>
      </c>
      <c r="P140" s="312">
        <f t="shared" si="25"/>
        <v>6660.0755805178005</v>
      </c>
      <c r="Q140" s="312">
        <f t="shared" si="25"/>
        <v>6463.343317456116</v>
      </c>
      <c r="R140" s="312">
        <f t="shared" si="25"/>
        <v>6253.0652771343093</v>
      </c>
      <c r="S140" s="312">
        <f t="shared" si="25"/>
        <v>6028.3698482572499</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-22361.675818599251</v>
      </c>
      <c r="F142" s="321">
        <f t="shared" si="26"/>
        <v>-22578.603461119601</v>
      </c>
      <c r="G142" s="321">
        <f t="shared" si="26"/>
        <v>-22804.803168797465</v>
      </c>
      <c r="H142" s="321">
        <f t="shared" si="26"/>
        <v>-23040.768727455197</v>
      </c>
      <c r="I142" s="321">
        <f t="shared" si="26"/>
        <v>-23287.023070164047</v>
      </c>
      <c r="J142" s="321">
        <f t="shared" si="26"/>
        <v>-23544.120064659885</v>
      </c>
      <c r="K142" s="321">
        <f t="shared" si="26"/>
        <v>-23812.646411786773</v>
      </c>
      <c r="L142" s="321">
        <f t="shared" si="26"/>
        <v>-24093.223661893651</v>
      </c>
      <c r="M142" s="321">
        <f t="shared" si="26"/>
        <v>-24386.510356542451</v>
      </c>
      <c r="N142" s="321">
        <f t="shared" si="26"/>
        <v>-24693.204303345254</v>
      </c>
      <c r="O142" s="321">
        <f t="shared" si="26"/>
        <v>-25014.04499223645</v>
      </c>
      <c r="P142" s="321">
        <f t="shared" si="26"/>
        <v>-25349.816162004827</v>
      </c>
      <c r="Q142" s="321">
        <f t="shared" si="26"/>
        <v>-25701.348526461647</v>
      </c>
      <c r="R142" s="321">
        <f t="shared" si="26"/>
        <v>-26069.52267020649</v>
      </c>
      <c r="S142" s="321">
        <f t="shared" si="26"/>
        <v>-26455.272124575047</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-331302.99999999994</v>
      </c>
      <c r="E143" s="312">
        <f t="shared" ref="E143:AR143" si="27">E132+E140</f>
        <v>1908.2108541666657</v>
      </c>
      <c r="F143" s="312">
        <f t="shared" si="27"/>
        <v>1691.2832116463196</v>
      </c>
      <c r="G143" s="312">
        <f t="shared" si="27"/>
        <v>1465.0835039684525</v>
      </c>
      <c r="H143" s="312">
        <f t="shared" si="27"/>
        <v>1229.1179453107197</v>
      </c>
      <c r="I143" s="312">
        <f t="shared" si="27"/>
        <v>982.86360260187666</v>
      </c>
      <c r="J143" s="312">
        <f t="shared" si="27"/>
        <v>725.76660810603244</v>
      </c>
      <c r="K143" s="312">
        <f t="shared" si="27"/>
        <v>457.2402609791443</v>
      </c>
      <c r="L143" s="312">
        <f t="shared" si="27"/>
        <v>176.66301087227021</v>
      </c>
      <c r="M143" s="312">
        <f t="shared" si="27"/>
        <v>-116.62368377652911</v>
      </c>
      <c r="N143" s="312">
        <f t="shared" si="27"/>
        <v>-423.31763057933222</v>
      </c>
      <c r="O143" s="312">
        <f t="shared" si="27"/>
        <v>-744.15831947052993</v>
      </c>
      <c r="P143" s="312">
        <f t="shared" si="27"/>
        <v>-1079.929489238908</v>
      </c>
      <c r="Q143" s="312">
        <f t="shared" si="27"/>
        <v>-1431.4618536957287</v>
      </c>
      <c r="R143" s="312">
        <f t="shared" si="27"/>
        <v>-1799.6359974405714</v>
      </c>
      <c r="S143" s="312">
        <f t="shared" si="27"/>
        <v>-2185.3854518091293</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-99390.89999999998</v>
      </c>
      <c r="E144" s="312">
        <f t="shared" ref="E144:AR144" si="28">E142</f>
        <v>-22361.675818599251</v>
      </c>
      <c r="F144" s="312">
        <f t="shared" si="28"/>
        <v>-22578.603461119601</v>
      </c>
      <c r="G144" s="312">
        <f t="shared" si="28"/>
        <v>-22804.803168797465</v>
      </c>
      <c r="H144" s="312">
        <f t="shared" si="28"/>
        <v>-23040.768727455197</v>
      </c>
      <c r="I144" s="312">
        <f t="shared" si="28"/>
        <v>-23287.023070164047</v>
      </c>
      <c r="J144" s="312">
        <f t="shared" si="28"/>
        <v>-23544.120064659885</v>
      </c>
      <c r="K144" s="312">
        <f t="shared" si="28"/>
        <v>-23812.646411786773</v>
      </c>
      <c r="L144" s="312">
        <f t="shared" si="28"/>
        <v>-24093.223661893651</v>
      </c>
      <c r="M144" s="312">
        <f t="shared" si="28"/>
        <v>-24386.510356542451</v>
      </c>
      <c r="N144" s="312">
        <f t="shared" si="28"/>
        <v>-24693.204303345254</v>
      </c>
      <c r="O144" s="312">
        <f t="shared" si="28"/>
        <v>-25014.04499223645</v>
      </c>
      <c r="P144" s="312">
        <f t="shared" si="28"/>
        <v>-25349.816162004827</v>
      </c>
      <c r="Q144" s="312">
        <f t="shared" si="28"/>
        <v>-25701.348526461647</v>
      </c>
      <c r="R144" s="312">
        <f t="shared" si="28"/>
        <v>-26069.52267020649</v>
      </c>
      <c r="S144" s="312">
        <f t="shared" si="28"/>
        <v>-26455.272124575047</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250000</v>
      </c>
      <c r="F145" s="312">
        <f t="shared" si="29"/>
        <v>250000</v>
      </c>
      <c r="G145" s="312">
        <f t="shared" si="29"/>
        <v>250000</v>
      </c>
      <c r="H145" s="312">
        <f t="shared" si="29"/>
        <v>250000</v>
      </c>
      <c r="I145" s="312">
        <f t="shared" si="29"/>
        <v>250000</v>
      </c>
      <c r="J145" s="312">
        <f t="shared" si="29"/>
        <v>250000</v>
      </c>
      <c r="K145" s="312">
        <f t="shared" si="29"/>
        <v>250000</v>
      </c>
      <c r="L145" s="312">
        <f t="shared" si="29"/>
        <v>250000</v>
      </c>
      <c r="M145" s="312">
        <f t="shared" si="29"/>
        <v>250000</v>
      </c>
      <c r="N145" s="312">
        <f t="shared" si="29"/>
        <v>250000</v>
      </c>
      <c r="O145" s="312">
        <f t="shared" si="29"/>
        <v>250000</v>
      </c>
      <c r="P145" s="312">
        <f t="shared" si="29"/>
        <v>250000</v>
      </c>
      <c r="Q145" s="312">
        <f t="shared" si="29"/>
        <v>250000</v>
      </c>
      <c r="R145" s="312">
        <f t="shared" si="29"/>
        <v>250000</v>
      </c>
      <c r="S145" s="312">
        <f t="shared" si="29"/>
        <v>250000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331302.99999999994</v>
      </c>
      <c r="E146" s="323">
        <f t="shared" ref="E146:AR146" si="30">IF(E112&lt;=$C76,D146-($C$5*E118+E132+E135),D146-(E132+E135))</f>
        <v>307772.50624999992</v>
      </c>
      <c r="F146" s="323">
        <f t="shared" si="30"/>
        <v>283755.55122357706</v>
      </c>
      <c r="G146" s="323">
        <f t="shared" si="30"/>
        <v>259216.43984095487</v>
      </c>
      <c r="H146" s="323">
        <f t="shared" si="30"/>
        <v>234117.14025487093</v>
      </c>
      <c r="I146" s="323">
        <f t="shared" si="30"/>
        <v>208417.1356861089</v>
      </c>
      <c r="J146" s="323">
        <f t="shared" si="30"/>
        <v>182073.26695642137</v>
      </c>
      <c r="K146" s="323">
        <f t="shared" si="30"/>
        <v>155039.5651365839</v>
      </c>
      <c r="L146" s="323">
        <f t="shared" si="30"/>
        <v>127267.07369091216</v>
      </c>
      <c r="M146" s="323">
        <f t="shared" si="30"/>
        <v>98703.659460890616</v>
      </c>
      <c r="N146" s="323">
        <f t="shared" si="30"/>
        <v>69293.811789458443</v>
      </c>
      <c r="O146" s="323">
        <f t="shared" si="30"/>
        <v>38978.429043827753</v>
      </c>
      <c r="P146" s="323">
        <f t="shared" si="30"/>
        <v>7694.5917483074045</v>
      </c>
      <c r="Q146" s="323">
        <f t="shared" si="30"/>
        <v>-24624.678510695496</v>
      </c>
      <c r="R146" s="323">
        <f t="shared" si="30"/>
        <v>-58050.675297707901</v>
      </c>
      <c r="S146" s="323">
        <f t="shared" si="30"/>
        <v>-92659.279605125892</v>
      </c>
      <c r="T146" s="323">
        <f t="shared" si="30"/>
        <v>-92659.279605125892</v>
      </c>
      <c r="U146" s="323">
        <f t="shared" si="30"/>
        <v>-92659.279605125892</v>
      </c>
      <c r="V146" s="323">
        <f t="shared" si="30"/>
        <v>-92659.279605125892</v>
      </c>
      <c r="W146" s="323">
        <f t="shared" si="30"/>
        <v>-92659.279605125892</v>
      </c>
      <c r="X146" s="323">
        <f t="shared" si="30"/>
        <v>-92659.279605125892</v>
      </c>
      <c r="Y146" s="323">
        <f t="shared" si="30"/>
        <v>-92659.279605125892</v>
      </c>
      <c r="Z146" s="323">
        <f t="shared" si="30"/>
        <v>-92659.279605125892</v>
      </c>
      <c r="AA146" s="323">
        <f t="shared" si="30"/>
        <v>-92659.279605125892</v>
      </c>
      <c r="AB146" s="323">
        <f t="shared" si="30"/>
        <v>-92659.279605125892</v>
      </c>
      <c r="AC146" s="323">
        <f t="shared" si="30"/>
        <v>-92659.279605125892</v>
      </c>
      <c r="AD146" s="323">
        <f t="shared" si="30"/>
        <v>-92659.279605125892</v>
      </c>
      <c r="AE146" s="323">
        <f t="shared" si="30"/>
        <v>-92659.279605125892</v>
      </c>
      <c r="AF146" s="323">
        <f t="shared" si="30"/>
        <v>-92659.279605125892</v>
      </c>
      <c r="AG146" s="323">
        <f t="shared" si="30"/>
        <v>-92659.279605125892</v>
      </c>
      <c r="AH146" s="323">
        <f t="shared" si="30"/>
        <v>-92659.279605125892</v>
      </c>
      <c r="AI146" s="323">
        <f t="shared" si="30"/>
        <v>-92659.279605125892</v>
      </c>
      <c r="AJ146" s="323">
        <f t="shared" si="30"/>
        <v>-92659.279605125892</v>
      </c>
      <c r="AK146" s="323">
        <f t="shared" si="30"/>
        <v>-92659.279605125892</v>
      </c>
      <c r="AL146" s="323">
        <f t="shared" si="30"/>
        <v>-92659.279605125892</v>
      </c>
      <c r="AM146" s="323">
        <f t="shared" si="30"/>
        <v>-92659.279605125892</v>
      </c>
      <c r="AN146" s="323">
        <f t="shared" si="30"/>
        <v>-92659.279605125892</v>
      </c>
      <c r="AO146" s="323">
        <f t="shared" si="30"/>
        <v>-92659.279605125892</v>
      </c>
      <c r="AP146" s="323">
        <f t="shared" si="30"/>
        <v>-92659.279605125892</v>
      </c>
      <c r="AQ146" s="323">
        <f t="shared" si="30"/>
        <v>-92659.279605125892</v>
      </c>
      <c r="AR146" s="324">
        <f t="shared" si="30"/>
        <v>-92659.279605125892</v>
      </c>
    </row>
    <row r="147" spans="1:44" ht="12.95" customHeight="1">
      <c r="B147" s="267" t="s">
        <v>577</v>
      </c>
      <c r="C147" s="268"/>
      <c r="D147" s="325"/>
      <c r="E147" s="326">
        <f t="shared" ref="E147:AR147" si="31">IF(E112&gt;$C$74,"",(-$C$94*(E139+$C$5*E118)+E132+$C$5*E118)/-E137)</f>
        <v>1.5554547642996639</v>
      </c>
      <c r="F147" s="326">
        <f t="shared" si="31"/>
        <v>1.5465166243962845</v>
      </c>
      <c r="G147" s="326">
        <f t="shared" si="31"/>
        <v>1.5371964445896069</v>
      </c>
      <c r="H147" s="326">
        <f t="shared" si="31"/>
        <v>1.527473879262488</v>
      </c>
      <c r="I147" s="326">
        <f t="shared" si="31"/>
        <v>1.5173273818342503</v>
      </c>
      <c r="J147" s="326">
        <f t="shared" si="31"/>
        <v>1.5067341311132099</v>
      </c>
      <c r="K147" s="326">
        <f t="shared" si="31"/>
        <v>1.4956699530744963</v>
      </c>
      <c r="L147" s="326">
        <f t="shared" si="31"/>
        <v>1.4841092377778022</v>
      </c>
      <c r="M147" s="326">
        <f t="shared" si="31"/>
        <v>1.472024851121893</v>
      </c>
      <c r="N147" s="326">
        <f t="shared" si="31"/>
        <v>1.4593880411137543</v>
      </c>
      <c r="O147" s="326">
        <f t="shared" si="31"/>
        <v>1.4461683383101469</v>
      </c>
      <c r="P147" s="326">
        <f t="shared" si="31"/>
        <v>1.4323334500679552</v>
      </c>
      <c r="Q147" s="326">
        <f t="shared" si="31"/>
        <v>1.4178491482169997</v>
      </c>
      <c r="R147" s="326">
        <f t="shared" si="31"/>
        <v>1.4026791497448607</v>
      </c>
      <c r="S147" s="326">
        <f t="shared" si="31"/>
        <v>1.3867849900576044</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-197529.86023024263</v>
      </c>
      <c r="D150" s="271" t="s">
        <v>580</v>
      </c>
    </row>
    <row r="151" spans="1:44">
      <c r="B151" s="72" t="s">
        <v>581</v>
      </c>
      <c r="C151" s="272">
        <f>(1-$C$94)*NPV($C$91,E145:AR145)</f>
        <v>1681607.9065982765</v>
      </c>
      <c r="D151" s="271" t="str">
        <f>$C$7</f>
        <v>kWh</v>
      </c>
      <c r="F151" s="273"/>
    </row>
    <row r="152" spans="1:44">
      <c r="B152" s="72" t="s">
        <v>582</v>
      </c>
      <c r="C152" s="272">
        <f>$C$41*1000000</f>
        <v>331302.99999999994</v>
      </c>
      <c r="D152" s="271" t="s">
        <v>528</v>
      </c>
      <c r="F152" s="46"/>
    </row>
    <row r="153" spans="1:44">
      <c r="B153" s="72" t="s">
        <v>583</v>
      </c>
      <c r="C153" s="274">
        <f>AVERAGE(E147:AR147)</f>
        <v>1.4791806923320678</v>
      </c>
      <c r="D153" s="271"/>
      <c r="F153" s="46"/>
    </row>
    <row r="154" spans="1:44">
      <c r="B154" s="72" t="s">
        <v>584</v>
      </c>
      <c r="C154" s="95" t="str">
        <f>CONCATENATE(ROUND(((1-$C$94)*$C$90*$C$92+$C$93*$C$91)*100,1),"% / ",ROUND((((1+(1-$C$94)*$C$90*$C$92+$C$93*$C$91)/(1+$C$89))-1)*100,1),"%")</f>
        <v>6,1% / 4%</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231912.09999999995</v>
      </c>
      <c r="D157" s="271" t="s">
        <v>528</v>
      </c>
      <c r="F157" s="33"/>
    </row>
    <row r="158" spans="1:44">
      <c r="B158" s="72" t="s">
        <v>588</v>
      </c>
      <c r="C158" s="272">
        <f>$C$93*C152-C98</f>
        <v>99390.89999999998</v>
      </c>
      <c r="D158" s="271" t="s">
        <v>528</v>
      </c>
      <c r="F158" s="33"/>
    </row>
    <row r="159" spans="1:44">
      <c r="B159" s="72" t="s">
        <v>332</v>
      </c>
      <c r="C159" s="95">
        <f>IF(AND(E115&gt;0,E116&gt;0),ROUND(E116/E115,2),0)</f>
        <v>0</v>
      </c>
      <c r="D159" s="271" t="s">
        <v>589</v>
      </c>
      <c r="F159" s="33"/>
    </row>
    <row r="160" spans="1:44">
      <c r="B160" s="72" t="s">
        <v>590</v>
      </c>
      <c r="C160" s="95">
        <f>IF(C159=0,MAX(C29:C30),E118/SUM(C26,C28))</f>
        <v>5000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0.05</v>
      </c>
      <c r="D164" s="271" t="str">
        <f t="shared" ref="D164:D179" si="32">CONCATENATE("Euro/",$C$7)</f>
        <v>Euro/kWh</v>
      </c>
    </row>
    <row r="165" spans="2:44" ht="14.85" customHeight="1">
      <c r="B165" s="72" t="s">
        <v>593</v>
      </c>
      <c r="C165" s="341">
        <f>IF($C$15&gt;0,CONCATENATE(TEXT(C166,"0"&amp;","&amp;REPT("0",Colofon!$C$31))," / ",TEXT(C167,"0"&amp;","&amp;REPT("0",Colofon!$C$31))),C164)</f>
        <v>0.05</v>
      </c>
      <c r="D165" s="271" t="str">
        <f t="shared" si="32"/>
        <v>Euro/kWh</v>
      </c>
    </row>
    <row r="166" spans="2:44" ht="14.85" customHeight="1">
      <c r="B166" s="72" t="s">
        <v>594</v>
      </c>
      <c r="C166" s="342" t="str">
        <f>IFERROR(ROUND(INDEX(Correcties!$A$1:$K$37,MATCH($C$15,Correcties!$A$1:$A$37,0),8),Colofon!$C$31),"n.v.t.")</f>
        <v>n.v.t.</v>
      </c>
      <c r="D166" s="271" t="str">
        <f t="shared" si="32"/>
        <v>Euro/kWh</v>
      </c>
    </row>
    <row r="167" spans="2:44" ht="14.85" customHeight="1">
      <c r="B167" s="72" t="s">
        <v>52</v>
      </c>
      <c r="C167" s="343" t="str">
        <f>IFERROR(ROUND(INDEX(Correcties!$A$1:$K$37,MATCH($C$16,Correcties!$A$1:$A$37,0),8),Colofon!$C$31),"n.v.t.")</f>
        <v>n.v.t.</v>
      </c>
      <c r="D167" s="271" t="str">
        <f t="shared" si="32"/>
        <v>Euro/kWh</v>
      </c>
    </row>
    <row r="168" spans="2:44" s="10" customFormat="1">
      <c r="B168" s="80" t="s">
        <v>595</v>
      </c>
      <c r="C168" s="344">
        <f>IF($C$15&gt;0,
ROUND(INDEX(Correcties!$A$1:$I$37,MATCH($C$15,Correcties!$A$1:$A$37,0),6),Colofon!$C$31),
ROUND(_xlfn.XLOOKUP($C12,Correcties!$A$3:$A$37,Correcties!$F$3:$F$37,"n.v.t"),Colofon!$C$31))</f>
        <v>7.3999999999999996E-2</v>
      </c>
      <c r="D168" s="275" t="str">
        <f t="shared" si="32"/>
        <v>Euro/kWh</v>
      </c>
    </row>
    <row r="169" spans="2:44" s="10" customFormat="1">
      <c r="B169" s="72" t="s">
        <v>596</v>
      </c>
      <c r="C169" s="341">
        <f>IF($C$15&gt;0,CONCATENATE(TEXT(C170,"0"&amp;","&amp;REPT("0",Colofon!$C$31))," / ",TEXT(C171,"0"&amp;","&amp;REPT("0",Colofon!$C$31))),C168)</f>
        <v>7.3999999999999996E-2</v>
      </c>
      <c r="D169" s="271" t="str">
        <f t="shared" si="32"/>
        <v>Euro/kWh</v>
      </c>
    </row>
    <row r="170" spans="2:44" s="10" customFormat="1">
      <c r="B170" s="72" t="s">
        <v>597</v>
      </c>
      <c r="C170" s="342" t="str">
        <f>IFERROR(ROUND(INDEX(Correcties!$A$1:$K$37,MATCH(C15,Correcties!$A$1:$A$37,0),6),Colofon!$C$31),"n.v.t.")</f>
        <v>n.v.t.</v>
      </c>
      <c r="D170" s="271" t="str">
        <f t="shared" si="32"/>
        <v>Euro/kWh</v>
      </c>
    </row>
    <row r="171" spans="2:44" s="10" customFormat="1">
      <c r="B171" s="72" t="s">
        <v>598</v>
      </c>
      <c r="C171" s="342" t="str">
        <f>IFERROR(ROUND(INDEX(Correcties!$A$1:$K$37,MATCH(C16,Correcties!$A$1:$A$37,0),6),Colofon!$C$31),"n.v.t.")</f>
        <v>n.v.t.</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9.0999999999999998E-2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f>IF($C$15&gt;0,CONCATENATE(TEXT(C174,"0"&amp;","&amp;REPT("0",Colofon!$C$31))," / ",TEXT(C175,"0"&amp;","&amp;REPT("0",Colofon!$C$31))),C172)</f>
        <v>9.0999999999999998E-2</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t="str">
        <f>IFERROR(ROUND(INDEX(Correcties!$A$1:$K$37,MATCH($C$15,Correcties!$A$1:$A$37,0),4),Colofon!$C$31),"n.v.t.")</f>
        <v>n.v.t.</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t="str">
        <f>IFERROR(ROUND(INDEX(Correcties!$A$1:$K$37,MATCH($C$16,Correcties!$A$1:$A$37,0),4),Colofon!$C$31),"n.v.t.")</f>
        <v>n.v.t.</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0</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2" priority="3" operator="containsText" text="Pas op">
      <formula>NOT(ISERROR(SEARCH("Pas op",G1)))</formula>
    </cfRule>
  </conditionalFormatting>
  <conditionalFormatting sqref="G188">
    <cfRule type="containsText" dxfId="1" priority="2" operator="containsText" text="Pas op">
      <formula>NOT(ISERROR(SEARCH("Pas op",G188)))</formula>
    </cfRule>
  </conditionalFormatting>
  <conditionalFormatting sqref="G105">
    <cfRule type="containsText" dxfId="0"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776D9402-A96A-4094-8F62-117BC6C9FD8A}">
      <formula1>"ja,nee"</formula1>
    </dataValidation>
    <dataValidation type="list" allowBlank="1" showErrorMessage="1" error="Alleen de opties aangegeven in de dropdownlijst zijn toegestaan" sqref="C7" xr:uid="{D7D1574E-174E-4647-9429-0F2E3BA2CF3A}">
      <formula1>"t CO2,kWh"</formula1>
    </dataValidation>
    <dataValidation type="list" allowBlank="1" showErrorMessage="1" error="Alleen de opties aangegeven in de dropdownlijst zijn toegestaan" sqref="C14" xr:uid="{96E26792-EA56-42E3-AA9A-1271AB51FEEE}">
      <formula1>"Nee,Ja,Geen warmte"</formula1>
    </dataValidation>
    <dataValidation type="list" allowBlank="1" showErrorMessage="1" error="Alleen de opties aangegeven in de dropdownlijst zijn toegestaan" sqref="C9" xr:uid="{70920922-3677-4EC1-97E2-5F20D68ED93E}">
      <formula1>"Elektriciteit,Lagetemperatuurwarmte,Hogetemperatuurwarmte,Moleculen,CCS/CCU,Generiek"</formula1>
    </dataValidation>
    <dataValidation type="decimal" allowBlank="1" showErrorMessage="1" error="Alleen getallen tussen 0 en 1.0 toegestaan. Vul in met een punt, geen comma" sqref="C17:C18" xr:uid="{D1860FBD-195E-4E99-ABF2-486DDCA221F2}">
      <formula1>0</formula1>
      <formula2>1</formula2>
    </dataValidation>
    <dataValidation type="decimal" operator="notBetween" allowBlank="1" showInputMessage="1" sqref="C39:C49" xr:uid="{5957AE8B-EEFB-4488-AE25-5087BE4C75EA}">
      <formula1>0</formula1>
      <formula2>0</formula2>
    </dataValidation>
    <dataValidation type="decimal" operator="notBetween" allowBlank="1" showInputMessage="1" showErrorMessage="1" sqref="C52:C60 C63:C65 C67:C70" xr:uid="{945D1353-5EA0-4C85-8FA4-5F8F64CEC34B}">
      <formula1>0</formula1>
      <formula2>0</formula2>
    </dataValidation>
    <dataValidation type="decimal" operator="greaterThanOrEqual" allowBlank="1" showInputMessage="1" sqref="C21 C24:C30 C33:C36" xr:uid="{1AD76FE7-DD20-42AD-AB48-C6F76897E9C8}">
      <formula1>0</formula1>
    </dataValidation>
    <dataValidation type="decimal" operator="greaterThanOrEqual" allowBlank="1" showInputMessage="1" showErrorMessage="1" sqref="C73:C77" xr:uid="{762C8F0B-0A63-48F3-B943-39D83D4F21B0}">
      <formula1>0</formula1>
    </dataValidation>
    <dataValidation type="decimal" operator="greaterThan" allowBlank="1" showInputMessage="1" showErrorMessage="1" sqref="C80:C86 C89:C94" xr:uid="{6380C1E7-2785-4930-A893-B80C3672AAA4}">
      <formula1>0</formula1>
    </dataValidation>
    <dataValidation type="list" operator="greaterThanOrEqual" allowBlank="1" showInputMessage="1" sqref="C23" xr:uid="{F34C0B09-FE12-4346-9160-908AA85FC4DD}">
      <formula1>"Ja"</formula1>
    </dataValidation>
    <dataValidation type="decimal" operator="greaterThan" allowBlank="1" showInputMessage="1" showErrorMessage="1" error="Alleen getallen boven de 0 toegstaan" sqref="C22" xr:uid="{718F7038-3154-4A9F-9D65-E7191A1278B7}">
      <formula1>0</formula1>
    </dataValidation>
    <dataValidation operator="notBetween" allowBlank="1" showInputMessage="1" showErrorMessage="1" sqref="C66" xr:uid="{140E7DAB-A457-4C0C-8C53-961961B92D48}"/>
  </dataValidations>
  <pageMargins left="0.7" right="0.7" top="0.75" bottom="0.75" header="0.3" footer="0.3"/>
  <pageSetup paperSize="9" scale="14"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A82F-C7EA-49C0-9E59-16180A71A408}">
  <sheetPr codeName="Sheet7"/>
  <dimension ref="A1:Q124"/>
  <sheetViews>
    <sheetView showGridLines="0" topLeftCell="A10" zoomScaleNormal="100" workbookViewId="0">
      <selection activeCell="H35" sqref="H35:I35"/>
    </sheetView>
  </sheetViews>
  <sheetFormatPr defaultColWidth="9.42578125" defaultRowHeight="18.75" customHeight="1"/>
  <cols>
    <col min="1" max="1" width="36.42578125" style="61" customWidth="1"/>
    <col min="2" max="2" width="79.42578125" style="62" customWidth="1"/>
    <col min="3" max="3" width="22.5703125" style="62" customWidth="1"/>
    <col min="4" max="4" width="19.5703125" style="61" bestFit="1" customWidth="1"/>
    <col min="5" max="5" width="91.5703125" style="62" bestFit="1" customWidth="1"/>
    <col min="6" max="6" width="33.42578125" style="61" customWidth="1"/>
    <col min="7" max="7" width="99.5703125" style="62" bestFit="1" customWidth="1"/>
    <col min="8" max="8" width="19.5703125" style="61" bestFit="1" customWidth="1"/>
    <col min="9" max="9" width="97.5703125" style="62" customWidth="1"/>
    <col min="10" max="53" width="9.42578125" style="62" customWidth="1"/>
    <col min="54" max="16384" width="9.42578125" style="62"/>
  </cols>
  <sheetData>
    <row r="1" spans="1:9" s="54" customFormat="1" ht="18.75" customHeight="1">
      <c r="A1" s="142" t="s">
        <v>75</v>
      </c>
      <c r="B1" s="143"/>
      <c r="C1" s="144"/>
      <c r="D1" s="415" t="str">
        <f>+"Voorlopig correctiebedrag "&amp;Colofon!$C$29</f>
        <v>Voorlopig correctiebedrag 2026</v>
      </c>
      <c r="E1" s="427"/>
      <c r="F1" s="415" t="str">
        <f>+"Langetermijnprijs SDE++ "&amp;Colofon!$C$29&amp;" (t.b.v. rangschikking)"</f>
        <v>Langetermijnprijs SDE++ 2026 (t.b.v. rangschikking)</v>
      </c>
      <c r="G1" s="427"/>
      <c r="H1" s="414" t="str">
        <f>+"Basis- of bodemprijs SDE++ "&amp;Colofon!$C$29</f>
        <v>Basis- of bodemprijs SDE++ 2026</v>
      </c>
      <c r="I1" s="428"/>
    </row>
    <row r="2" spans="1:9" s="55" customFormat="1" ht="18.75" customHeight="1">
      <c r="A2" s="145" t="s">
        <v>76</v>
      </c>
      <c r="B2" s="146" t="s">
        <v>77</v>
      </c>
      <c r="C2" s="147" t="s">
        <v>78</v>
      </c>
      <c r="D2" s="148" t="s">
        <v>79</v>
      </c>
      <c r="E2" s="149" t="s">
        <v>80</v>
      </c>
      <c r="F2" s="148" t="s">
        <v>79</v>
      </c>
      <c r="G2" s="149" t="s">
        <v>80</v>
      </c>
      <c r="H2" s="148" t="s">
        <v>79</v>
      </c>
      <c r="I2" s="150" t="s">
        <v>80</v>
      </c>
    </row>
    <row r="3" spans="1:9" s="56" customFormat="1" ht="18.75" customHeight="1">
      <c r="A3" s="230" t="s">
        <v>81</v>
      </c>
      <c r="B3" s="167" t="s">
        <v>82</v>
      </c>
      <c r="C3" s="218" t="s">
        <v>21</v>
      </c>
      <c r="D3" s="400">
        <f>D74</f>
        <v>9.0624197488584426E-2</v>
      </c>
      <c r="E3" s="169" t="s">
        <v>83</v>
      </c>
      <c r="F3" s="402">
        <f>H75</f>
        <v>7.4260835999999997E-2</v>
      </c>
      <c r="G3" s="169" t="s">
        <v>84</v>
      </c>
      <c r="H3" s="402">
        <f>2/3*$H$75</f>
        <v>4.9507223999999996E-2</v>
      </c>
      <c r="I3" s="278" t="s">
        <v>85</v>
      </c>
    </row>
    <row r="4" spans="1:9" s="56" customFormat="1" ht="18.75" customHeight="1">
      <c r="A4" s="230" t="s">
        <v>86</v>
      </c>
      <c r="B4" s="167" t="s">
        <v>87</v>
      </c>
      <c r="C4" s="279" t="s">
        <v>88</v>
      </c>
      <c r="D4" s="186">
        <f>D80</f>
        <v>3.5113184313725447E-2</v>
      </c>
      <c r="E4" s="169" t="s">
        <v>89</v>
      </c>
      <c r="F4" s="277">
        <f>$H$80</f>
        <v>2.478004842200969E-2</v>
      </c>
      <c r="G4" s="169" t="s">
        <v>90</v>
      </c>
      <c r="H4" s="277">
        <f>2/3*$H$80</f>
        <v>1.6520032281339792E-2</v>
      </c>
      <c r="I4" s="278" t="s">
        <v>91</v>
      </c>
    </row>
    <row r="5" spans="1:9" s="56" customFormat="1" ht="18.75" customHeight="1">
      <c r="A5" s="230" t="s">
        <v>92</v>
      </c>
      <c r="B5" s="167" t="s">
        <v>93</v>
      </c>
      <c r="C5" s="279" t="s">
        <v>94</v>
      </c>
      <c r="D5" s="186">
        <f>(D81+D89)/90%</f>
        <v>0.11642291354445231</v>
      </c>
      <c r="E5" s="281" t="s">
        <v>95</v>
      </c>
      <c r="F5" s="186">
        <f>($H$81+$D$89)/90%</f>
        <v>0.10366474646312379</v>
      </c>
      <c r="G5" s="281" t="s">
        <v>96</v>
      </c>
      <c r="H5" s="186">
        <f>(2/3*$H$81+$D$89)/90%</f>
        <v>9.3466229079681259E-2</v>
      </c>
      <c r="I5" s="282" t="s">
        <v>97</v>
      </c>
    </row>
    <row r="6" spans="1:9" s="56" customFormat="1" ht="18.75" customHeight="1">
      <c r="A6" s="230" t="s">
        <v>98</v>
      </c>
      <c r="B6" s="167" t="s">
        <v>99</v>
      </c>
      <c r="C6" s="279" t="s">
        <v>94</v>
      </c>
      <c r="D6" s="186">
        <f>(D81+D90)/90%</f>
        <v>8.325640485566875E-2</v>
      </c>
      <c r="E6" s="281" t="s">
        <v>100</v>
      </c>
      <c r="F6" s="186">
        <f>($H$81+$D$90)/90%</f>
        <v>7.0498237774340208E-2</v>
      </c>
      <c r="G6" s="281" t="s">
        <v>101</v>
      </c>
      <c r="H6" s="186">
        <f>(2/3*$H$81+$D$90)/90%</f>
        <v>6.029972039089769E-2</v>
      </c>
      <c r="I6" s="282" t="s">
        <v>102</v>
      </c>
    </row>
    <row r="7" spans="1:9" s="56" customFormat="1" ht="18.75" customHeight="1">
      <c r="A7" s="230" t="s">
        <v>103</v>
      </c>
      <c r="B7" s="167" t="s">
        <v>104</v>
      </c>
      <c r="C7" s="279" t="s">
        <v>94</v>
      </c>
      <c r="D7" s="186">
        <f>(D81+D91)/90%</f>
        <v>6.9068727130550261E-2</v>
      </c>
      <c r="E7" s="281" t="s">
        <v>105</v>
      </c>
      <c r="F7" s="186">
        <f>($H$81+$D$91)/90%</f>
        <v>5.6310560049221726E-2</v>
      </c>
      <c r="G7" s="281" t="s">
        <v>106</v>
      </c>
      <c r="H7" s="186">
        <f>(2/3*$H$81+$D$91)/90%</f>
        <v>4.6112042665779202E-2</v>
      </c>
      <c r="I7" s="282" t="s">
        <v>107</v>
      </c>
    </row>
    <row r="8" spans="1:9" s="56" customFormat="1" ht="18.75" customHeight="1">
      <c r="A8" s="230" t="s">
        <v>108</v>
      </c>
      <c r="B8" s="167" t="s">
        <v>109</v>
      </c>
      <c r="C8" s="279" t="s">
        <v>94</v>
      </c>
      <c r="D8" s="186">
        <f>70%*D81</f>
        <v>2.7312843115943342E-2</v>
      </c>
      <c r="E8" s="281" t="s">
        <v>110</v>
      </c>
      <c r="F8" s="186">
        <f>70%*$H$81</f>
        <v>1.9275197854706373E-2</v>
      </c>
      <c r="G8" s="169" t="s">
        <v>111</v>
      </c>
      <c r="H8" s="186">
        <f>70%*2/3*$H$81</f>
        <v>1.2850131903137579E-2</v>
      </c>
      <c r="I8" s="278" t="s">
        <v>112</v>
      </c>
    </row>
    <row r="9" spans="1:9" s="56" customFormat="1" ht="18.75" customHeight="1">
      <c r="A9" s="230" t="s">
        <v>113</v>
      </c>
      <c r="B9" s="168" t="s">
        <v>114</v>
      </c>
      <c r="C9" s="279" t="s">
        <v>94</v>
      </c>
      <c r="D9" s="186">
        <f>90%*D81</f>
        <v>3.5116512577641444E-2</v>
      </c>
      <c r="E9" s="169" t="s">
        <v>115</v>
      </c>
      <c r="F9" s="277">
        <f>90%*$H$81</f>
        <v>2.4782397241765335E-2</v>
      </c>
      <c r="G9" s="169" t="s">
        <v>116</v>
      </c>
      <c r="H9" s="277">
        <f>90%*2/3*$H$81</f>
        <v>1.652159816117689E-2</v>
      </c>
      <c r="I9" s="278" t="s">
        <v>117</v>
      </c>
    </row>
    <row r="10" spans="1:9" s="56" customFormat="1" ht="18.75" customHeight="1">
      <c r="A10" s="230" t="s">
        <v>118</v>
      </c>
      <c r="B10" s="168" t="s">
        <v>119</v>
      </c>
      <c r="C10" s="279" t="s">
        <v>94</v>
      </c>
      <c r="D10" s="186">
        <f>90%*D81</f>
        <v>3.5116512577641444E-2</v>
      </c>
      <c r="E10" s="169" t="s">
        <v>115</v>
      </c>
      <c r="F10" s="186">
        <f>90%*$H$83</f>
        <v>2.6513497877263197E-2</v>
      </c>
      <c r="G10" s="169" t="s">
        <v>120</v>
      </c>
      <c r="H10" s="186">
        <f>90%*2/3*$H$83</f>
        <v>1.7675665251508797E-2</v>
      </c>
      <c r="I10" s="278" t="s">
        <v>121</v>
      </c>
    </row>
    <row r="11" spans="1:9" s="56" customFormat="1" ht="18.75" customHeight="1">
      <c r="A11" s="230" t="s">
        <v>122</v>
      </c>
      <c r="B11" s="167" t="s">
        <v>123</v>
      </c>
      <c r="C11" s="279" t="s">
        <v>94</v>
      </c>
      <c r="D11" s="186">
        <f>D81+D91</f>
        <v>6.2161854417495235E-2</v>
      </c>
      <c r="E11" s="281" t="s">
        <v>124</v>
      </c>
      <c r="F11" s="186">
        <f>$H$81+$D$91</f>
        <v>5.0679504044299557E-2</v>
      </c>
      <c r="G11" s="281" t="s">
        <v>125</v>
      </c>
      <c r="H11" s="186">
        <f>2/3*$H$81+$D$91</f>
        <v>4.1500838399201281E-2</v>
      </c>
      <c r="I11" s="282" t="s">
        <v>126</v>
      </c>
    </row>
    <row r="12" spans="1:9" s="56" customFormat="1" ht="18.75" customHeight="1">
      <c r="A12" s="230" t="s">
        <v>127</v>
      </c>
      <c r="B12" s="167" t="s">
        <v>128</v>
      </c>
      <c r="C12" s="279" t="s">
        <v>129</v>
      </c>
      <c r="D12" s="186">
        <f>(D75+0.62*(D81+D89)/90%)/(1+0.62)</f>
        <v>0.10469864048685365</v>
      </c>
      <c r="E12" s="281" t="s">
        <v>130</v>
      </c>
      <c r="F12" s="186">
        <f>(H75+0.62*(H81+H89)/90%)/(1+0.62)</f>
        <v>8.5514184448849839E-2</v>
      </c>
      <c r="G12" s="169" t="s">
        <v>131</v>
      </c>
      <c r="H12" s="186">
        <f>(2/3*H75+0.62*(2/3*H81+H89)/90%)/(1+0.62)</f>
        <v>6.6331040758890361E-2</v>
      </c>
      <c r="I12" s="278" t="s">
        <v>132</v>
      </c>
    </row>
    <row r="13" spans="1:9" s="56" customFormat="1" ht="18.75" customHeight="1">
      <c r="A13" s="230" t="s">
        <v>133</v>
      </c>
      <c r="B13" s="167" t="s">
        <v>128</v>
      </c>
      <c r="C13" s="279" t="s">
        <v>129</v>
      </c>
      <c r="D13" s="186">
        <f>(D75+0.76*(D81+D89)/90%)/(1+0.76)</f>
        <v>0.10563125311643538</v>
      </c>
      <c r="E13" s="281" t="s">
        <v>130</v>
      </c>
      <c r="F13" s="186">
        <f>(H75+0.76*(H81+H89)/90%)/(1+0.76)</f>
        <v>8.6957979154530726E-2</v>
      </c>
      <c r="G13" s="169" t="s">
        <v>131</v>
      </c>
      <c r="H13" s="186">
        <f>(2/3*H75+0.76*(2/3*H81+H89)/90%)/(1+0.76)</f>
        <v>6.8489521648044172E-2</v>
      </c>
      <c r="I13" s="278" t="s">
        <v>132</v>
      </c>
    </row>
    <row r="14" spans="1:9" s="56" customFormat="1" ht="18.75" customHeight="1">
      <c r="A14" s="230" t="s">
        <v>134</v>
      </c>
      <c r="B14" s="167" t="s">
        <v>135</v>
      </c>
      <c r="C14" s="279" t="s">
        <v>129</v>
      </c>
      <c r="D14" s="186">
        <f>(D75+0.62*(D81+D90)/90%)/(1+0.62)</f>
        <v>9.2005285309664883E-2</v>
      </c>
      <c r="E14" s="281" t="s">
        <v>136</v>
      </c>
      <c r="F14" s="186">
        <f>(H75+0.62*(H81+H90)/90%)/(1+0.62)</f>
        <v>7.2820829271661058E-2</v>
      </c>
      <c r="G14" s="169" t="s">
        <v>137</v>
      </c>
      <c r="H14" s="186">
        <f>(2/3*H75+0.62*(2/3*H81+H90)/90%)/(1+0.62)</f>
        <v>5.3637685581701573E-2</v>
      </c>
      <c r="I14" s="278" t="s">
        <v>132</v>
      </c>
    </row>
    <row r="15" spans="1:9" s="56" customFormat="1" ht="18.75" customHeight="1">
      <c r="A15" s="230" t="s">
        <v>138</v>
      </c>
      <c r="B15" s="167" t="s">
        <v>139</v>
      </c>
      <c r="C15" s="279" t="s">
        <v>129</v>
      </c>
      <c r="D15" s="186">
        <f>(D$75+0.29*(D$81+D$91)/90%)/(1+0.29)</f>
        <v>9.1053893068993863E-2</v>
      </c>
      <c r="E15" s="169" t="s">
        <v>140</v>
      </c>
      <c r="F15" s="186">
        <f>(H$75+0.29*(H$81+H$91)/90%)/(1+0.29)</f>
        <v>7.0225502646724267E-2</v>
      </c>
      <c r="G15" s="169" t="s">
        <v>141</v>
      </c>
      <c r="H15" s="186">
        <f>(2/3*H$75+0.29*(2/3*H$81+H$91)/90%)/(1+0.29)</f>
        <v>4.8743966180679041E-2</v>
      </c>
      <c r="I15" s="278" t="s">
        <v>132</v>
      </c>
    </row>
    <row r="16" spans="1:9" s="56" customFormat="1" ht="18.75" customHeight="1">
      <c r="A16" s="230" t="s">
        <v>142</v>
      </c>
      <c r="B16" s="167" t="s">
        <v>139</v>
      </c>
      <c r="C16" s="279" t="s">
        <v>129</v>
      </c>
      <c r="D16" s="186">
        <f>(D$75+0.62*(D$81+D$91)/90%)/(1+0.62)</f>
        <v>8.6575433340792388E-2</v>
      </c>
      <c r="E16" s="169" t="s">
        <v>140</v>
      </c>
      <c r="F16" s="186">
        <f>(H$75+0.62*(H$81+H$91)/90%)/(1+0.62)</f>
        <v>6.7390977302788563E-2</v>
      </c>
      <c r="G16" s="169" t="s">
        <v>141</v>
      </c>
      <c r="H16" s="186">
        <f>(2/3*H$75+0.62*(2/3*H$81+H$91)/90%)/(1+0.62)</f>
        <v>4.8207833612829071E-2</v>
      </c>
      <c r="I16" s="278" t="s">
        <v>132</v>
      </c>
    </row>
    <row r="17" spans="1:9" s="56" customFormat="1" ht="18.75" customHeight="1">
      <c r="A17" s="230" t="s">
        <v>143</v>
      </c>
      <c r="B17" s="167" t="s">
        <v>139</v>
      </c>
      <c r="C17" s="279" t="s">
        <v>129</v>
      </c>
      <c r="D17" s="186">
        <f>(D$75+0.64*(D$81+D$91)/90%)/(1+0.64)</f>
        <v>8.6361936923594312E-2</v>
      </c>
      <c r="E17" s="169" t="s">
        <v>140</v>
      </c>
      <c r="F17" s="186">
        <f>(H$75+0.64*(H$81+H$91)/90%)/(1+0.64)</f>
        <v>6.7255850263110914E-2</v>
      </c>
      <c r="G17" s="169" t="s">
        <v>141</v>
      </c>
      <c r="H17" s="186">
        <f>(2/3*H$75+0.64*(2/3*H$81+H$91)/90%)/(1+0.64)</f>
        <v>4.8182275186645536E-2</v>
      </c>
      <c r="I17" s="278" t="s">
        <v>132</v>
      </c>
    </row>
    <row r="18" spans="1:9" s="56" customFormat="1" ht="18.75" customHeight="1">
      <c r="A18" s="230" t="s">
        <v>144</v>
      </c>
      <c r="B18" s="167" t="s">
        <v>139</v>
      </c>
      <c r="C18" s="279" t="s">
        <v>129</v>
      </c>
      <c r="D18" s="186">
        <f>(D$75+1.13*(D$81+D$91)/90%)/(1+1.13)</f>
        <v>8.2383686783410473E-2</v>
      </c>
      <c r="E18" s="169" t="s">
        <v>140</v>
      </c>
      <c r="F18" s="186">
        <f>(H$75+1.13*(H$81+H$91)/90%)/(1+1.13)</f>
        <v>6.4737919650526082E-2</v>
      </c>
      <c r="G18" s="169" t="s">
        <v>141</v>
      </c>
      <c r="H18" s="186">
        <f>(2/3*H$75+1.13*(2/3*H$81+H$91)/90%)/(1+1.13)</f>
        <v>4.7706024512831215E-2</v>
      </c>
      <c r="I18" s="278" t="s">
        <v>132</v>
      </c>
    </row>
    <row r="19" spans="1:9" s="56" customFormat="1" ht="18.600000000000001" customHeight="1">
      <c r="A19" s="230" t="s">
        <v>145</v>
      </c>
      <c r="B19" s="167" t="s">
        <v>146</v>
      </c>
      <c r="C19" s="279" t="s">
        <v>146</v>
      </c>
      <c r="D19" s="186">
        <f>(0.29+49*D80)/39.32</f>
        <v>5.1132910258711771E-2</v>
      </c>
      <c r="E19" s="169" t="s">
        <v>147</v>
      </c>
      <c r="F19" s="277">
        <f>(0.29+49*$H$80)/39.32</f>
        <v>3.8255909783277593E-2</v>
      </c>
      <c r="G19" s="169" t="s">
        <v>148</v>
      </c>
      <c r="H19" s="277">
        <f>(0.29+2/3*49*$H$80)/39.32</f>
        <v>2.796240035060147E-2</v>
      </c>
      <c r="I19" s="278" t="s">
        <v>149</v>
      </c>
    </row>
    <row r="20" spans="1:9" s="56" customFormat="1" ht="18.75" customHeight="1">
      <c r="A20" s="230" t="s">
        <v>150</v>
      </c>
      <c r="B20" s="167" t="s">
        <v>151</v>
      </c>
      <c r="C20" s="279" t="s">
        <v>151</v>
      </c>
      <c r="D20" s="186">
        <f>D85</f>
        <v>69.147599999999997</v>
      </c>
      <c r="E20" s="169" t="s">
        <v>152</v>
      </c>
      <c r="F20" s="277">
        <f>$H$85</f>
        <v>138.19744602414599</v>
      </c>
      <c r="G20" s="169" t="s">
        <v>153</v>
      </c>
      <c r="H20" s="277">
        <f>2/3*$H$85</f>
        <v>92.131630682763983</v>
      </c>
      <c r="I20" s="278" t="s">
        <v>154</v>
      </c>
    </row>
    <row r="21" spans="1:9" s="56" customFormat="1" ht="18.75" customHeight="1">
      <c r="A21" s="230" t="s">
        <v>155</v>
      </c>
      <c r="B21" s="167" t="s">
        <v>156</v>
      </c>
      <c r="C21" s="279" t="s">
        <v>151</v>
      </c>
      <c r="D21" s="186">
        <f>D85*D84</f>
        <v>24.893135999999998</v>
      </c>
      <c r="E21" s="169" t="s">
        <v>157</v>
      </c>
      <c r="F21" s="277">
        <f>F56*H84</f>
        <v>49.751080568692558</v>
      </c>
      <c r="G21" s="169" t="s">
        <v>158</v>
      </c>
      <c r="H21" s="277">
        <f>2/3*F56*H84</f>
        <v>33.167387045795031</v>
      </c>
      <c r="I21" s="278" t="s">
        <v>159</v>
      </c>
    </row>
    <row r="22" spans="1:9" s="56" customFormat="1" ht="18.75" customHeight="1">
      <c r="A22" s="230" t="s">
        <v>160</v>
      </c>
      <c r="B22" s="167" t="s">
        <v>161</v>
      </c>
      <c r="C22" s="279" t="s">
        <v>162</v>
      </c>
      <c r="D22" s="186">
        <f>D81/D94*1000 - 2/3 * 1000*D74/D95</f>
        <v>75.212223610123957</v>
      </c>
      <c r="E22" s="283" t="s">
        <v>163</v>
      </c>
      <c r="F22" s="277">
        <f>H81/D94*1000 - 2/3 * 1000*H75/D95</f>
        <v>41.235828290945946</v>
      </c>
      <c r="G22" s="283" t="s">
        <v>164</v>
      </c>
      <c r="H22" s="277">
        <f>(2/3 * H81)/D94*1000 - 2/3 * 1000*(2/3 * H75)/D95</f>
        <v>27.490552193963943</v>
      </c>
      <c r="I22" s="284" t="s">
        <v>165</v>
      </c>
    </row>
    <row r="23" spans="1:9" s="56" customFormat="1" ht="18.75" customHeight="1">
      <c r="A23" s="230">
        <v>36</v>
      </c>
      <c r="B23" s="167" t="s">
        <v>166</v>
      </c>
      <c r="C23" s="279" t="s">
        <v>167</v>
      </c>
      <c r="D23" s="186">
        <f>D92</f>
        <v>8.7727083783542478E-2</v>
      </c>
      <c r="E23" s="283" t="s">
        <v>168</v>
      </c>
      <c r="F23" s="186">
        <f>H92</f>
        <v>9.3661470778602887E-2</v>
      </c>
      <c r="G23" s="283" t="s">
        <v>169</v>
      </c>
      <c r="H23" s="277">
        <f>2/3 * H92</f>
        <v>6.2440980519068587E-2</v>
      </c>
      <c r="I23" s="284" t="s">
        <v>170</v>
      </c>
    </row>
    <row r="24" spans="1:9" s="56" customFormat="1" ht="18.75" customHeight="1">
      <c r="A24" s="230" t="s">
        <v>171</v>
      </c>
      <c r="B24" s="167" t="s">
        <v>172</v>
      </c>
      <c r="C24" s="279" t="s">
        <v>167</v>
      </c>
      <c r="D24" s="186">
        <f>0.57*D92+0.43*D93</f>
        <v>8.6728228013079917E-2</v>
      </c>
      <c r="E24" s="283" t="s">
        <v>173</v>
      </c>
      <c r="F24" s="186">
        <f>0.57*H92+0.43*H93</f>
        <v>9.1319974253430622E-2</v>
      </c>
      <c r="G24" s="283" t="s">
        <v>174</v>
      </c>
      <c r="H24" s="277">
        <f>2/3*(0.57*H92+0.43*H93)</f>
        <v>6.0879982835620412E-2</v>
      </c>
      <c r="I24" s="284" t="s">
        <v>175</v>
      </c>
    </row>
    <row r="25" spans="1:9" s="56" customFormat="1" ht="18.75" customHeight="1">
      <c r="A25" s="230" t="s">
        <v>176</v>
      </c>
      <c r="B25" s="167" t="s">
        <v>177</v>
      </c>
      <c r="C25" s="279" t="s">
        <v>21</v>
      </c>
      <c r="D25" s="277">
        <f>3.48*D81</f>
        <v>0.13578384863354692</v>
      </c>
      <c r="E25" s="283" t="s">
        <v>178</v>
      </c>
      <c r="F25" s="277">
        <f>3.48*H81</f>
        <v>9.5825269334825963E-2</v>
      </c>
      <c r="G25" s="283" t="s">
        <v>179</v>
      </c>
      <c r="H25" s="277">
        <f>3.48*2/3*H81</f>
        <v>6.3883512889883975E-2</v>
      </c>
      <c r="I25" s="284" t="s">
        <v>180</v>
      </c>
    </row>
    <row r="26" spans="1:9" s="56" customFormat="1" ht="18.75" customHeight="1">
      <c r="A26" s="230" t="s">
        <v>181</v>
      </c>
      <c r="B26" s="167" t="s">
        <v>182</v>
      </c>
      <c r="C26" s="279" t="s">
        <v>88</v>
      </c>
      <c r="D26" s="277">
        <f>D81</f>
        <v>3.9018347308490492E-2</v>
      </c>
      <c r="E26" s="283" t="s">
        <v>183</v>
      </c>
      <c r="F26" s="277">
        <f>H81</f>
        <v>2.7535996935294817E-2</v>
      </c>
      <c r="G26" s="283" t="s">
        <v>184</v>
      </c>
      <c r="H26" s="277">
        <f>2/3*H81</f>
        <v>1.8357331290196545E-2</v>
      </c>
      <c r="I26" s="284" t="s">
        <v>185</v>
      </c>
    </row>
    <row r="27" spans="1:9" s="56" customFormat="1" ht="18.75" customHeight="1">
      <c r="A27" s="230">
        <v>40</v>
      </c>
      <c r="B27" s="167" t="s">
        <v>186</v>
      </c>
      <c r="C27" s="279" t="s">
        <v>167</v>
      </c>
      <c r="D27" s="186">
        <f>D81+0.00319</f>
        <v>4.220834730849049E-2</v>
      </c>
      <c r="E27" s="219" t="s">
        <v>187</v>
      </c>
      <c r="F27" s="333">
        <f>H81+0.00319</f>
        <v>3.0725996935294819E-2</v>
      </c>
      <c r="G27" s="219" t="s">
        <v>188</v>
      </c>
      <c r="H27" s="333">
        <f>2/3*H81+0.00319</f>
        <v>2.1547331290196543E-2</v>
      </c>
      <c r="I27" s="278" t="s">
        <v>189</v>
      </c>
    </row>
    <row r="28" spans="1:9" s="56" customFormat="1" ht="18.75" customHeight="1">
      <c r="A28" s="230" t="s">
        <v>190</v>
      </c>
      <c r="B28" s="167" t="s">
        <v>191</v>
      </c>
      <c r="C28" s="218" t="s">
        <v>167</v>
      </c>
      <c r="D28" s="334">
        <f>0.3*D92+0.7*D93</f>
        <v>8.6101039506045307E-2</v>
      </c>
      <c r="E28" s="219" t="s">
        <v>192</v>
      </c>
      <c r="F28" s="334">
        <f>0.3*H92+0.7*H93</f>
        <v>8.984973224925269E-2</v>
      </c>
      <c r="G28" s="219" t="s">
        <v>193</v>
      </c>
      <c r="H28" s="334">
        <f>2/3*(0.3*H92+0.7*H93)</f>
        <v>5.9899821499501793E-2</v>
      </c>
      <c r="I28" s="278" t="s">
        <v>194</v>
      </c>
    </row>
    <row r="29" spans="1:9" s="56" customFormat="1" ht="18.75" customHeight="1">
      <c r="A29" s="230">
        <v>43</v>
      </c>
      <c r="B29" s="168" t="s">
        <v>195</v>
      </c>
      <c r="C29" s="171" t="s">
        <v>151</v>
      </c>
      <c r="D29" s="334">
        <v>0</v>
      </c>
      <c r="E29" s="335" t="s">
        <v>196</v>
      </c>
      <c r="F29" s="334">
        <v>0</v>
      </c>
      <c r="G29" s="335" t="s">
        <v>196</v>
      </c>
      <c r="H29" s="333">
        <v>0</v>
      </c>
      <c r="I29" s="286" t="s">
        <v>196</v>
      </c>
    </row>
    <row r="30" spans="1:9" s="56" customFormat="1" ht="18.75" customHeight="1">
      <c r="A30" s="230" t="s">
        <v>197</v>
      </c>
      <c r="B30" s="168" t="s">
        <v>198</v>
      </c>
      <c r="C30" s="218" t="s">
        <v>162</v>
      </c>
      <c r="D30" s="334">
        <f>D81/D94*1000 - 2/3 * 1000*D74/D95 + D99</f>
        <v>90.212223610123957</v>
      </c>
      <c r="E30" s="336" t="s">
        <v>199</v>
      </c>
      <c r="F30" s="333">
        <f>H81/D94*1000 - 2/3 * 1000*H75/D95 + D99</f>
        <v>56.235828290945946</v>
      </c>
      <c r="G30" s="336" t="s">
        <v>200</v>
      </c>
      <c r="H30" s="333">
        <f>(2/3 * H81)/D94*1000 - 2/3 * 1000*(2/3 * H75)/D95 + D99</f>
        <v>42.490552193963943</v>
      </c>
      <c r="I30" s="284" t="s">
        <v>201</v>
      </c>
    </row>
    <row r="31" spans="1:9" s="56" customFormat="1" ht="18.75" customHeight="1">
      <c r="A31" s="230" t="s">
        <v>202</v>
      </c>
      <c r="B31" s="168" t="s">
        <v>203</v>
      </c>
      <c r="C31" s="218" t="s">
        <v>162</v>
      </c>
      <c r="D31" s="334">
        <f>D81/D94*1000 - 0.9 * 1000*D74/D95 + D100</f>
        <v>50.762322114307636</v>
      </c>
      <c r="E31" s="336" t="s">
        <v>204</v>
      </c>
      <c r="F31" s="333">
        <f>H81/D94*1000 - 0.9 * 1000*H75/D95 + H100</f>
        <v>26.367424131693269</v>
      </c>
      <c r="G31" s="336" t="s">
        <v>205</v>
      </c>
      <c r="H31" s="333">
        <f>(2/3 * H81)/D94*1000 - 0.9 * 1000*(2/3 * H75)/D95 + (2/3 * H100)</f>
        <v>17.578282754462165</v>
      </c>
      <c r="I31" s="284" t="s">
        <v>206</v>
      </c>
    </row>
    <row r="32" spans="1:9" s="56" customFormat="1" ht="18.75" customHeight="1">
      <c r="A32" s="230" t="s">
        <v>207</v>
      </c>
      <c r="B32" s="167" t="s">
        <v>208</v>
      </c>
      <c r="C32" s="218" t="s">
        <v>21</v>
      </c>
      <c r="D32" s="399">
        <f>D75*D77</f>
        <v>7.989226477673686E-2</v>
      </c>
      <c r="E32" s="219" t="s">
        <v>209</v>
      </c>
      <c r="F32" s="403">
        <f>$H$75*$H$77</f>
        <v>5.74487631762408E-2</v>
      </c>
      <c r="G32" s="219" t="s">
        <v>210</v>
      </c>
      <c r="H32" s="403">
        <f>2/3*$H$75*$H$77</f>
        <v>3.82991754508272E-2</v>
      </c>
      <c r="I32" s="278" t="s">
        <v>211</v>
      </c>
    </row>
    <row r="33" spans="1:11" s="56" customFormat="1" ht="18.75" customHeight="1">
      <c r="A33" s="230" t="s">
        <v>212</v>
      </c>
      <c r="B33" s="167" t="s">
        <v>213</v>
      </c>
      <c r="C33" s="279" t="s">
        <v>21</v>
      </c>
      <c r="D33" s="400">
        <f>D74*D79</f>
        <v>6.7515027128995403E-2</v>
      </c>
      <c r="E33" s="219" t="s">
        <v>214</v>
      </c>
      <c r="F33" s="400">
        <f>$H$75*$H$79</f>
        <v>7.0998378228104411E-2</v>
      </c>
      <c r="G33" s="169" t="s">
        <v>215</v>
      </c>
      <c r="H33" s="402">
        <v>3.4594576336943413E-2</v>
      </c>
      <c r="I33" s="278" t="s">
        <v>216</v>
      </c>
    </row>
    <row r="34" spans="1:11" s="56" customFormat="1" ht="18.75" customHeight="1">
      <c r="A34" s="230" t="s">
        <v>217</v>
      </c>
      <c r="B34" s="167" t="s">
        <v>218</v>
      </c>
      <c r="C34" s="218" t="s">
        <v>21</v>
      </c>
      <c r="D34" s="399">
        <f>D75*D79</f>
        <v>7.2585045437401172E-2</v>
      </c>
      <c r="E34" s="219" t="s">
        <v>219</v>
      </c>
      <c r="F34" s="403">
        <f>$H$75*$H$79</f>
        <v>7.0998378228104411E-2</v>
      </c>
      <c r="G34" s="219" t="s">
        <v>220</v>
      </c>
      <c r="H34" s="403">
        <f>2/3*$H$75*$H$79</f>
        <v>4.7332252152069605E-2</v>
      </c>
      <c r="I34" s="278" t="s">
        <v>221</v>
      </c>
      <c r="K34" s="280"/>
    </row>
    <row r="35" spans="1:11" s="56" customFormat="1" ht="18.75" customHeight="1">
      <c r="A35" s="230" t="s">
        <v>222</v>
      </c>
      <c r="B35" s="167" t="s">
        <v>223</v>
      </c>
      <c r="C35" s="279" t="s">
        <v>21</v>
      </c>
      <c r="D35" s="399">
        <f>D74*D78+D88+D86</f>
        <v>0.11239515553082188</v>
      </c>
      <c r="E35" s="169" t="s">
        <v>224</v>
      </c>
      <c r="F35" s="399">
        <f>$H$75*$H$79+$D$88+$H$86</f>
        <v>0.13037837822810441</v>
      </c>
      <c r="G35" s="219" t="s">
        <v>225</v>
      </c>
      <c r="H35" s="403"/>
      <c r="I35" s="278"/>
      <c r="K35" s="280"/>
    </row>
    <row r="36" spans="1:11" s="56" customFormat="1" ht="18.75" customHeight="1">
      <c r="A36" s="230" t="s">
        <v>226</v>
      </c>
      <c r="B36" s="167" t="s">
        <v>227</v>
      </c>
      <c r="C36" s="218" t="s">
        <v>21</v>
      </c>
      <c r="D36" s="399">
        <f>D75*D79+D88+D86</f>
        <v>0.13196504543740117</v>
      </c>
      <c r="E36" s="219" t="s">
        <v>228</v>
      </c>
      <c r="F36" s="403">
        <f>$H$75*$H$79+$D$88+$H$86</f>
        <v>0.13037837822810441</v>
      </c>
      <c r="G36" s="219" t="s">
        <v>225</v>
      </c>
      <c r="H36" s="403">
        <f>2/3*$H$75*$H$79+$D$88+$H$86</f>
        <v>0.1067122521520696</v>
      </c>
      <c r="I36" s="278" t="s">
        <v>229</v>
      </c>
    </row>
    <row r="37" spans="1:11" s="56" customFormat="1" ht="18.75" customHeight="1" thickBot="1">
      <c r="A37" s="231" t="s">
        <v>230</v>
      </c>
      <c r="B37" s="172" t="s">
        <v>231</v>
      </c>
      <c r="C37" s="287" t="s">
        <v>21</v>
      </c>
      <c r="D37" s="401">
        <f>D75*D79+D88</f>
        <v>0.11126504543740118</v>
      </c>
      <c r="E37" s="337" t="s">
        <v>232</v>
      </c>
      <c r="F37" s="404">
        <f>$H$75*$H$79+$D$88</f>
        <v>0.10967837822810442</v>
      </c>
      <c r="G37" s="337" t="s">
        <v>233</v>
      </c>
      <c r="H37" s="404">
        <f>2/3*$H$75*$H$79+$D$88</f>
        <v>8.6012252152069604E-2</v>
      </c>
      <c r="I37" s="338" t="s">
        <v>234</v>
      </c>
    </row>
    <row r="38" spans="1:11" s="56" customFormat="1" ht="18.75" customHeight="1" thickBot="1">
      <c r="A38" s="57"/>
      <c r="D38" s="58"/>
      <c r="E38" s="59"/>
      <c r="F38" s="58"/>
      <c r="G38" s="59"/>
      <c r="H38" s="60"/>
      <c r="I38" s="59"/>
    </row>
    <row r="39" spans="1:11" s="56" customFormat="1" ht="18.75" customHeight="1">
      <c r="A39" s="142" t="s">
        <v>235</v>
      </c>
      <c r="B39" s="151"/>
      <c r="C39" s="288"/>
      <c r="D39" s="144" t="str">
        <f>+"Voorlopige correcties "&amp;Colofon!$C$29</f>
        <v>Voorlopige correcties 2026</v>
      </c>
      <c r="E39" s="289"/>
      <c r="F39" s="414" t="str">
        <f>+"Langetermijnprijs SDE++ "&amp;Colofon!$C$29&amp;" (t.b.v. rangschikking)"</f>
        <v>Langetermijnprijs SDE++ 2026 (t.b.v. rangschikking)</v>
      </c>
      <c r="G39" s="428"/>
    </row>
    <row r="40" spans="1:11" s="56" customFormat="1" ht="18.75" customHeight="1">
      <c r="A40" s="145" t="s">
        <v>76</v>
      </c>
      <c r="B40" s="146" t="s">
        <v>77</v>
      </c>
      <c r="C40" s="290" t="s">
        <v>236</v>
      </c>
      <c r="D40" s="146" t="s">
        <v>79</v>
      </c>
      <c r="E40" s="291" t="s">
        <v>237</v>
      </c>
      <c r="F40" s="148" t="s">
        <v>79</v>
      </c>
      <c r="G40" s="150" t="s">
        <v>80</v>
      </c>
    </row>
    <row r="41" spans="1:11" s="56" customFormat="1" ht="18.600000000000001" customHeight="1">
      <c r="A41" s="230" t="s">
        <v>207</v>
      </c>
      <c r="B41" s="167" t="s">
        <v>238</v>
      </c>
      <c r="C41" s="292" t="s">
        <v>239</v>
      </c>
      <c r="D41" s="186">
        <f>$D$96</f>
        <v>2E-3</v>
      </c>
      <c r="E41" s="293" t="s">
        <v>240</v>
      </c>
      <c r="F41" s="186">
        <f>$D$96</f>
        <v>2E-3</v>
      </c>
      <c r="G41" s="170" t="s">
        <v>241</v>
      </c>
    </row>
    <row r="42" spans="1:11" s="56" customFormat="1" ht="18.600000000000001" customHeight="1">
      <c r="A42" s="230" t="s">
        <v>212</v>
      </c>
      <c r="B42" s="167" t="s">
        <v>242</v>
      </c>
      <c r="C42" s="292" t="s">
        <v>239</v>
      </c>
      <c r="D42" s="186">
        <f>$D$96</f>
        <v>2E-3</v>
      </c>
      <c r="E42" s="293" t="s">
        <v>240</v>
      </c>
      <c r="F42" s="186">
        <f>$D$96</f>
        <v>2E-3</v>
      </c>
      <c r="G42" s="170" t="s">
        <v>241</v>
      </c>
    </row>
    <row r="43" spans="1:11" s="56" customFormat="1" ht="18.600000000000001" customHeight="1">
      <c r="A43" s="230" t="s">
        <v>217</v>
      </c>
      <c r="B43" s="167" t="s">
        <v>242</v>
      </c>
      <c r="C43" s="292" t="s">
        <v>239</v>
      </c>
      <c r="D43" s="186">
        <f>$D$96</f>
        <v>2E-3</v>
      </c>
      <c r="E43" s="293" t="s">
        <v>240</v>
      </c>
      <c r="F43" s="186">
        <f>$D$96</f>
        <v>2E-3</v>
      </c>
      <c r="G43" s="170" t="s">
        <v>241</v>
      </c>
    </row>
    <row r="44" spans="1:11" s="56" customFormat="1" ht="18.75" customHeight="1" thickBot="1">
      <c r="A44" s="231">
        <v>13</v>
      </c>
      <c r="B44" s="172" t="s">
        <v>87</v>
      </c>
      <c r="C44" s="294" t="s">
        <v>239</v>
      </c>
      <c r="D44" s="187">
        <f>$D$102</f>
        <v>1.554438048E-2</v>
      </c>
      <c r="E44" s="295" t="s">
        <v>243</v>
      </c>
      <c r="F44" s="187">
        <f>$D$102</f>
        <v>1.554438048E-2</v>
      </c>
      <c r="G44" s="176" t="s">
        <v>241</v>
      </c>
    </row>
    <row r="45" spans="1:11" ht="18.75" customHeight="1" thickBot="1"/>
    <row r="46" spans="1:11" s="56" customFormat="1" ht="18.75" customHeight="1">
      <c r="A46" s="142" t="s">
        <v>244</v>
      </c>
      <c r="B46" s="151"/>
      <c r="C46" s="288"/>
      <c r="D46" s="144" t="str">
        <f>+"Voorlopige correcties "&amp;Colofon!$C$29</f>
        <v>Voorlopige correcties 2026</v>
      </c>
      <c r="E46" s="152"/>
      <c r="F46" s="414" t="str">
        <f>+"Langetermijnprijs SDE++ "&amp;Colofon!$C$29&amp;" (t.b.v. rangschikking)"</f>
        <v>Langetermijnprijs SDE++ 2026 (t.b.v. rangschikking)</v>
      </c>
      <c r="G46" s="428"/>
    </row>
    <row r="47" spans="1:11" s="56" customFormat="1" ht="18.75" customHeight="1">
      <c r="A47" s="145" t="s">
        <v>76</v>
      </c>
      <c r="B47" s="146" t="s">
        <v>77</v>
      </c>
      <c r="C47" s="290" t="s">
        <v>236</v>
      </c>
      <c r="D47" s="146" t="s">
        <v>79</v>
      </c>
      <c r="E47" s="153" t="s">
        <v>237</v>
      </c>
      <c r="F47" s="148" t="s">
        <v>79</v>
      </c>
      <c r="G47" s="150" t="s">
        <v>80</v>
      </c>
    </row>
    <row r="48" spans="1:11" s="56" customFormat="1" ht="18.75" customHeight="1">
      <c r="A48" s="230">
        <v>36</v>
      </c>
      <c r="B48" s="167" t="s">
        <v>166</v>
      </c>
      <c r="C48" s="285" t="s">
        <v>245</v>
      </c>
      <c r="D48" s="186">
        <f>$D$97</f>
        <v>8.3262549800796962E-2</v>
      </c>
      <c r="E48" s="174" t="s">
        <v>245</v>
      </c>
      <c r="F48" s="186">
        <f>$D$97</f>
        <v>8.3262549800796962E-2</v>
      </c>
      <c r="G48" s="170" t="s">
        <v>241</v>
      </c>
    </row>
    <row r="49" spans="1:17" s="56" customFormat="1" ht="18.75" customHeight="1">
      <c r="A49" s="230">
        <v>37</v>
      </c>
      <c r="B49" s="167" t="s">
        <v>172</v>
      </c>
      <c r="C49" s="285" t="s">
        <v>245</v>
      </c>
      <c r="D49" s="186">
        <f>$D$97</f>
        <v>8.3262549800796962E-2</v>
      </c>
      <c r="E49" s="174" t="s">
        <v>245</v>
      </c>
      <c r="F49" s="186">
        <f>$D$97</f>
        <v>8.3262549800796962E-2</v>
      </c>
      <c r="G49" s="170" t="s">
        <v>241</v>
      </c>
    </row>
    <row r="50" spans="1:17" s="56" customFormat="1" ht="18.75" customHeight="1">
      <c r="A50" s="230">
        <v>40</v>
      </c>
      <c r="B50" s="167" t="s">
        <v>186</v>
      </c>
      <c r="C50" s="285" t="s">
        <v>245</v>
      </c>
      <c r="D50" s="186">
        <f>$D$97</f>
        <v>8.3262549800796962E-2</v>
      </c>
      <c r="E50" s="174" t="s">
        <v>245</v>
      </c>
      <c r="F50" s="186">
        <f>$D$97</f>
        <v>8.3262549800796962E-2</v>
      </c>
      <c r="G50" s="170" t="s">
        <v>241</v>
      </c>
    </row>
    <row r="51" spans="1:17" s="56" customFormat="1" ht="18.75" customHeight="1" thickBot="1">
      <c r="A51" s="231">
        <v>42</v>
      </c>
      <c r="B51" s="172" t="s">
        <v>191</v>
      </c>
      <c r="C51" s="296" t="s">
        <v>245</v>
      </c>
      <c r="D51" s="187">
        <f>$D$97</f>
        <v>8.3262549800796962E-2</v>
      </c>
      <c r="E51" s="175" t="s">
        <v>245</v>
      </c>
      <c r="F51" s="187">
        <f>$D$97</f>
        <v>8.3262549800796962E-2</v>
      </c>
      <c r="G51" s="176" t="s">
        <v>241</v>
      </c>
    </row>
    <row r="52" spans="1:17" s="56" customFormat="1" ht="18.75" customHeight="1" thickBot="1">
      <c r="A52" s="63"/>
      <c r="B52" s="64"/>
      <c r="C52" s="63"/>
      <c r="D52" s="65"/>
      <c r="E52" s="66"/>
      <c r="F52" s="65"/>
      <c r="I52" s="59"/>
    </row>
    <row r="53" spans="1:17" s="56" customFormat="1" ht="18.75" customHeight="1">
      <c r="A53" s="142" t="s">
        <v>246</v>
      </c>
      <c r="B53" s="151"/>
      <c r="C53" s="288"/>
      <c r="D53" s="144" t="str">
        <f>+"Voorlopige correcties "&amp;Colofon!$C$29</f>
        <v>Voorlopige correcties 2026</v>
      </c>
      <c r="E53" s="289"/>
      <c r="F53" s="414" t="str">
        <f>+"Langetermijnprijs SDE++ "&amp;Colofon!$C$29&amp;" (t.b.v. rangschikking)"</f>
        <v>Langetermijnprijs SDE++ 2026 (t.b.v. rangschikking)</v>
      </c>
      <c r="G53" s="428"/>
    </row>
    <row r="54" spans="1:17" s="56" customFormat="1" ht="18.75" customHeight="1">
      <c r="A54" s="145" t="s">
        <v>247</v>
      </c>
      <c r="B54" s="146" t="s">
        <v>77</v>
      </c>
      <c r="C54" s="290" t="s">
        <v>248</v>
      </c>
      <c r="D54" s="146" t="s">
        <v>79</v>
      </c>
      <c r="E54" s="291" t="s">
        <v>237</v>
      </c>
      <c r="F54" s="148" t="s">
        <v>79</v>
      </c>
      <c r="G54" s="150" t="s">
        <v>80</v>
      </c>
    </row>
    <row r="55" spans="1:17" s="56" customFormat="1" ht="18.75" customHeight="1">
      <c r="A55" s="166">
        <v>0</v>
      </c>
      <c r="B55" s="167" t="s">
        <v>249</v>
      </c>
      <c r="C55" s="285"/>
      <c r="D55" s="186">
        <v>0</v>
      </c>
      <c r="E55" s="184">
        <v>0</v>
      </c>
      <c r="F55" s="186">
        <v>0</v>
      </c>
      <c r="G55" s="177">
        <v>0</v>
      </c>
      <c r="Q55" s="59"/>
    </row>
    <row r="56" spans="1:17" s="56" customFormat="1" ht="18.75" customHeight="1">
      <c r="A56" s="230">
        <v>1</v>
      </c>
      <c r="B56" s="167" t="s">
        <v>250</v>
      </c>
      <c r="C56" s="285" t="s">
        <v>251</v>
      </c>
      <c r="D56" s="186">
        <f>D85</f>
        <v>69.147599999999997</v>
      </c>
      <c r="E56" s="184" t="s">
        <v>152</v>
      </c>
      <c r="F56" s="186">
        <f>H85</f>
        <v>138.19744602414599</v>
      </c>
      <c r="G56" s="177" t="s">
        <v>153</v>
      </c>
      <c r="Q56" s="59"/>
    </row>
    <row r="57" spans="1:17" s="56" customFormat="1" ht="18.75" customHeight="1">
      <c r="A57" s="230" t="s">
        <v>252</v>
      </c>
      <c r="B57" s="167" t="s">
        <v>253</v>
      </c>
      <c r="C57" s="285" t="s">
        <v>254</v>
      </c>
      <c r="D57" s="186">
        <f>D102</f>
        <v>1.554438048E-2</v>
      </c>
      <c r="E57" s="184" t="s">
        <v>243</v>
      </c>
      <c r="F57" s="186">
        <f>H102</f>
        <v>3.1066785866228019E-2</v>
      </c>
      <c r="G57" s="177" t="s">
        <v>255</v>
      </c>
      <c r="Q57" s="59"/>
    </row>
    <row r="58" spans="1:17" s="56" customFormat="1" ht="18.75" customHeight="1">
      <c r="A58" s="230" t="s">
        <v>256</v>
      </c>
      <c r="B58" s="167" t="s">
        <v>257</v>
      </c>
      <c r="C58" s="285" t="s">
        <v>254</v>
      </c>
      <c r="D58" s="186">
        <f>($D$102*0.29)/(1+0.29)</f>
        <v>3.4944731311627904E-3</v>
      </c>
      <c r="E58" s="184" t="s">
        <v>258</v>
      </c>
      <c r="F58" s="186">
        <f>($H$102*0.29)/(1+0.29)</f>
        <v>6.9840061249659873E-3</v>
      </c>
      <c r="G58" s="177" t="s">
        <v>259</v>
      </c>
      <c r="M58" s="64"/>
      <c r="Q58" s="297"/>
    </row>
    <row r="59" spans="1:17" s="56" customFormat="1" ht="18.75" customHeight="1">
      <c r="A59" s="230" t="s">
        <v>260</v>
      </c>
      <c r="B59" s="167" t="s">
        <v>257</v>
      </c>
      <c r="C59" s="285" t="s">
        <v>254</v>
      </c>
      <c r="D59" s="186">
        <f>($D$102*0.62)/(1+0.62)</f>
        <v>5.9490838874074071E-3</v>
      </c>
      <c r="E59" s="184" t="s">
        <v>258</v>
      </c>
      <c r="F59" s="186">
        <f>($H$102*0.62)/(1+0.62)</f>
        <v>1.1889757553741586E-2</v>
      </c>
      <c r="G59" s="177" t="s">
        <v>259</v>
      </c>
      <c r="M59" s="64"/>
      <c r="Q59" s="297"/>
    </row>
    <row r="60" spans="1:17" s="56" customFormat="1" ht="18.75" customHeight="1">
      <c r="A60" s="230" t="s">
        <v>261</v>
      </c>
      <c r="B60" s="167" t="s">
        <v>257</v>
      </c>
      <c r="C60" s="285" t="s">
        <v>254</v>
      </c>
      <c r="D60" s="186">
        <f>($D$102*0.64)/(1+0.64)</f>
        <v>6.0660996995121948E-3</v>
      </c>
      <c r="E60" s="184" t="s">
        <v>258</v>
      </c>
      <c r="F60" s="186">
        <f>($H$102*0.64)/(1+0.64)</f>
        <v>1.2123623752674348E-2</v>
      </c>
      <c r="G60" s="177" t="s">
        <v>259</v>
      </c>
      <c r="M60" s="64"/>
      <c r="Q60" s="297"/>
    </row>
    <row r="61" spans="1:17" s="56" customFormat="1" ht="18.75" customHeight="1">
      <c r="A61" s="230" t="s">
        <v>262</v>
      </c>
      <c r="B61" s="167" t="s">
        <v>257</v>
      </c>
      <c r="C61" s="285" t="s">
        <v>254</v>
      </c>
      <c r="D61" s="186">
        <f>($D$102*0.76)/(1+0.76)</f>
        <v>6.7123461163636367E-3</v>
      </c>
      <c r="E61" s="184" t="s">
        <v>258</v>
      </c>
      <c r="F61" s="186">
        <f>($H$102*0.76)/(1+0.76)</f>
        <v>1.3415202987689372E-2</v>
      </c>
      <c r="G61" s="177" t="s">
        <v>259</v>
      </c>
      <c r="M61" s="64"/>
      <c r="Q61" s="297"/>
    </row>
    <row r="62" spans="1:17" s="56" customFormat="1" ht="18.75" customHeight="1">
      <c r="A62" s="230" t="s">
        <v>263</v>
      </c>
      <c r="B62" s="167" t="s">
        <v>257</v>
      </c>
      <c r="C62" s="285" t="s">
        <v>254</v>
      </c>
      <c r="D62" s="186">
        <f>($D$102*1.13)/(1+1.13)</f>
        <v>8.2465492687323928E-3</v>
      </c>
      <c r="E62" s="184" t="s">
        <v>258</v>
      </c>
      <c r="F62" s="186">
        <f>($H$102*1.13)/(1+1.13)</f>
        <v>1.6481440389125662E-2</v>
      </c>
      <c r="G62" s="177" t="s">
        <v>259</v>
      </c>
      <c r="M62" s="64"/>
      <c r="Q62" s="297"/>
    </row>
    <row r="63" spans="1:17" s="56" customFormat="1" ht="18.75" customHeight="1">
      <c r="A63" s="230">
        <v>4</v>
      </c>
      <c r="B63" s="167" t="s">
        <v>264</v>
      </c>
      <c r="C63" s="285" t="s">
        <v>265</v>
      </c>
      <c r="D63" s="186">
        <f>D108*3.6/1000*D98/1000*D85*(1-D106)</f>
        <v>4.8684999663359999E-2</v>
      </c>
      <c r="E63" s="184" t="s">
        <v>266</v>
      </c>
      <c r="F63" s="186">
        <f>H108*3.6/1000*D98/1000*H85*(1-H106)</f>
        <v>9.7301173333026153E-2</v>
      </c>
      <c r="G63" s="177" t="s">
        <v>267</v>
      </c>
      <c r="Q63" s="59"/>
    </row>
    <row r="64" spans="1:17" s="56" customFormat="1" ht="18.75" customHeight="1">
      <c r="A64" s="230">
        <v>5</v>
      </c>
      <c r="B64" s="167" t="s">
        <v>268</v>
      </c>
      <c r="C64" s="285" t="s">
        <v>254</v>
      </c>
      <c r="D64" s="186">
        <f>D102*D103</f>
        <v>4.6633141439999994E-3</v>
      </c>
      <c r="E64" s="184" t="s">
        <v>269</v>
      </c>
      <c r="F64" s="186">
        <f>H102*H103</f>
        <v>9.3200357598684051E-3</v>
      </c>
      <c r="G64" s="177" t="s">
        <v>270</v>
      </c>
      <c r="Q64" s="59"/>
    </row>
    <row r="65" spans="1:17" s="56" customFormat="1" ht="18.75" customHeight="1">
      <c r="A65" s="230">
        <v>8</v>
      </c>
      <c r="B65" s="167" t="s">
        <v>271</v>
      </c>
      <c r="C65" s="285" t="s">
        <v>254</v>
      </c>
      <c r="D65" s="186">
        <f>D102*D104</f>
        <v>1.554438048E-3</v>
      </c>
      <c r="E65" s="184" t="s">
        <v>272</v>
      </c>
      <c r="F65" s="186">
        <f>H102*H104</f>
        <v>3.1066785866228023E-3</v>
      </c>
      <c r="G65" s="177" t="s">
        <v>273</v>
      </c>
      <c r="Q65" s="59"/>
    </row>
    <row r="66" spans="1:17" s="56" customFormat="1" ht="18.75" customHeight="1">
      <c r="A66" s="230" t="s">
        <v>274</v>
      </c>
      <c r="B66" s="167" t="s">
        <v>275</v>
      </c>
      <c r="C66" s="285" t="s">
        <v>254</v>
      </c>
      <c r="D66" s="186">
        <f>D$102*D$104*D$103</f>
        <v>4.663314144E-4</v>
      </c>
      <c r="E66" s="184" t="s">
        <v>276</v>
      </c>
      <c r="F66" s="186">
        <f>H$102*H$104*H$103*(2.3-1)/2.3</f>
        <v>5.2678462990560552E-4</v>
      </c>
      <c r="G66" s="177" t="s">
        <v>277</v>
      </c>
      <c r="Q66" s="59"/>
    </row>
    <row r="67" spans="1:17" s="56" customFormat="1" ht="18.75" customHeight="1">
      <c r="A67" s="166">
        <v>10</v>
      </c>
      <c r="B67" s="167" t="s">
        <v>278</v>
      </c>
      <c r="C67" s="285" t="s">
        <v>254</v>
      </c>
      <c r="D67" s="186">
        <f>D102*D105</f>
        <v>7.7721902399999999E-3</v>
      </c>
      <c r="E67" s="184" t="s">
        <v>279</v>
      </c>
      <c r="F67" s="186">
        <f>H102*H105*(1-H103)</f>
        <v>1.0873375053179805E-2</v>
      </c>
      <c r="G67" s="177" t="s">
        <v>280</v>
      </c>
      <c r="Q67" s="59"/>
    </row>
    <row r="68" spans="1:17" s="56" customFormat="1" ht="18.75" customHeight="1">
      <c r="A68" s="230">
        <v>11</v>
      </c>
      <c r="B68" s="167" t="s">
        <v>281</v>
      </c>
      <c r="C68" s="285" t="s">
        <v>282</v>
      </c>
      <c r="D68" s="186">
        <f>D85*D109/1000</f>
        <v>1.5834800400000001E-2</v>
      </c>
      <c r="E68" s="184" t="s">
        <v>283</v>
      </c>
      <c r="F68" s="186">
        <f>H85*H109/1000</f>
        <v>3.1647215139529436E-2</v>
      </c>
      <c r="G68" s="177" t="s">
        <v>284</v>
      </c>
      <c r="Q68" s="59"/>
    </row>
    <row r="69" spans="1:17" s="56" customFormat="1" ht="18.75" customHeight="1">
      <c r="A69" s="230" t="s">
        <v>285</v>
      </c>
      <c r="B69" s="167" t="s">
        <v>286</v>
      </c>
      <c r="C69" s="285" t="s">
        <v>282</v>
      </c>
      <c r="D69" s="186">
        <f>(D85*D109/1000)*(1-D84)</f>
        <v>1.0134272256E-2</v>
      </c>
      <c r="E69" s="184" t="s">
        <v>287</v>
      </c>
      <c r="F69" s="186">
        <f>(H85*H109/1000)*(1-H84)</f>
        <v>2.0254217689298838E-2</v>
      </c>
      <c r="G69" s="177" t="s">
        <v>288</v>
      </c>
      <c r="Q69" s="59"/>
    </row>
    <row r="70" spans="1:17" s="56" customFormat="1" ht="18.75" customHeight="1" thickBot="1">
      <c r="A70" s="231" t="s">
        <v>86</v>
      </c>
      <c r="B70" s="172" t="s">
        <v>289</v>
      </c>
      <c r="C70" s="296" t="s">
        <v>251</v>
      </c>
      <c r="D70" s="187">
        <f>D85*D84</f>
        <v>24.893135999999998</v>
      </c>
      <c r="E70" s="185" t="s">
        <v>290</v>
      </c>
      <c r="F70" s="187">
        <f>F56*H84</f>
        <v>49.751080568692558</v>
      </c>
      <c r="G70" s="178" t="s">
        <v>291</v>
      </c>
      <c r="Q70" s="59"/>
    </row>
    <row r="71" spans="1:17" s="56" customFormat="1" ht="18.75" customHeight="1" thickBot="1">
      <c r="A71" s="57"/>
      <c r="D71" s="58"/>
      <c r="E71" s="59"/>
      <c r="F71" s="60"/>
      <c r="G71" s="59"/>
      <c r="H71" s="58"/>
      <c r="I71" s="59"/>
    </row>
    <row r="72" spans="1:17" s="56" customFormat="1" ht="18.75" customHeight="1">
      <c r="A72" s="154" t="s">
        <v>292</v>
      </c>
      <c r="B72" s="155"/>
      <c r="C72" s="143"/>
      <c r="D72" s="156"/>
      <c r="E72" s="152"/>
      <c r="F72" s="157"/>
      <c r="G72" s="158"/>
      <c r="H72" s="352"/>
      <c r="I72" s="159"/>
    </row>
    <row r="73" spans="1:17" s="56" customFormat="1" ht="18.75" customHeight="1">
      <c r="A73" s="160" t="s">
        <v>28</v>
      </c>
      <c r="B73" s="161" t="s">
        <v>77</v>
      </c>
      <c r="C73" s="162" t="s">
        <v>248</v>
      </c>
      <c r="D73" s="162" t="s">
        <v>293</v>
      </c>
      <c r="E73" s="163" t="s">
        <v>294</v>
      </c>
      <c r="F73" s="164" t="s">
        <v>28</v>
      </c>
      <c r="G73" s="161" t="s">
        <v>77</v>
      </c>
      <c r="H73" s="353" t="s">
        <v>295</v>
      </c>
      <c r="I73" s="165" t="s">
        <v>294</v>
      </c>
    </row>
    <row r="74" spans="1:17" s="56" customFormat="1" ht="18.75" customHeight="1">
      <c r="A74" s="179" t="s">
        <v>83</v>
      </c>
      <c r="B74" s="167" t="s">
        <v>296</v>
      </c>
      <c r="C74" s="171" t="s">
        <v>297</v>
      </c>
      <c r="D74" s="298">
        <v>9.0624197488584426E-2</v>
      </c>
      <c r="E74" s="184" t="s">
        <v>298</v>
      </c>
      <c r="F74" s="168"/>
      <c r="G74" s="167"/>
      <c r="H74" s="354"/>
      <c r="I74" s="177"/>
    </row>
    <row r="75" spans="1:17" s="56" customFormat="1" ht="18.75" customHeight="1">
      <c r="A75" s="179" t="s">
        <v>299</v>
      </c>
      <c r="B75" s="167" t="s">
        <v>300</v>
      </c>
      <c r="C75" s="171" t="s">
        <v>297</v>
      </c>
      <c r="D75" s="298">
        <v>9.7429591191142514E-2</v>
      </c>
      <c r="E75" s="184" t="str">
        <f>"Gemiddelde EPEX (day-ahead) periode 1-9-"&amp;Colofon!$C$29-2&amp;" t/m 31-8-"&amp;Colofon!$C$29-1&amp;" excl negatieve uren"</f>
        <v>Gemiddelde EPEX (day-ahead) periode 1-9-2024 t/m 31-8-2025 excl negatieve uren</v>
      </c>
      <c r="F75" s="168" t="s">
        <v>84</v>
      </c>
      <c r="G75" s="167" t="s">
        <v>301</v>
      </c>
      <c r="H75" s="354">
        <v>7.4260835999999997E-2</v>
      </c>
      <c r="I75" s="177" t="str">
        <f>"Ongewogen gemiddelde reële prijzen elektriciteit basislast periode "&amp;Colofon!$C$29&amp;"-"&amp;Colofon!$C$29+14&amp;" (KEV"&amp;Colofon!$C$29-1&amp;")"</f>
        <v>Ongewogen gemiddelde reële prijzen elektriciteit basislast periode 2026-2040 (KEV2025)</v>
      </c>
    </row>
    <row r="76" spans="1:17" s="56" customFormat="1" ht="18.600000000000001" customHeight="1">
      <c r="A76" s="179" t="s">
        <v>302</v>
      </c>
      <c r="B76" s="168" t="s">
        <v>303</v>
      </c>
      <c r="C76" s="180"/>
      <c r="D76" s="351">
        <v>0.82000000000000006</v>
      </c>
      <c r="E76" s="184" t="str">
        <f>"1-1-"&amp;Colofon!$C$29-1&amp;" t/m 31-12-"&amp;Colofon!$C$29-1</f>
        <v>1-1-2025 t/m 31-12-2025</v>
      </c>
      <c r="F76" s="168" t="s">
        <v>304</v>
      </c>
      <c r="G76" s="168"/>
      <c r="H76" s="355">
        <v>0.77360781632246645</v>
      </c>
      <c r="I76" s="177" t="str">
        <f>"Gemiddelde "&amp;Colofon!$C$29&amp;"-"&amp;Colofon!$C$29+14&amp;" (KEV"&amp;Colofon!$C$29-1&amp;")"</f>
        <v>Gemiddelde 2026-2040 (KEV2025)</v>
      </c>
    </row>
    <row r="77" spans="1:17" s="56" customFormat="1" ht="18.600000000000001" customHeight="1">
      <c r="A77" s="179" t="s">
        <v>305</v>
      </c>
      <c r="B77" s="168" t="s">
        <v>306</v>
      </c>
      <c r="C77" s="180"/>
      <c r="D77" s="351">
        <v>0.82</v>
      </c>
      <c r="E77" s="184" t="str">
        <f>"1-1-"&amp;Colofon!$C$29-1&amp;" t/m 31-12-"&amp;Colofon!$C$29-1</f>
        <v>1-1-2025 t/m 31-12-2025</v>
      </c>
      <c r="F77" s="168" t="s">
        <v>304</v>
      </c>
      <c r="G77" s="168"/>
      <c r="H77" s="355">
        <v>0.77360781632246645</v>
      </c>
      <c r="I77" s="177" t="str">
        <f>"Gemiddelde "&amp;Colofon!$C$29&amp;"-"&amp;Colofon!$C$29+14&amp;" (KEV"&amp;Colofon!$C$29-1&amp;")"</f>
        <v>Gemiddelde 2026-2040 (KEV2025)</v>
      </c>
    </row>
    <row r="78" spans="1:17" s="56" customFormat="1" ht="18.600000000000001" customHeight="1">
      <c r="A78" s="179" t="s">
        <v>307</v>
      </c>
      <c r="B78" s="168" t="s">
        <v>308</v>
      </c>
      <c r="C78" s="180"/>
      <c r="D78" s="351">
        <v>0.58499999999999996</v>
      </c>
      <c r="E78" s="184" t="str">
        <f>"1-1-"&amp;Colofon!$C$29-1&amp;" t/m 31-12-"&amp;Colofon!$C$29-1</f>
        <v>1-1-2025 t/m 31-12-2025</v>
      </c>
      <c r="F78" s="168" t="s">
        <v>309</v>
      </c>
      <c r="G78" s="168"/>
      <c r="H78" s="355">
        <v>0.95606758625912069</v>
      </c>
      <c r="I78" s="177" t="str">
        <f>"Gemiddelde "&amp;Colofon!$C$29&amp;"-"&amp;Colofon!$C$29+14&amp;" (KEV"&amp;Colofon!$C$29-1&amp;")"</f>
        <v>Gemiddelde 2026-2040 (KEV2025)</v>
      </c>
    </row>
    <row r="79" spans="1:17" s="56" customFormat="1" ht="18.600000000000001" customHeight="1">
      <c r="A79" s="179" t="s">
        <v>310</v>
      </c>
      <c r="B79" s="168" t="s">
        <v>311</v>
      </c>
      <c r="C79" s="180"/>
      <c r="D79" s="351">
        <v>0.745</v>
      </c>
      <c r="E79" s="184" t="str">
        <f>"1-1-"&amp;Colofon!$C$29-1&amp;" t/m 31-12-"&amp;Colofon!$C$29-1</f>
        <v>1-1-2025 t/m 31-12-2025</v>
      </c>
      <c r="F79" s="168" t="s">
        <v>309</v>
      </c>
      <c r="G79" s="168"/>
      <c r="H79" s="355">
        <v>0.95606758625912069</v>
      </c>
      <c r="I79" s="177" t="str">
        <f>"Gemiddelde "&amp;Colofon!$C$29&amp;"-"&amp;Colofon!$C$29+14&amp;" (KEV"&amp;Colofon!$C$29-1&amp;")"</f>
        <v>Gemiddelde 2026-2040 (KEV2025)</v>
      </c>
    </row>
    <row r="80" spans="1:17" s="56" customFormat="1" ht="18.75" customHeight="1">
      <c r="A80" s="179" t="s">
        <v>89</v>
      </c>
      <c r="B80" s="168" t="s">
        <v>312</v>
      </c>
      <c r="C80" s="171" t="s">
        <v>313</v>
      </c>
      <c r="D80" s="300">
        <v>3.5113184313725447E-2</v>
      </c>
      <c r="E80" s="184" t="str">
        <f>"Gemiddelde TTF (Cal"&amp;Colofon!$C$29&amp;") periode 1-9-"&amp;Colofon!$C$29-2&amp;" t/m 31-8-"&amp;Colofon!$C$29-"1"</f>
        <v>Gemiddelde TTF (Cal2026) periode 1-9-2024 t/m 31-8-2025</v>
      </c>
      <c r="F80" s="168" t="s">
        <v>90</v>
      </c>
      <c r="G80" s="167" t="s">
        <v>314</v>
      </c>
      <c r="H80" s="354">
        <v>2.478004842200969E-2</v>
      </c>
      <c r="I80" s="177" t="str">
        <f>"Gemiddelde reële prijzen gas "&amp;Colofon!$C$29&amp;"-"&amp;Colofon!$C$29+14&amp;" (KEV"&amp;Colofon!$C$29-1&amp;")"</f>
        <v>Gemiddelde reële prijzen gas 2026-2040 (KEV2025)</v>
      </c>
    </row>
    <row r="81" spans="1:9" s="56" customFormat="1" ht="18.75" customHeight="1">
      <c r="A81" s="179" t="s">
        <v>183</v>
      </c>
      <c r="B81" s="168" t="s">
        <v>315</v>
      </c>
      <c r="C81" s="171" t="s">
        <v>316</v>
      </c>
      <c r="D81" s="301">
        <f>D80*35.17/31.65</f>
        <v>3.9018347308490492E-2</v>
      </c>
      <c r="E81" s="184" t="str">
        <f>"Gemiddelde TTF (Cal"&amp;Colofon!$C$29&amp;") periode 1-9-"&amp;Colofon!$C$29-2&amp;" t/m 31-8-"&amp;Colofon!$C$29-"1"</f>
        <v>Gemiddelde TTF (Cal2026) periode 1-9-2024 t/m 31-8-2025</v>
      </c>
      <c r="F81" s="168" t="s">
        <v>184</v>
      </c>
      <c r="G81" s="167" t="s">
        <v>317</v>
      </c>
      <c r="H81" s="356">
        <f>H80*35.17/31.65</f>
        <v>2.7535996935294817E-2</v>
      </c>
      <c r="I81" s="177" t="str">
        <f>"Gemiddelde reële prijzen gas "&amp;Colofon!$C$29&amp;"-"&amp;Colofon!$C$29+14&amp;" (KEV"&amp;Colofon!$C$29-1&amp;")"</f>
        <v>Gemiddelde reële prijzen gas 2026-2040 (KEV2025)</v>
      </c>
    </row>
    <row r="82" spans="1:9" s="56" customFormat="1" ht="18.75" customHeight="1">
      <c r="A82" s="179"/>
      <c r="B82" s="168"/>
      <c r="C82" s="171"/>
      <c r="D82" s="171"/>
      <c r="E82" s="184"/>
      <c r="F82" s="168" t="s">
        <v>318</v>
      </c>
      <c r="G82" s="167" t="s">
        <v>319</v>
      </c>
      <c r="H82" s="354">
        <v>2.6510984987690899E-2</v>
      </c>
      <c r="I82" s="177" t="str">
        <f>"Gemiddelde reële prijzen gas "&amp;Colofon!$C$29&amp;"-"&amp;Colofon!$C$29+4&amp;" (KEV"&amp;Colofon!$C$29-1&amp;")"</f>
        <v>Gemiddelde reële prijzen gas 2026-2030 (KEV2025)</v>
      </c>
    </row>
    <row r="83" spans="1:9" s="56" customFormat="1" ht="18.75" customHeight="1">
      <c r="A83" s="179"/>
      <c r="B83" s="168"/>
      <c r="C83" s="171"/>
      <c r="D83" s="171"/>
      <c r="E83" s="184"/>
      <c r="F83" s="168" t="s">
        <v>320</v>
      </c>
      <c r="G83" s="167" t="s">
        <v>321</v>
      </c>
      <c r="H83" s="356">
        <f>H82*35.17/31.65</f>
        <v>2.9459442085847994E-2</v>
      </c>
      <c r="I83" s="177" t="str">
        <f>"Gemiddelde reële prijzen gas "&amp;Colofon!$C$29&amp;"-"&amp;Colofon!$C$29+4&amp;" (KEV"&amp;Colofon!$C$29-1&amp;")"</f>
        <v>Gemiddelde reële prijzen gas 2026-2030 (KEV2025)</v>
      </c>
    </row>
    <row r="84" spans="1:9" s="56" customFormat="1" ht="18.75" customHeight="1">
      <c r="A84" s="179" t="s">
        <v>322</v>
      </c>
      <c r="B84" s="168" t="s">
        <v>323</v>
      </c>
      <c r="C84" s="171"/>
      <c r="D84" s="302">
        <v>0.36</v>
      </c>
      <c r="E84" s="184" t="s">
        <v>324</v>
      </c>
      <c r="F84" s="168" t="s">
        <v>322</v>
      </c>
      <c r="G84" s="174" t="s">
        <v>324</v>
      </c>
      <c r="H84" s="357">
        <f>D84</f>
        <v>0.36</v>
      </c>
      <c r="I84" s="170" t="s">
        <v>241</v>
      </c>
    </row>
    <row r="85" spans="1:9" s="56" customFormat="1" ht="18.75" customHeight="1">
      <c r="A85" s="179" t="s">
        <v>152</v>
      </c>
      <c r="B85" s="168" t="s">
        <v>325</v>
      </c>
      <c r="C85" s="171" t="s">
        <v>326</v>
      </c>
      <c r="D85" s="299">
        <v>69.147599999999997</v>
      </c>
      <c r="E85" s="184" t="str">
        <f>"Gemiddelde EUA-prijs 1-9-"&amp;Colofon!$C$29-2&amp;" t/m 31-8-"&amp;Colofon!$C$29-1</f>
        <v>Gemiddelde EUA-prijs 1-9-2024 t/m 31-8-2025</v>
      </c>
      <c r="F85" s="168" t="s">
        <v>153</v>
      </c>
      <c r="G85" s="168" t="s">
        <v>327</v>
      </c>
      <c r="H85" s="354">
        <v>138.19744602414599</v>
      </c>
      <c r="I85" s="177" t="str">
        <f>"Gemiddelde reële EUA-prijs "&amp;Colofon!$C$29&amp;"-"&amp;Colofon!$C$29+14&amp;" (KEV"&amp;Colofon!$C$29-1&amp;")"</f>
        <v>Gemiddelde reële EUA-prijs 2026-2040 (KEV2025)</v>
      </c>
    </row>
    <row r="86" spans="1:9" s="56" customFormat="1" ht="18.75" customHeight="1">
      <c r="A86" s="179" t="s">
        <v>328</v>
      </c>
      <c r="B86" s="168" t="s">
        <v>329</v>
      </c>
      <c r="C86" s="171" t="s">
        <v>297</v>
      </c>
      <c r="D86" s="298">
        <v>2.07E-2</v>
      </c>
      <c r="E86" s="184" t="str">
        <f>"Gemiddelde van gepubliceerde tarieven netbeheerders "&amp;Colofon!$C$29-1</f>
        <v>Gemiddelde van gepubliceerde tarieven netbeheerders 2025</v>
      </c>
      <c r="F86" s="168" t="s">
        <v>328</v>
      </c>
      <c r="G86" s="168" t="s">
        <v>330</v>
      </c>
      <c r="H86" s="358">
        <f>D86</f>
        <v>2.07E-2</v>
      </c>
      <c r="I86" s="170" t="s">
        <v>241</v>
      </c>
    </row>
    <row r="87" spans="1:9" s="56" customFormat="1" ht="18.75" customHeight="1">
      <c r="A87" s="179" t="s">
        <v>331</v>
      </c>
      <c r="B87" s="168" t="s">
        <v>332</v>
      </c>
      <c r="C87" s="180"/>
      <c r="D87" s="189"/>
      <c r="E87" s="184" t="s">
        <v>333</v>
      </c>
      <c r="F87" s="168" t="s">
        <v>331</v>
      </c>
      <c r="G87" s="168" t="s">
        <v>332</v>
      </c>
      <c r="H87" s="359"/>
      <c r="I87" s="177" t="s">
        <v>334</v>
      </c>
    </row>
    <row r="88" spans="1:9" s="56" customFormat="1" ht="18.75" customHeight="1">
      <c r="A88" s="179" t="s">
        <v>335</v>
      </c>
      <c r="B88" s="168" t="s">
        <v>336</v>
      </c>
      <c r="C88" s="181" t="s">
        <v>297</v>
      </c>
      <c r="D88" s="303">
        <v>3.8679999999999999E-2</v>
      </c>
      <c r="E88" s="184" t="str">
        <f>"Tarief "&amp;Colofon!$C$29-1</f>
        <v>Tarief 2025</v>
      </c>
      <c r="F88" s="168" t="s">
        <v>335</v>
      </c>
      <c r="G88" s="168" t="s">
        <v>336</v>
      </c>
      <c r="H88" s="358">
        <f>D88</f>
        <v>3.8679999999999999E-2</v>
      </c>
      <c r="I88" s="170" t="s">
        <v>241</v>
      </c>
    </row>
    <row r="89" spans="1:9" s="56" customFormat="1" ht="18.75" customHeight="1">
      <c r="A89" s="179" t="s">
        <v>337</v>
      </c>
      <c r="B89" s="168" t="s">
        <v>338</v>
      </c>
      <c r="C89" s="181" t="s">
        <v>316</v>
      </c>
      <c r="D89" s="303">
        <v>6.5762274881516591E-2</v>
      </c>
      <c r="E89" s="184" t="str">
        <f>"Tarief "&amp;Colofon!$C$29-1</f>
        <v>Tarief 2025</v>
      </c>
      <c r="F89" s="168" t="s">
        <v>337</v>
      </c>
      <c r="G89" s="168" t="s">
        <v>338</v>
      </c>
      <c r="H89" s="358">
        <f>D89</f>
        <v>6.5762274881516591E-2</v>
      </c>
      <c r="I89" s="170" t="s">
        <v>241</v>
      </c>
    </row>
    <row r="90" spans="1:9" s="56" customFormat="1" ht="18.75" customHeight="1">
      <c r="A90" s="179" t="s">
        <v>339</v>
      </c>
      <c r="B90" s="168" t="s">
        <v>340</v>
      </c>
      <c r="C90" s="181" t="s">
        <v>316</v>
      </c>
      <c r="D90" s="303">
        <v>3.5912417061611378E-2</v>
      </c>
      <c r="E90" s="184" t="str">
        <f>"Tarief "&amp;Colofon!$C$29-1</f>
        <v>Tarief 2025</v>
      </c>
      <c r="F90" s="168" t="s">
        <v>339</v>
      </c>
      <c r="G90" s="168" t="s">
        <v>340</v>
      </c>
      <c r="H90" s="358">
        <f>D90</f>
        <v>3.5912417061611378E-2</v>
      </c>
      <c r="I90" s="170" t="s">
        <v>241</v>
      </c>
    </row>
    <row r="91" spans="1:9" s="56" customFormat="1" ht="18.75" customHeight="1">
      <c r="A91" s="179" t="s">
        <v>341</v>
      </c>
      <c r="B91" s="168" t="s">
        <v>342</v>
      </c>
      <c r="C91" s="181" t="s">
        <v>316</v>
      </c>
      <c r="D91" s="303">
        <v>2.314350710900474E-2</v>
      </c>
      <c r="E91" s="184" t="str">
        <f>"Tarief "&amp;Colofon!$C$29-1</f>
        <v>Tarief 2025</v>
      </c>
      <c r="F91" s="168" t="s">
        <v>341</v>
      </c>
      <c r="G91" s="168" t="s">
        <v>342</v>
      </c>
      <c r="H91" s="358">
        <f>D91</f>
        <v>2.314350710900474E-2</v>
      </c>
      <c r="I91" s="170" t="s">
        <v>241</v>
      </c>
    </row>
    <row r="92" spans="1:9" s="56" customFormat="1" ht="18.75" customHeight="1">
      <c r="A92" s="179" t="s">
        <v>168</v>
      </c>
      <c r="B92" s="168" t="s">
        <v>343</v>
      </c>
      <c r="C92" s="171" t="s">
        <v>316</v>
      </c>
      <c r="D92" s="300">
        <v>8.7727083783542478E-2</v>
      </c>
      <c r="E92" s="184" t="str">
        <f>"Gemiddelde 1-9-"&amp;Colofon!$C$29-2&amp;" t/m 31-8-"&amp;Colofon!$C$29-1&amp;" (CBS)"</f>
        <v>Gemiddelde 1-9-2024 t/m 31-8-2025 (CBS)</v>
      </c>
      <c r="F92" s="168" t="s">
        <v>169</v>
      </c>
      <c r="G92" s="168" t="s">
        <v>344</v>
      </c>
      <c r="H92" s="354">
        <v>9.3661470778602887E-2</v>
      </c>
      <c r="I92" s="177" t="str">
        <f>"Gemiddelde "&amp;Colofon!$C$29&amp;"-"&amp;Colofon!$C$29+14&amp;" (KEV"&amp;Colofon!$C$29-1&amp;")"</f>
        <v>Gemiddelde 2026-2040 (KEV2025)</v>
      </c>
    </row>
    <row r="93" spans="1:9" s="56" customFormat="1" ht="18.75" customHeight="1">
      <c r="A93" s="179" t="s">
        <v>345</v>
      </c>
      <c r="B93" s="168" t="s">
        <v>346</v>
      </c>
      <c r="C93" s="171" t="s">
        <v>316</v>
      </c>
      <c r="D93" s="300">
        <v>8.540416338711794E-2</v>
      </c>
      <c r="E93" s="184" t="str">
        <f>"Gemiddelde 1-9-"&amp;Colofon!$C$29-2&amp;" t/m 31-8-"&amp;Colofon!$C$29-1&amp;" (CBS)"</f>
        <v>Gemiddelde 1-9-2024 t/m 31-8-2025 (CBS)</v>
      </c>
      <c r="F93" s="168" t="s">
        <v>347</v>
      </c>
      <c r="G93" s="168" t="s">
        <v>348</v>
      </c>
      <c r="H93" s="354">
        <v>8.8216130022388331E-2</v>
      </c>
      <c r="I93" s="177" t="str">
        <f>"Gemiddelde "&amp;Colofon!$C$29&amp;"-"&amp;Colofon!$C$29+14&amp;" (KEV"&amp;Colofon!$C$29-1&amp;")"</f>
        <v>Gemiddelde 2026-2040 (KEV2025)</v>
      </c>
    </row>
    <row r="94" spans="1:9" s="56" customFormat="1" ht="18.75" customHeight="1">
      <c r="A94" s="179" t="s">
        <v>349</v>
      </c>
      <c r="B94" s="168" t="s">
        <v>350</v>
      </c>
      <c r="C94" s="171" t="s">
        <v>351</v>
      </c>
      <c r="D94" s="304">
        <f>$D$98/0.93/1000*3.6</f>
        <v>0.21754838709677421</v>
      </c>
      <c r="E94" s="184" t="s">
        <v>352</v>
      </c>
      <c r="F94" s="168"/>
      <c r="G94" s="174"/>
      <c r="H94" s="360"/>
      <c r="I94" s="177"/>
    </row>
    <row r="95" spans="1:9" s="56" customFormat="1" ht="18.75" customHeight="1">
      <c r="A95" s="179" t="s">
        <v>353</v>
      </c>
      <c r="B95" s="168" t="s">
        <v>354</v>
      </c>
      <c r="C95" s="171" t="s">
        <v>355</v>
      </c>
      <c r="D95" s="304">
        <f>$D$98/0.93/1000*3.6/0.375</f>
        <v>0.58012903225806456</v>
      </c>
      <c r="E95" s="184" t="s">
        <v>356</v>
      </c>
      <c r="F95" s="168"/>
      <c r="G95" s="174"/>
      <c r="H95" s="360"/>
      <c r="I95" s="177"/>
    </row>
    <row r="96" spans="1:9" s="56" customFormat="1" ht="18.75" customHeight="1">
      <c r="A96" s="182" t="s">
        <v>240</v>
      </c>
      <c r="B96" s="174" t="s">
        <v>357</v>
      </c>
      <c r="C96" s="171" t="s">
        <v>358</v>
      </c>
      <c r="D96" s="298">
        <v>2E-3</v>
      </c>
      <c r="E96" s="184" t="str">
        <f>+"Marktinformatie "&amp;Colofon!$C$29-2</f>
        <v>Marktinformatie 2024</v>
      </c>
      <c r="F96" s="174" t="s">
        <v>240</v>
      </c>
      <c r="G96" s="174" t="s">
        <v>357</v>
      </c>
      <c r="H96" s="358">
        <f>D96</f>
        <v>2E-3</v>
      </c>
      <c r="I96" s="170" t="s">
        <v>241</v>
      </c>
    </row>
    <row r="97" spans="1:9" s="56" customFormat="1" ht="18.75" customHeight="1">
      <c r="A97" s="182" t="s">
        <v>359</v>
      </c>
      <c r="B97" s="174" t="s">
        <v>360</v>
      </c>
      <c r="C97" s="171" t="s">
        <v>316</v>
      </c>
      <c r="D97" s="298">
        <v>8.3262549800796962E-2</v>
      </c>
      <c r="E97" s="184" t="str">
        <f>"Gemiddelde midprijzen HBE "&amp;RIGHT(Colofon!$C$29,2)&amp;" A, periode 1-9-"&amp;Colofon!$C$29-2&amp;" t/m 31-8-"&amp;Colofon!$C$29-1&amp;" (Olyx)"</f>
        <v>Gemiddelde midprijzen HBE 26 A, periode 1-9-2024 t/m 31-8-2025 (Olyx)</v>
      </c>
      <c r="F97" s="174" t="s">
        <v>245</v>
      </c>
      <c r="G97" s="174" t="s">
        <v>360</v>
      </c>
      <c r="H97" s="358">
        <f>D97</f>
        <v>8.3262549800796962E-2</v>
      </c>
      <c r="I97" s="170" t="s">
        <v>241</v>
      </c>
    </row>
    <row r="98" spans="1:9" s="56" customFormat="1" ht="18.75" customHeight="1">
      <c r="A98" s="182" t="s">
        <v>361</v>
      </c>
      <c r="B98" s="174" t="s">
        <v>362</v>
      </c>
      <c r="C98" s="171" t="s">
        <v>363</v>
      </c>
      <c r="D98" s="305">
        <v>56.2</v>
      </c>
      <c r="E98" s="184" t="s">
        <v>364</v>
      </c>
      <c r="F98" s="168"/>
      <c r="G98" s="174"/>
      <c r="H98" s="360"/>
      <c r="I98" s="177"/>
    </row>
    <row r="99" spans="1:9" s="56" customFormat="1" ht="18.75" customHeight="1">
      <c r="A99" s="182" t="s">
        <v>365</v>
      </c>
      <c r="B99" s="174" t="s">
        <v>366</v>
      </c>
      <c r="C99" s="171" t="s">
        <v>326</v>
      </c>
      <c r="D99" s="190">
        <v>15</v>
      </c>
      <c r="E99" s="184" t="str">
        <f>+"Marktinformatie 2021"</f>
        <v>Marktinformatie 2021</v>
      </c>
      <c r="F99" s="174" t="s">
        <v>365</v>
      </c>
      <c r="G99" s="174" t="s">
        <v>366</v>
      </c>
      <c r="H99" s="361">
        <f>D99</f>
        <v>15</v>
      </c>
      <c r="I99" s="170" t="s">
        <v>241</v>
      </c>
    </row>
    <row r="100" spans="1:9" s="56" customFormat="1" ht="18.75" customHeight="1">
      <c r="A100" s="182" t="s">
        <v>367</v>
      </c>
      <c r="B100" s="174" t="s">
        <v>368</v>
      </c>
      <c r="C100" s="171" t="s">
        <v>326</v>
      </c>
      <c r="D100" s="190">
        <v>12</v>
      </c>
      <c r="E100" s="184" t="s">
        <v>369</v>
      </c>
      <c r="F100" s="174" t="s">
        <v>370</v>
      </c>
      <c r="G100" s="174" t="s">
        <v>371</v>
      </c>
      <c r="H100" s="362">
        <v>15</v>
      </c>
      <c r="I100" s="177" t="s">
        <v>372</v>
      </c>
    </row>
    <row r="101" spans="1:9" s="56" customFormat="1" ht="18.75" customHeight="1">
      <c r="A101" s="182" t="s">
        <v>373</v>
      </c>
      <c r="B101" s="174" t="s">
        <v>374</v>
      </c>
      <c r="C101" s="171"/>
      <c r="D101" s="191">
        <v>0.9</v>
      </c>
      <c r="E101" s="184"/>
      <c r="F101" s="174" t="s">
        <v>373</v>
      </c>
      <c r="G101" s="174" t="s">
        <v>374</v>
      </c>
      <c r="H101" s="363">
        <v>0.9</v>
      </c>
      <c r="I101" s="170" t="s">
        <v>241</v>
      </c>
    </row>
    <row r="102" spans="1:9" s="56" customFormat="1" ht="18.75" customHeight="1">
      <c r="A102" s="182" t="s">
        <v>243</v>
      </c>
      <c r="B102" s="174" t="s">
        <v>375</v>
      </c>
      <c r="C102" s="171" t="s">
        <v>376</v>
      </c>
      <c r="D102" s="188">
        <f>D85/1000*D98*0.0036/D101</f>
        <v>1.554438048E-2</v>
      </c>
      <c r="E102" s="184"/>
      <c r="F102" s="174" t="s">
        <v>255</v>
      </c>
      <c r="G102" s="174" t="s">
        <v>375</v>
      </c>
      <c r="H102" s="364">
        <f>H85/1000*D98*0.0036/H101</f>
        <v>3.1066785866228019E-2</v>
      </c>
      <c r="I102" s="177"/>
    </row>
    <row r="103" spans="1:9" s="56" customFormat="1" ht="18.75" customHeight="1">
      <c r="A103" s="182" t="s">
        <v>377</v>
      </c>
      <c r="B103" s="174" t="s">
        <v>378</v>
      </c>
      <c r="C103" s="171"/>
      <c r="D103" s="191">
        <v>0.3</v>
      </c>
      <c r="E103" s="184"/>
      <c r="F103" s="174" t="s">
        <v>377</v>
      </c>
      <c r="G103" s="174" t="s">
        <v>378</v>
      </c>
      <c r="H103" s="363">
        <f>D103</f>
        <v>0.3</v>
      </c>
      <c r="I103" s="170" t="s">
        <v>241</v>
      </c>
    </row>
    <row r="104" spans="1:9" s="56" customFormat="1" ht="18.75" customHeight="1">
      <c r="A104" s="182" t="s">
        <v>379</v>
      </c>
      <c r="B104" s="174" t="s">
        <v>380</v>
      </c>
      <c r="C104" s="171"/>
      <c r="D104" s="191">
        <v>0.1</v>
      </c>
      <c r="E104" s="184"/>
      <c r="F104" s="174" t="s">
        <v>379</v>
      </c>
      <c r="G104" s="174" t="s">
        <v>380</v>
      </c>
      <c r="H104" s="363">
        <f>D104</f>
        <v>0.1</v>
      </c>
      <c r="I104" s="170" t="s">
        <v>241</v>
      </c>
    </row>
    <row r="105" spans="1:9" s="56" customFormat="1" ht="18.75" customHeight="1">
      <c r="A105" s="182" t="s">
        <v>381</v>
      </c>
      <c r="B105" s="174" t="s">
        <v>382</v>
      </c>
      <c r="C105" s="171"/>
      <c r="D105" s="191">
        <v>0.5</v>
      </c>
      <c r="E105" s="184"/>
      <c r="F105" s="174" t="s">
        <v>381</v>
      </c>
      <c r="G105" s="174" t="s">
        <v>382</v>
      </c>
      <c r="H105" s="363">
        <f>D105</f>
        <v>0.5</v>
      </c>
      <c r="I105" s="170" t="s">
        <v>241</v>
      </c>
    </row>
    <row r="106" spans="1:9" s="56" customFormat="1" ht="18.75" customHeight="1">
      <c r="A106" s="182" t="s">
        <v>383</v>
      </c>
      <c r="B106" s="174" t="s">
        <v>384</v>
      </c>
      <c r="C106" s="171"/>
      <c r="D106" s="191">
        <v>0</v>
      </c>
      <c r="E106" s="184"/>
      <c r="F106" s="174" t="s">
        <v>383</v>
      </c>
      <c r="G106" s="174" t="s">
        <v>384</v>
      </c>
      <c r="H106" s="363">
        <f>D106</f>
        <v>0</v>
      </c>
      <c r="I106" s="170" t="s">
        <v>241</v>
      </c>
    </row>
    <row r="107" spans="1:9" s="56" customFormat="1" ht="18.75" customHeight="1">
      <c r="A107" s="182" t="s">
        <v>385</v>
      </c>
      <c r="B107" s="174" t="s">
        <v>386</v>
      </c>
      <c r="C107" s="180"/>
      <c r="D107" s="189"/>
      <c r="E107" s="184" t="s">
        <v>333</v>
      </c>
      <c r="F107" s="174" t="s">
        <v>385</v>
      </c>
      <c r="G107" s="174" t="s">
        <v>386</v>
      </c>
      <c r="H107" s="365"/>
      <c r="I107" s="177" t="s">
        <v>333</v>
      </c>
    </row>
    <row r="108" spans="1:9" s="56" customFormat="1" ht="18.75" customHeight="1">
      <c r="A108" s="182" t="s">
        <v>387</v>
      </c>
      <c r="B108" s="174" t="s">
        <v>388</v>
      </c>
      <c r="C108" s="171" t="s">
        <v>389</v>
      </c>
      <c r="D108" s="190">
        <v>3.48</v>
      </c>
      <c r="E108" s="184" t="s">
        <v>390</v>
      </c>
      <c r="F108" s="174" t="s">
        <v>387</v>
      </c>
      <c r="G108" s="174" t="s">
        <v>388</v>
      </c>
      <c r="H108" s="366">
        <f>D108</f>
        <v>3.48</v>
      </c>
      <c r="I108" s="170" t="s">
        <v>241</v>
      </c>
    </row>
    <row r="109" spans="1:9" s="56" customFormat="1" ht="18.75" customHeight="1" thickBot="1">
      <c r="A109" s="183" t="s">
        <v>391</v>
      </c>
      <c r="B109" s="175" t="s">
        <v>392</v>
      </c>
      <c r="C109" s="173" t="s">
        <v>393</v>
      </c>
      <c r="D109" s="192">
        <v>0.22900000000000001</v>
      </c>
      <c r="E109" s="185" t="s">
        <v>394</v>
      </c>
      <c r="F109" s="175" t="s">
        <v>391</v>
      </c>
      <c r="G109" s="175" t="s">
        <v>392</v>
      </c>
      <c r="H109" s="367">
        <f>D109</f>
        <v>0.22900000000000001</v>
      </c>
      <c r="I109" s="176" t="s">
        <v>241</v>
      </c>
    </row>
    <row r="110" spans="1:9" ht="18.75" customHeight="1">
      <c r="A110" s="67">
        <v>1</v>
      </c>
      <c r="B110" s="68" t="s">
        <v>395</v>
      </c>
      <c r="C110" s="68"/>
      <c r="D110" s="68"/>
      <c r="E110" s="68"/>
      <c r="F110" s="68"/>
      <c r="G110" s="68"/>
      <c r="H110" s="68"/>
      <c r="I110" s="68"/>
    </row>
    <row r="111" spans="1:9" ht="18.75" customHeight="1">
      <c r="A111" s="67">
        <v>2</v>
      </c>
      <c r="B111" s="62" t="s">
        <v>396</v>
      </c>
    </row>
    <row r="112" spans="1:9" ht="18.75" customHeight="1">
      <c r="A112" s="67">
        <v>3</v>
      </c>
      <c r="B112" s="62" t="s">
        <v>397</v>
      </c>
      <c r="D112" s="69"/>
    </row>
    <row r="113" spans="1:5" ht="18.75" customHeight="1">
      <c r="A113" s="67">
        <v>4</v>
      </c>
      <c r="B113" s="62" t="s">
        <v>398</v>
      </c>
    </row>
    <row r="114" spans="1:5" ht="18.75" customHeight="1">
      <c r="A114" s="67">
        <v>5</v>
      </c>
      <c r="B114" s="62" t="s">
        <v>399</v>
      </c>
    </row>
    <row r="115" spans="1:5" ht="18.75" customHeight="1">
      <c r="A115" s="67">
        <v>6</v>
      </c>
      <c r="B115" s="62" t="s">
        <v>400</v>
      </c>
      <c r="C115" s="68"/>
      <c r="D115" s="68"/>
      <c r="E115" s="68"/>
    </row>
    <row r="116" spans="1:5" ht="18.75" customHeight="1">
      <c r="A116" s="67">
        <v>7</v>
      </c>
      <c r="B116" s="62" t="s">
        <v>401</v>
      </c>
      <c r="C116" s="68"/>
      <c r="D116" s="68"/>
      <c r="E116" s="68"/>
    </row>
    <row r="117" spans="1:5" ht="18.75" customHeight="1">
      <c r="A117" s="67">
        <v>8</v>
      </c>
      <c r="B117" s="62" t="s">
        <v>402</v>
      </c>
      <c r="C117" s="68"/>
      <c r="D117" s="68"/>
      <c r="E117" s="68"/>
    </row>
    <row r="118" spans="1:5" ht="18.75" customHeight="1">
      <c r="A118" s="67">
        <v>9</v>
      </c>
      <c r="B118" s="62" t="s">
        <v>403</v>
      </c>
      <c r="C118" s="68"/>
      <c r="D118" s="68"/>
      <c r="E118" s="68"/>
    </row>
    <row r="119" spans="1:5" ht="18.75" customHeight="1">
      <c r="A119" s="67">
        <v>10</v>
      </c>
      <c r="B119" s="62" t="s">
        <v>404</v>
      </c>
      <c r="C119" s="68"/>
      <c r="D119" s="68"/>
      <c r="E119" s="68"/>
    </row>
    <row r="120" spans="1:5" ht="18.75" customHeight="1">
      <c r="C120" s="68"/>
      <c r="D120" s="68"/>
      <c r="E120" s="68"/>
    </row>
    <row r="121" spans="1:5" ht="18.75" customHeight="1">
      <c r="C121" s="68"/>
      <c r="D121" s="68"/>
      <c r="E121" s="68"/>
    </row>
    <row r="122" spans="1:5" ht="18.75" customHeight="1">
      <c r="C122" s="68"/>
      <c r="D122" s="68"/>
      <c r="E122" s="68"/>
    </row>
    <row r="123" spans="1:5" ht="18.75" customHeight="1">
      <c r="C123" s="68"/>
      <c r="D123" s="68"/>
      <c r="E123" s="68"/>
    </row>
    <row r="124" spans="1:5" ht="18.75" customHeight="1">
      <c r="C124" s="68"/>
      <c r="D124" s="68"/>
      <c r="E124" s="68"/>
    </row>
  </sheetData>
  <mergeCells count="6">
    <mergeCell ref="F53:G53"/>
    <mergeCell ref="D1:E1"/>
    <mergeCell ref="F1:G1"/>
    <mergeCell ref="H1:I1"/>
    <mergeCell ref="F39:G39"/>
    <mergeCell ref="F46:G46"/>
  </mergeCells>
  <pageMargins left="0.7" right="0.7" top="0.75" bottom="0.75" header="0.3" footer="0.3"/>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BDE9-97CA-4469-86B9-0723082AF65A}">
  <sheetPr codeName="Sheet93">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405</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0.14899999999999999</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1225.8064516129032</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IFERROR(INDEX(Correcties!$A$1:$I$334,MATCH('1'!C12,Correcties!$A$1:$A$334,0),5),"")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212</v>
      </c>
      <c r="D15" s="75" t="str">
        <f>_xlfn.XLOOKUP(C15,Correcties!A4:A37,Correcties!B4:B37,"")</f>
        <v>Elektriciteit-ZonPV-netlevering (negatieve uren meegenomen)</v>
      </c>
      <c r="E15" s="417" t="str">
        <f>"Enkel relevant voor zon-pv. "&amp;_xlfn.XLOOKUP(C15,Correcties!A4:A37,Correcties!E4:E37,"")</f>
        <v>Enkel relevant voor zon-pv. EPEX1 x PF_PV1</v>
      </c>
      <c r="F15" s="431"/>
      <c r="G15" s="431"/>
      <c r="H15" s="431"/>
      <c r="I15" s="431"/>
      <c r="J15" s="431"/>
      <c r="K15" s="431"/>
      <c r="L15" s="431"/>
      <c r="M15" s="432"/>
    </row>
    <row r="16" spans="1:44" ht="15" customHeight="1">
      <c r="B16" s="72" t="s">
        <v>425</v>
      </c>
      <c r="C16" s="229" t="s">
        <v>222</v>
      </c>
      <c r="D16" s="75" t="str">
        <f>_xlfn.XLOOKUP(C16,Correcties!A4:A37,Correcties!B4:B37,"")</f>
        <v>Elektricteit-ZonPV-niet-netlevering, klein (negatieve uren meegenomen)</v>
      </c>
      <c r="E16" s="417" t="str">
        <f>"Enkel relevant voor zon-pv. "&amp;_xlfn.XLOOKUP(C16,Correcties!A4:A37,Correcties!E4:E37,"")</f>
        <v>Enkel relevant voor zon-pv. EPEX1 x PF_PV1 + EB3_e + ODE3_e + transport</v>
      </c>
      <c r="F16" s="431"/>
      <c r="G16" s="431"/>
      <c r="H16" s="431"/>
      <c r="I16" s="431"/>
      <c r="J16" s="431"/>
      <c r="K16" s="431"/>
      <c r="L16" s="431"/>
      <c r="M16" s="432"/>
    </row>
    <row r="17" spans="2:13" ht="15" customHeight="1">
      <c r="B17" s="72" t="s">
        <v>426</v>
      </c>
      <c r="C17" s="101">
        <v>1</v>
      </c>
      <c r="D17" s="75"/>
      <c r="E17" s="417" t="s">
        <v>427</v>
      </c>
      <c r="F17" s="431"/>
      <c r="G17" s="431"/>
      <c r="H17" s="431"/>
      <c r="I17" s="431"/>
      <c r="J17" s="431"/>
      <c r="K17" s="431"/>
      <c r="L17" s="431"/>
      <c r="M17" s="432"/>
    </row>
    <row r="18" spans="2:13" ht="15" customHeight="1">
      <c r="B18" s="73" t="s">
        <v>428</v>
      </c>
      <c r="C18" s="102">
        <v>0</v>
      </c>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60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900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710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4.36E-2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43.5</v>
      </c>
      <c r="D43" s="75" t="str">
        <f>CONCATENATE("Euro/",$C$8,"/jaar")</f>
        <v>Euro/kW/jaar</v>
      </c>
      <c r="E43" s="417" t="s">
        <v>463</v>
      </c>
      <c r="F43" s="431"/>
      <c r="G43" s="431"/>
      <c r="H43" s="431"/>
      <c r="I43" s="431"/>
      <c r="J43" s="431"/>
      <c r="K43" s="431"/>
      <c r="L43" s="431"/>
      <c r="M43" s="432"/>
    </row>
    <row r="44" spans="2:13" ht="15" customHeight="1">
      <c r="B44" s="72" t="s">
        <v>465</v>
      </c>
      <c r="C44" s="239">
        <f>(C42*C21+C43*SUM(C26,C28))/1000</f>
        <v>2.61</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810000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810000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-840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v>1000</v>
      </c>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-43600</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54000</v>
      </c>
      <c r="F115" s="312">
        <f t="shared" si="4"/>
        <v>54000</v>
      </c>
      <c r="G115" s="312">
        <f t="shared" si="4"/>
        <v>54000</v>
      </c>
      <c r="H115" s="312">
        <f t="shared" si="4"/>
        <v>54000</v>
      </c>
      <c r="I115" s="312">
        <f t="shared" si="4"/>
        <v>54000</v>
      </c>
      <c r="J115" s="312">
        <f t="shared" si="4"/>
        <v>54000</v>
      </c>
      <c r="K115" s="312">
        <f t="shared" si="4"/>
        <v>54000</v>
      </c>
      <c r="L115" s="312">
        <f t="shared" si="4"/>
        <v>54000</v>
      </c>
      <c r="M115" s="312">
        <f t="shared" si="4"/>
        <v>54000</v>
      </c>
      <c r="N115" s="312">
        <f t="shared" si="4"/>
        <v>54000</v>
      </c>
      <c r="O115" s="312">
        <f t="shared" si="4"/>
        <v>54000</v>
      </c>
      <c r="P115" s="312">
        <f t="shared" si="4"/>
        <v>54000</v>
      </c>
      <c r="Q115" s="312">
        <f t="shared" si="4"/>
        <v>54000</v>
      </c>
      <c r="R115" s="312">
        <f t="shared" si="4"/>
        <v>54000</v>
      </c>
      <c r="S115" s="312">
        <f t="shared" si="4"/>
        <v>54000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54000</v>
      </c>
      <c r="F118" s="315">
        <f t="shared" si="7"/>
        <v>54000</v>
      </c>
      <c r="G118" s="315">
        <f t="shared" si="7"/>
        <v>54000</v>
      </c>
      <c r="H118" s="315">
        <f t="shared" si="7"/>
        <v>54000</v>
      </c>
      <c r="I118" s="315">
        <f t="shared" si="7"/>
        <v>54000</v>
      </c>
      <c r="J118" s="315">
        <f t="shared" si="7"/>
        <v>54000</v>
      </c>
      <c r="K118" s="315">
        <f t="shared" si="7"/>
        <v>54000</v>
      </c>
      <c r="L118" s="315">
        <f t="shared" si="7"/>
        <v>54000</v>
      </c>
      <c r="M118" s="315">
        <f t="shared" si="7"/>
        <v>54000</v>
      </c>
      <c r="N118" s="315">
        <f t="shared" si="7"/>
        <v>54000</v>
      </c>
      <c r="O118" s="315">
        <f t="shared" si="7"/>
        <v>54000</v>
      </c>
      <c r="P118" s="315">
        <f t="shared" si="7"/>
        <v>54000</v>
      </c>
      <c r="Q118" s="315">
        <f t="shared" si="7"/>
        <v>54000</v>
      </c>
      <c r="R118" s="315">
        <f t="shared" si="7"/>
        <v>54000</v>
      </c>
      <c r="S118" s="315">
        <f t="shared" si="7"/>
        <v>54000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-3144.6</v>
      </c>
      <c r="F120" s="312">
        <f t="shared" si="8"/>
        <v>-3207.4920000000002</v>
      </c>
      <c r="G120" s="312">
        <f t="shared" si="8"/>
        <v>-3271.6418399999998</v>
      </c>
      <c r="H120" s="312">
        <f t="shared" si="8"/>
        <v>-3337.0746767999999</v>
      </c>
      <c r="I120" s="312">
        <f t="shared" si="8"/>
        <v>-3403.8161703359997</v>
      </c>
      <c r="J120" s="312">
        <f t="shared" si="8"/>
        <v>-3471.89249374272</v>
      </c>
      <c r="K120" s="312">
        <f t="shared" si="8"/>
        <v>-3541.3303436175747</v>
      </c>
      <c r="L120" s="312">
        <f t="shared" si="8"/>
        <v>-3612.1569504899253</v>
      </c>
      <c r="M120" s="312">
        <f t="shared" si="8"/>
        <v>-3684.4000894997239</v>
      </c>
      <c r="N120" s="312">
        <f t="shared" si="8"/>
        <v>-3758.0880912897187</v>
      </c>
      <c r="O120" s="312">
        <f t="shared" si="8"/>
        <v>-3833.2498531155129</v>
      </c>
      <c r="P120" s="312">
        <f t="shared" si="8"/>
        <v>-3909.9148501778227</v>
      </c>
      <c r="Q120" s="312">
        <f t="shared" si="8"/>
        <v>-5053.4362546139182</v>
      </c>
      <c r="R120" s="312">
        <f t="shared" si="8"/>
        <v>-4067.875410125007</v>
      </c>
      <c r="S120" s="312">
        <f t="shared" si="8"/>
        <v>-4149.2329183275078</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-3144.6</v>
      </c>
      <c r="F131" s="312">
        <f t="shared" si="18"/>
        <v>-3207.4920000000002</v>
      </c>
      <c r="G131" s="312">
        <f t="shared" si="18"/>
        <v>-3271.6418399999998</v>
      </c>
      <c r="H131" s="312">
        <f t="shared" si="18"/>
        <v>-3337.0746767999999</v>
      </c>
      <c r="I131" s="312">
        <f t="shared" si="18"/>
        <v>-3403.8161703359997</v>
      </c>
      <c r="J131" s="312">
        <f t="shared" si="18"/>
        <v>-3471.89249374272</v>
      </c>
      <c r="K131" s="312">
        <f t="shared" si="18"/>
        <v>-3541.3303436175747</v>
      </c>
      <c r="L131" s="312">
        <f t="shared" si="18"/>
        <v>-3612.1569504899253</v>
      </c>
      <c r="M131" s="312">
        <f t="shared" si="18"/>
        <v>-3684.4000894997239</v>
      </c>
      <c r="N131" s="312">
        <f t="shared" si="18"/>
        <v>-3758.0880912897187</v>
      </c>
      <c r="O131" s="312">
        <f t="shared" si="18"/>
        <v>-3833.2498531155129</v>
      </c>
      <c r="P131" s="312">
        <f t="shared" si="18"/>
        <v>-3909.9148501778227</v>
      </c>
      <c r="Q131" s="312">
        <f t="shared" si="18"/>
        <v>-5053.4362546139182</v>
      </c>
      <c r="R131" s="312">
        <f t="shared" si="18"/>
        <v>-4067.875410125007</v>
      </c>
      <c r="S131" s="312">
        <f t="shared" si="18"/>
        <v>-4149.2329183275078</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-3144.6</v>
      </c>
      <c r="F132" s="321">
        <f t="shared" si="19"/>
        <v>-3207.4920000000002</v>
      </c>
      <c r="G132" s="321">
        <f t="shared" si="19"/>
        <v>-3271.6418399999998</v>
      </c>
      <c r="H132" s="321">
        <f t="shared" si="19"/>
        <v>-3337.0746767999999</v>
      </c>
      <c r="I132" s="321">
        <f t="shared" si="19"/>
        <v>-3403.8161703359997</v>
      </c>
      <c r="J132" s="321">
        <f t="shared" si="19"/>
        <v>-3471.89249374272</v>
      </c>
      <c r="K132" s="321">
        <f t="shared" si="19"/>
        <v>-3541.3303436175747</v>
      </c>
      <c r="L132" s="321">
        <f t="shared" si="19"/>
        <v>-3612.1569504899253</v>
      </c>
      <c r="M132" s="321">
        <f t="shared" si="19"/>
        <v>-3684.4000894997239</v>
      </c>
      <c r="N132" s="321">
        <f t="shared" si="19"/>
        <v>-3758.0880912897187</v>
      </c>
      <c r="O132" s="321">
        <f t="shared" si="19"/>
        <v>-3833.2498531155129</v>
      </c>
      <c r="P132" s="321">
        <f t="shared" si="19"/>
        <v>-3909.9148501778227</v>
      </c>
      <c r="Q132" s="321">
        <f t="shared" si="19"/>
        <v>-5053.4362546139182</v>
      </c>
      <c r="R132" s="321">
        <f t="shared" si="19"/>
        <v>-4067.875410125007</v>
      </c>
      <c r="S132" s="321">
        <f t="shared" si="19"/>
        <v>-4149.2329183275078</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-2906.6666666666665</v>
      </c>
      <c r="F134" s="312">
        <f t="shared" si="20"/>
        <v>-2906.6666666666665</v>
      </c>
      <c r="G134" s="312">
        <f t="shared" si="20"/>
        <v>-2906.6666666666665</v>
      </c>
      <c r="H134" s="312">
        <f t="shared" si="20"/>
        <v>-2906.6666666666665</v>
      </c>
      <c r="I134" s="312">
        <f t="shared" si="20"/>
        <v>-2906.6666666666665</v>
      </c>
      <c r="J134" s="312">
        <f t="shared" si="20"/>
        <v>-2906.6666666666665</v>
      </c>
      <c r="K134" s="312">
        <f t="shared" si="20"/>
        <v>-2906.6666666666665</v>
      </c>
      <c r="L134" s="312">
        <f t="shared" si="20"/>
        <v>-2906.6666666666665</v>
      </c>
      <c r="M134" s="312">
        <f t="shared" si="20"/>
        <v>-2906.6666666666665</v>
      </c>
      <c r="N134" s="312">
        <f t="shared" si="20"/>
        <v>-2906.6666666666665</v>
      </c>
      <c r="O134" s="312">
        <f t="shared" si="20"/>
        <v>-2906.6666666666665</v>
      </c>
      <c r="P134" s="312">
        <f t="shared" si="20"/>
        <v>-2906.6666666666665</v>
      </c>
      <c r="Q134" s="312">
        <f t="shared" si="20"/>
        <v>-2906.6666666666665</v>
      </c>
      <c r="R134" s="312">
        <f t="shared" si="20"/>
        <v>-2906.6666666666665</v>
      </c>
      <c r="S134" s="312">
        <f t="shared" si="20"/>
        <v>-2906.6666666666665</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-1602.2999999999997</v>
      </c>
      <c r="F135" s="312">
        <f t="shared" si="21"/>
        <v>-1529.4319642424364</v>
      </c>
      <c r="G135" s="312">
        <f t="shared" si="21"/>
        <v>-1452.7383566076014</v>
      </c>
      <c r="H135" s="312">
        <f t="shared" si="21"/>
        <v>-1372.0183345719372</v>
      </c>
      <c r="I135" s="312">
        <f t="shared" si="21"/>
        <v>-1287.0605113794006</v>
      </c>
      <c r="J135" s="312">
        <f t="shared" si="21"/>
        <v>-1197.642402469256</v>
      </c>
      <c r="K135" s="312">
        <f t="shared" si="21"/>
        <v>-1103.5298428413289</v>
      </c>
      <c r="L135" s="312">
        <f t="shared" si="21"/>
        <v>-1004.4763738329357</v>
      </c>
      <c r="M135" s="312">
        <f t="shared" si="21"/>
        <v>-900.22259770160167</v>
      </c>
      <c r="N135" s="312">
        <f t="shared" si="21"/>
        <v>-790.49549832337243</v>
      </c>
      <c r="O135" s="312">
        <f t="shared" si="21"/>
        <v>-675.00772622778641</v>
      </c>
      <c r="P135" s="312">
        <f t="shared" si="21"/>
        <v>-553.45684609718205</v>
      </c>
      <c r="Q135" s="312">
        <f t="shared" si="21"/>
        <v>-425.52454475972092</v>
      </c>
      <c r="R135" s="312">
        <f t="shared" si="21"/>
        <v>-290.87579760204318</v>
      </c>
      <c r="S135" s="312">
        <f t="shared" si="21"/>
        <v>-149.15799121858731</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-1387.9625858583463</v>
      </c>
      <c r="F136" s="312">
        <f t="shared" si="22"/>
        <v>-1460.8306216159094</v>
      </c>
      <c r="G136" s="312">
        <f t="shared" si="22"/>
        <v>-1537.5242292507448</v>
      </c>
      <c r="H136" s="312">
        <f t="shared" si="22"/>
        <v>-1618.2442512864086</v>
      </c>
      <c r="I136" s="312">
        <f t="shared" si="22"/>
        <v>-1703.2020744789452</v>
      </c>
      <c r="J136" s="312">
        <f t="shared" si="22"/>
        <v>-1792.6201833890898</v>
      </c>
      <c r="K136" s="312">
        <f t="shared" si="22"/>
        <v>-1886.7327430170169</v>
      </c>
      <c r="L136" s="312">
        <f t="shared" si="22"/>
        <v>-1985.7862120254104</v>
      </c>
      <c r="M136" s="312">
        <f t="shared" si="22"/>
        <v>-2090.0399881567446</v>
      </c>
      <c r="N136" s="312">
        <f t="shared" si="22"/>
        <v>-2199.7670875349736</v>
      </c>
      <c r="O136" s="312">
        <f t="shared" si="22"/>
        <v>-2315.2548596305592</v>
      </c>
      <c r="P136" s="312">
        <f t="shared" si="22"/>
        <v>-2436.8057397611637</v>
      </c>
      <c r="Q136" s="312">
        <f t="shared" si="22"/>
        <v>-2564.7380410986252</v>
      </c>
      <c r="R136" s="312">
        <f t="shared" si="22"/>
        <v>-2699.3867882563031</v>
      </c>
      <c r="S136" s="312">
        <f t="shared" si="22"/>
        <v>-2841.1045946397585</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-2990.262585858346</v>
      </c>
      <c r="F137" s="321">
        <f t="shared" si="23"/>
        <v>-2990.262585858346</v>
      </c>
      <c r="G137" s="321">
        <f t="shared" si="23"/>
        <v>-2990.262585858346</v>
      </c>
      <c r="H137" s="321">
        <f t="shared" si="23"/>
        <v>-2990.262585858346</v>
      </c>
      <c r="I137" s="321">
        <f t="shared" si="23"/>
        <v>-2990.262585858346</v>
      </c>
      <c r="J137" s="321">
        <f t="shared" si="23"/>
        <v>-2990.262585858346</v>
      </c>
      <c r="K137" s="321">
        <f t="shared" si="23"/>
        <v>-2990.262585858346</v>
      </c>
      <c r="L137" s="321">
        <f t="shared" si="23"/>
        <v>-2990.262585858346</v>
      </c>
      <c r="M137" s="321">
        <f t="shared" si="23"/>
        <v>-2990.262585858346</v>
      </c>
      <c r="N137" s="321">
        <f t="shared" si="23"/>
        <v>-2990.262585858346</v>
      </c>
      <c r="O137" s="321">
        <f t="shared" si="23"/>
        <v>-2990.2625858583456</v>
      </c>
      <c r="P137" s="321">
        <f t="shared" si="23"/>
        <v>-2990.262585858346</v>
      </c>
      <c r="Q137" s="321">
        <f t="shared" si="23"/>
        <v>-2990.262585858346</v>
      </c>
      <c r="R137" s="321">
        <f t="shared" si="23"/>
        <v>-2990.2625858583465</v>
      </c>
      <c r="S137" s="321">
        <f t="shared" si="23"/>
        <v>-2990.262585858346</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-7653.5666666666657</v>
      </c>
      <c r="F139" s="312">
        <f t="shared" si="24"/>
        <v>-7643.5906309091024</v>
      </c>
      <c r="G139" s="312">
        <f t="shared" si="24"/>
        <v>-7631.0468632742677</v>
      </c>
      <c r="H139" s="312">
        <f t="shared" si="24"/>
        <v>-7615.7596780386039</v>
      </c>
      <c r="I139" s="312">
        <f t="shared" si="24"/>
        <v>-7597.5433483820671</v>
      </c>
      <c r="J139" s="312">
        <f t="shared" si="24"/>
        <v>-7576.2015628786421</v>
      </c>
      <c r="K139" s="312">
        <f t="shared" si="24"/>
        <v>-7551.5268531255706</v>
      </c>
      <c r="L139" s="312">
        <f t="shared" si="24"/>
        <v>-7523.299990989527</v>
      </c>
      <c r="M139" s="312">
        <f t="shared" si="24"/>
        <v>-7491.2893538679918</v>
      </c>
      <c r="N139" s="312">
        <f t="shared" si="24"/>
        <v>-7455.2502562797581</v>
      </c>
      <c r="O139" s="312">
        <f t="shared" si="24"/>
        <v>-7414.9242460099658</v>
      </c>
      <c r="P139" s="312">
        <f t="shared" si="24"/>
        <v>-7370.0383629416719</v>
      </c>
      <c r="Q139" s="312">
        <f t="shared" si="24"/>
        <v>-8385.6274660403051</v>
      </c>
      <c r="R139" s="312">
        <f t="shared" si="24"/>
        <v>-7265.4178743937164</v>
      </c>
      <c r="S139" s="312">
        <f t="shared" si="24"/>
        <v>-7205.0575762127619</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1454.1776666666665</v>
      </c>
      <c r="F140" s="312">
        <f t="shared" si="25"/>
        <v>1452.2822198727295</v>
      </c>
      <c r="G140" s="312">
        <f t="shared" si="25"/>
        <v>1449.8989040221109</v>
      </c>
      <c r="H140" s="312">
        <f t="shared" si="25"/>
        <v>1446.9943388273348</v>
      </c>
      <c r="I140" s="312">
        <f t="shared" si="25"/>
        <v>1443.5332361925928</v>
      </c>
      <c r="J140" s="312">
        <f t="shared" si="25"/>
        <v>1439.478296946942</v>
      </c>
      <c r="K140" s="312">
        <f t="shared" si="25"/>
        <v>1434.7901020938584</v>
      </c>
      <c r="L140" s="312">
        <f t="shared" si="25"/>
        <v>1429.4269982880101</v>
      </c>
      <c r="M140" s="312">
        <f t="shared" si="25"/>
        <v>1423.3449772349184</v>
      </c>
      <c r="N140" s="312">
        <f t="shared" si="25"/>
        <v>1416.4975486931542</v>
      </c>
      <c r="O140" s="312">
        <f t="shared" si="25"/>
        <v>1408.8356067418936</v>
      </c>
      <c r="P140" s="312">
        <f t="shared" si="25"/>
        <v>1400.3072889589178</v>
      </c>
      <c r="Q140" s="312">
        <f t="shared" si="25"/>
        <v>1593.2692185476581</v>
      </c>
      <c r="R140" s="312">
        <f t="shared" si="25"/>
        <v>1380.4293961348062</v>
      </c>
      <c r="S140" s="312">
        <f t="shared" si="25"/>
        <v>1368.9609394804247</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-4680.684919191679</v>
      </c>
      <c r="F142" s="321">
        <f t="shared" si="26"/>
        <v>-4745.4723659856172</v>
      </c>
      <c r="G142" s="321">
        <f t="shared" si="26"/>
        <v>-4812.005521836234</v>
      </c>
      <c r="H142" s="321">
        <f t="shared" si="26"/>
        <v>-4880.3429238310109</v>
      </c>
      <c r="I142" s="321">
        <f t="shared" si="26"/>
        <v>-4950.5455200017523</v>
      </c>
      <c r="J142" s="321">
        <f t="shared" si="26"/>
        <v>-5022.6767826541236</v>
      </c>
      <c r="K142" s="321">
        <f t="shared" si="26"/>
        <v>-5096.8028273820619</v>
      </c>
      <c r="L142" s="321">
        <f t="shared" si="26"/>
        <v>-5172.9925380602617</v>
      </c>
      <c r="M142" s="321">
        <f t="shared" si="26"/>
        <v>-5251.3176981231509</v>
      </c>
      <c r="N142" s="321">
        <f t="shared" si="26"/>
        <v>-5331.8531284549099</v>
      </c>
      <c r="O142" s="321">
        <f t="shared" si="26"/>
        <v>-5414.6768322319649</v>
      </c>
      <c r="P142" s="321">
        <f t="shared" si="26"/>
        <v>-5499.8701470772512</v>
      </c>
      <c r="Q142" s="321">
        <f t="shared" si="26"/>
        <v>-6450.4296219246062</v>
      </c>
      <c r="R142" s="321">
        <f t="shared" si="26"/>
        <v>-5677.7085998485472</v>
      </c>
      <c r="S142" s="321">
        <f t="shared" si="26"/>
        <v>-5770.5345647054291</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-43600</v>
      </c>
      <c r="E143" s="312">
        <f t="shared" ref="E143:AR143" si="27">E132+E140</f>
        <v>-1690.4223333333334</v>
      </c>
      <c r="F143" s="312">
        <f t="shared" si="27"/>
        <v>-1755.2097801272707</v>
      </c>
      <c r="G143" s="312">
        <f t="shared" si="27"/>
        <v>-1821.7429359778889</v>
      </c>
      <c r="H143" s="312">
        <f t="shared" si="27"/>
        <v>-1890.0803379726651</v>
      </c>
      <c r="I143" s="312">
        <f t="shared" si="27"/>
        <v>-1960.2829341434069</v>
      </c>
      <c r="J143" s="312">
        <f t="shared" si="27"/>
        <v>-2032.414196795778</v>
      </c>
      <c r="K143" s="312">
        <f t="shared" si="27"/>
        <v>-2106.5402415237163</v>
      </c>
      <c r="L143" s="312">
        <f t="shared" si="27"/>
        <v>-2182.7299522019152</v>
      </c>
      <c r="M143" s="312">
        <f t="shared" si="27"/>
        <v>-2261.0551122648058</v>
      </c>
      <c r="N143" s="312">
        <f t="shared" si="27"/>
        <v>-2341.5905425965648</v>
      </c>
      <c r="O143" s="312">
        <f t="shared" si="27"/>
        <v>-2424.4142463736193</v>
      </c>
      <c r="P143" s="312">
        <f t="shared" si="27"/>
        <v>-2509.6075612189052</v>
      </c>
      <c r="Q143" s="312">
        <f t="shared" si="27"/>
        <v>-3460.1670360662602</v>
      </c>
      <c r="R143" s="312">
        <f t="shared" si="27"/>
        <v>-2687.4460139902008</v>
      </c>
      <c r="S143" s="312">
        <f t="shared" si="27"/>
        <v>-2780.2719788470831</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-13080</v>
      </c>
      <c r="E144" s="312">
        <f t="shared" ref="E144:AR144" si="28">E142</f>
        <v>-4680.684919191679</v>
      </c>
      <c r="F144" s="312">
        <f t="shared" si="28"/>
        <v>-4745.4723659856172</v>
      </c>
      <c r="G144" s="312">
        <f t="shared" si="28"/>
        <v>-4812.005521836234</v>
      </c>
      <c r="H144" s="312">
        <f t="shared" si="28"/>
        <v>-4880.3429238310109</v>
      </c>
      <c r="I144" s="312">
        <f t="shared" si="28"/>
        <v>-4950.5455200017523</v>
      </c>
      <c r="J144" s="312">
        <f t="shared" si="28"/>
        <v>-5022.6767826541236</v>
      </c>
      <c r="K144" s="312">
        <f t="shared" si="28"/>
        <v>-5096.8028273820619</v>
      </c>
      <c r="L144" s="312">
        <f t="shared" si="28"/>
        <v>-5172.9925380602617</v>
      </c>
      <c r="M144" s="312">
        <f t="shared" si="28"/>
        <v>-5251.3176981231509</v>
      </c>
      <c r="N144" s="312">
        <f t="shared" si="28"/>
        <v>-5331.8531284549099</v>
      </c>
      <c r="O144" s="312">
        <f t="shared" si="28"/>
        <v>-5414.6768322319649</v>
      </c>
      <c r="P144" s="312">
        <f t="shared" si="28"/>
        <v>-5499.8701470772512</v>
      </c>
      <c r="Q144" s="312">
        <f t="shared" si="28"/>
        <v>-6450.4296219246062</v>
      </c>
      <c r="R144" s="312">
        <f t="shared" si="28"/>
        <v>-5677.7085998485472</v>
      </c>
      <c r="S144" s="312">
        <f t="shared" si="28"/>
        <v>-5770.5345647054291</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54000</v>
      </c>
      <c r="F145" s="312">
        <f t="shared" si="29"/>
        <v>54000</v>
      </c>
      <c r="G145" s="312">
        <f t="shared" si="29"/>
        <v>54000</v>
      </c>
      <c r="H145" s="312">
        <f t="shared" si="29"/>
        <v>54000</v>
      </c>
      <c r="I145" s="312">
        <f t="shared" si="29"/>
        <v>54000</v>
      </c>
      <c r="J145" s="312">
        <f t="shared" si="29"/>
        <v>54000</v>
      </c>
      <c r="K145" s="312">
        <f t="shared" si="29"/>
        <v>54000</v>
      </c>
      <c r="L145" s="312">
        <f t="shared" si="29"/>
        <v>54000</v>
      </c>
      <c r="M145" s="312">
        <f t="shared" si="29"/>
        <v>54000</v>
      </c>
      <c r="N145" s="312">
        <f t="shared" si="29"/>
        <v>54000</v>
      </c>
      <c r="O145" s="312">
        <f t="shared" si="29"/>
        <v>54000</v>
      </c>
      <c r="P145" s="312">
        <f t="shared" si="29"/>
        <v>54000</v>
      </c>
      <c r="Q145" s="312">
        <f t="shared" si="29"/>
        <v>54000</v>
      </c>
      <c r="R145" s="312">
        <f t="shared" si="29"/>
        <v>54000</v>
      </c>
      <c r="S145" s="312">
        <f t="shared" si="29"/>
        <v>54000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43600</v>
      </c>
      <c r="E146" s="323">
        <f t="shared" ref="E146:AR146" si="30">IF(E112&lt;=$C76,D146-($C$5*E118+E132+E135),D146-(E132+E135))</f>
        <v>40300.9</v>
      </c>
      <c r="F146" s="323">
        <f t="shared" si="30"/>
        <v>36991.823964242438</v>
      </c>
      <c r="G146" s="323">
        <f t="shared" si="30"/>
        <v>33670.204160850037</v>
      </c>
      <c r="H146" s="323">
        <f t="shared" si="30"/>
        <v>30333.297172221974</v>
      </c>
      <c r="I146" s="323">
        <f t="shared" si="30"/>
        <v>26978.173853937376</v>
      </c>
      <c r="J146" s="323">
        <f t="shared" si="30"/>
        <v>23601.708750149352</v>
      </c>
      <c r="K146" s="323">
        <f t="shared" si="30"/>
        <v>20200.568936608255</v>
      </c>
      <c r="L146" s="323">
        <f t="shared" si="30"/>
        <v>16771.202260931117</v>
      </c>
      <c r="M146" s="323">
        <f t="shared" si="30"/>
        <v>13309.824948132442</v>
      </c>
      <c r="N146" s="323">
        <f t="shared" si="30"/>
        <v>9812.408537745534</v>
      </c>
      <c r="O146" s="323">
        <f t="shared" si="30"/>
        <v>6274.6661170888328</v>
      </c>
      <c r="P146" s="323">
        <f t="shared" si="30"/>
        <v>2692.0378133638378</v>
      </c>
      <c r="Q146" s="323">
        <f t="shared" si="30"/>
        <v>124.99861273747683</v>
      </c>
      <c r="R146" s="323">
        <f t="shared" si="30"/>
        <v>-3562.2501795354729</v>
      </c>
      <c r="S146" s="323">
        <f t="shared" si="30"/>
        <v>-7309.8592699893779</v>
      </c>
      <c r="T146" s="323">
        <f t="shared" si="30"/>
        <v>-7309.8592699893779</v>
      </c>
      <c r="U146" s="323">
        <f t="shared" si="30"/>
        <v>-7309.8592699893779</v>
      </c>
      <c r="V146" s="323">
        <f t="shared" si="30"/>
        <v>-7309.8592699893779</v>
      </c>
      <c r="W146" s="323">
        <f t="shared" si="30"/>
        <v>-7309.8592699893779</v>
      </c>
      <c r="X146" s="323">
        <f t="shared" si="30"/>
        <v>-7309.8592699893779</v>
      </c>
      <c r="Y146" s="323">
        <f t="shared" si="30"/>
        <v>-7309.8592699893779</v>
      </c>
      <c r="Z146" s="323">
        <f t="shared" si="30"/>
        <v>-7309.8592699893779</v>
      </c>
      <c r="AA146" s="323">
        <f t="shared" si="30"/>
        <v>-7309.8592699893779</v>
      </c>
      <c r="AB146" s="323">
        <f t="shared" si="30"/>
        <v>-7309.8592699893779</v>
      </c>
      <c r="AC146" s="323">
        <f t="shared" si="30"/>
        <v>-7309.8592699893779</v>
      </c>
      <c r="AD146" s="323">
        <f t="shared" si="30"/>
        <v>-7309.8592699893779</v>
      </c>
      <c r="AE146" s="323">
        <f t="shared" si="30"/>
        <v>-7309.8592699893779</v>
      </c>
      <c r="AF146" s="323">
        <f t="shared" si="30"/>
        <v>-7309.8592699893779</v>
      </c>
      <c r="AG146" s="323">
        <f t="shared" si="30"/>
        <v>-7309.8592699893779</v>
      </c>
      <c r="AH146" s="323">
        <f t="shared" si="30"/>
        <v>-7309.8592699893779</v>
      </c>
      <c r="AI146" s="323">
        <f t="shared" si="30"/>
        <v>-7309.8592699893779</v>
      </c>
      <c r="AJ146" s="323">
        <f t="shared" si="30"/>
        <v>-7309.8592699893779</v>
      </c>
      <c r="AK146" s="323">
        <f t="shared" si="30"/>
        <v>-7309.8592699893779</v>
      </c>
      <c r="AL146" s="323">
        <f t="shared" si="30"/>
        <v>-7309.8592699893779</v>
      </c>
      <c r="AM146" s="323">
        <f t="shared" si="30"/>
        <v>-7309.8592699893779</v>
      </c>
      <c r="AN146" s="323">
        <f t="shared" si="30"/>
        <v>-7309.8592699893779</v>
      </c>
      <c r="AO146" s="323">
        <f t="shared" si="30"/>
        <v>-7309.8592699893779</v>
      </c>
      <c r="AP146" s="323">
        <f t="shared" si="30"/>
        <v>-7309.8592699893779</v>
      </c>
      <c r="AQ146" s="323">
        <f t="shared" si="30"/>
        <v>-7309.8592699893779</v>
      </c>
      <c r="AR146" s="324">
        <f t="shared" si="30"/>
        <v>-7309.8592699893779</v>
      </c>
    </row>
    <row r="147" spans="1:44" ht="12.95" customHeight="1">
      <c r="B147" s="267" t="s">
        <v>577</v>
      </c>
      <c r="C147" s="268"/>
      <c r="D147" s="325"/>
      <c r="E147" s="326">
        <f t="shared" ref="E147:AR147" si="31">IF(E112&gt;$C$74,"",(-$C$94*(E139+$C$5*E118)+E132+$C$5*E118)/-E137)</f>
        <v>1.614185218881417</v>
      </c>
      <c r="F147" s="326">
        <f t="shared" si="31"/>
        <v>1.5925190792252104</v>
      </c>
      <c r="G147" s="326">
        <f t="shared" si="31"/>
        <v>1.5702691416560921</v>
      </c>
      <c r="H147" s="326">
        <f t="shared" si="31"/>
        <v>1.5474158302720147</v>
      </c>
      <c r="I147" s="326">
        <f t="shared" si="31"/>
        <v>1.5239387629058423</v>
      </c>
      <c r="J147" s="326">
        <f t="shared" si="31"/>
        <v>1.4998167132258253</v>
      </c>
      <c r="K147" s="326">
        <f t="shared" si="31"/>
        <v>1.475027570934945</v>
      </c>
      <c r="L147" s="326">
        <f t="shared" si="31"/>
        <v>1.449548299971078</v>
      </c>
      <c r="M147" s="326">
        <f t="shared" si="31"/>
        <v>1.4233548946048373</v>
      </c>
      <c r="N147" s="326">
        <f t="shared" si="31"/>
        <v>1.3964223333265637</v>
      </c>
      <c r="O147" s="326">
        <f t="shared" si="31"/>
        <v>1.3687245304082691</v>
      </c>
      <c r="P147" s="326">
        <f t="shared" si="31"/>
        <v>1.3402342850203941</v>
      </c>
      <c r="Q147" s="326">
        <f t="shared" si="31"/>
        <v>1.0223493342663117</v>
      </c>
      <c r="R147" s="326">
        <f t="shared" si="31"/>
        <v>1.2807617645760905</v>
      </c>
      <c r="S147" s="326">
        <f t="shared" si="31"/>
        <v>1.2497190175959834</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-48368.220921535838</v>
      </c>
      <c r="D150" s="271" t="s">
        <v>580</v>
      </c>
    </row>
    <row r="151" spans="1:44">
      <c r="B151" s="72" t="s">
        <v>581</v>
      </c>
      <c r="C151" s="272">
        <f>(1-$C$94)*NPV($C$91,E145:AR145)</f>
        <v>411272.73570611572</v>
      </c>
      <c r="D151" s="271" t="str">
        <f>$C$7</f>
        <v>kWh</v>
      </c>
      <c r="F151" s="273"/>
    </row>
    <row r="152" spans="1:44">
      <c r="B152" s="72" t="s">
        <v>582</v>
      </c>
      <c r="C152" s="272">
        <f>$C$41*1000000</f>
        <v>43600</v>
      </c>
      <c r="D152" s="271" t="s">
        <v>528</v>
      </c>
      <c r="F152" s="46"/>
    </row>
    <row r="153" spans="1:44">
      <c r="B153" s="72" t="s">
        <v>583</v>
      </c>
      <c r="C153" s="274">
        <f>AVERAGE(E147:AR147)</f>
        <v>1.4236191184580584</v>
      </c>
      <c r="D153" s="271"/>
      <c r="F153" s="46"/>
    </row>
    <row r="154" spans="1:44">
      <c r="B154" s="72" t="s">
        <v>584</v>
      </c>
      <c r="C154" s="95" t="str">
        <f>CONCATENATE(ROUND(((1-$C$94)*$C$90*$C$92+$C$93*$C$91)*100,1),"% / ",ROUND((((1+(1-$C$94)*$C$90*$C$92+$C$93*$C$91)/(1+$C$89))-1)*100,1),"%")</f>
        <v>4,9% / 2,9%</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30519.999999999996</v>
      </c>
      <c r="D157" s="271" t="s">
        <v>528</v>
      </c>
      <c r="F157" s="33"/>
    </row>
    <row r="158" spans="1:44">
      <c r="B158" s="72" t="s">
        <v>588</v>
      </c>
      <c r="C158" s="272">
        <f>$C$93*C152-C98</f>
        <v>13080</v>
      </c>
      <c r="D158" s="271" t="s">
        <v>528</v>
      </c>
      <c r="F158" s="33"/>
    </row>
    <row r="159" spans="1:44">
      <c r="B159" s="72" t="s">
        <v>332</v>
      </c>
      <c r="C159" s="95">
        <f>IF(AND(E115&gt;0,E116&gt;0),ROUND(E116/E115,2),0)</f>
        <v>0</v>
      </c>
      <c r="D159" s="271" t="s">
        <v>589</v>
      </c>
      <c r="F159" s="33"/>
    </row>
    <row r="160" spans="1:44">
      <c r="B160" s="72" t="s">
        <v>590</v>
      </c>
      <c r="C160" s="95">
        <f>IF(C159=0,MAX(C29:C30),E118/SUM(C26,C28))</f>
        <v>900</v>
      </c>
      <c r="D160" s="271" t="s">
        <v>446</v>
      </c>
      <c r="F160" s="33"/>
    </row>
    <row r="161" spans="2:44" ht="15" customHeight="1">
      <c r="B161" s="73" t="s">
        <v>591</v>
      </c>
      <c r="C161" s="426" t="str">
        <f>CONCATENATE( "tussen ", INDEX(D112:X112, MATCH(0,D146:AR146, -1)), " en ",  1 + INDEX(D112:X112, MATCH(0,D146:AR146, -1)), " jaar")</f>
        <v>tussen 13 en 14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3.5000000000000003E-2</v>
      </c>
      <c r="D164" s="271" t="str">
        <f t="shared" ref="D164:D179" si="32">CONCATENATE("Euro/",$C$7)</f>
        <v>Euro/kWh</v>
      </c>
    </row>
    <row r="165" spans="2:44" ht="14.85" customHeight="1">
      <c r="B165" s="72" t="s">
        <v>593</v>
      </c>
      <c r="C165" s="341" t="str">
        <f>IF($C$15&gt;0,CONCATENATE(TEXT(C166,"0"&amp;","&amp;REPT("0",Colofon!$C$31))," / ",TEXT(C167,"0"&amp;","&amp;REPT("0",Colofon!$C$31))),C164)</f>
        <v>0,035 / 0,000</v>
      </c>
      <c r="D165" s="271" t="str">
        <f t="shared" si="32"/>
        <v>Euro/kWh</v>
      </c>
    </row>
    <row r="166" spans="2:44" ht="14.85" customHeight="1">
      <c r="B166" s="72" t="s">
        <v>594</v>
      </c>
      <c r="C166" s="342">
        <f>IFERROR(ROUND(INDEX(Correcties!$A$1:$K$37,MATCH($C$15,Correcties!$A$1:$A$37,0),8),Colofon!$C$31),"n.v.t.")</f>
        <v>3.5000000000000003E-2</v>
      </c>
      <c r="D166" s="271" t="str">
        <f t="shared" si="32"/>
        <v>Euro/kWh</v>
      </c>
    </row>
    <row r="167" spans="2:44" ht="14.85" customHeight="1">
      <c r="B167" s="72" t="s">
        <v>52</v>
      </c>
      <c r="C167" s="343">
        <f>IFERROR(ROUND(INDEX(Correcties!$A$1:$K$37,MATCH($C$16,Correcties!$A$1:$A$37,0),8),Colofon!$C$31),"n.v.t.")</f>
        <v>0</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0,130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0.13</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6.8000000000000005E-2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0,068 / 0,112</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6.8000000000000005E-2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0.112</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62" priority="3" operator="containsText" text="Pas op">
      <formula>NOT(ISERROR(SEARCH("Pas op",G1)))</formula>
    </cfRule>
  </conditionalFormatting>
  <conditionalFormatting sqref="G188">
    <cfRule type="containsText" dxfId="61" priority="2" operator="containsText" text="Pas op">
      <formula>NOT(ISERROR(SEARCH("Pas op",G188)))</formula>
    </cfRule>
  </conditionalFormatting>
  <conditionalFormatting sqref="G105">
    <cfRule type="containsText" dxfId="60"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670330BA-F321-4C03-8CA0-F2C9AFE2BD51}">
      <formula1>"ja,nee"</formula1>
    </dataValidation>
    <dataValidation type="list" allowBlank="1" showErrorMessage="1" error="Alleen de opties aangegeven in de dropdownlijst zijn toegestaan" sqref="C7" xr:uid="{C54CB239-9C2A-4F38-9354-DD31C4BFE8D0}">
      <formula1>"t CO2,kWh"</formula1>
    </dataValidation>
    <dataValidation type="list" allowBlank="1" showErrorMessage="1" error="Alleen de opties aangegeven in de dropdownlijst zijn toegestaan" sqref="C14" xr:uid="{6785374C-2137-4A18-9B1B-B96DF9151C79}">
      <formula1>"Nee,Ja,Geen warmte"</formula1>
    </dataValidation>
    <dataValidation type="list" allowBlank="1" showErrorMessage="1" error="Alleen de opties aangegeven in de dropdownlijst zijn toegestaan" sqref="C9" xr:uid="{0F6A4C69-4731-43AC-A696-F4C1A04292FA}">
      <formula1>"Elektriciteit,Lagetemperatuurwarmte,Hogetemperatuurwarmte,Moleculen,CCS/CCU,Generiek"</formula1>
    </dataValidation>
    <dataValidation type="decimal" allowBlank="1" showErrorMessage="1" error="Alleen getallen tussen 0 en 1.0 toegestaan. Vul in met een punt, geen comma" sqref="C17:C18" xr:uid="{65778D19-E06E-462C-A1E4-FBC50F8194F1}">
      <formula1>0</formula1>
      <formula2>1</formula2>
    </dataValidation>
    <dataValidation type="decimal" operator="notBetween" allowBlank="1" showInputMessage="1" sqref="C39:C49" xr:uid="{63F0D004-5FD4-4E65-AA85-0E9E98A99B34}">
      <formula1>0</formula1>
      <formula2>0</formula2>
    </dataValidation>
    <dataValidation type="decimal" operator="notBetween" allowBlank="1" showInputMessage="1" showErrorMessage="1" sqref="C52:C60 C63:C65 C67:C70" xr:uid="{4BFF2ED3-7DFC-413C-8B6C-DAD0A4D7B773}">
      <formula1>0</formula1>
      <formula2>0</formula2>
    </dataValidation>
    <dataValidation type="decimal" operator="greaterThanOrEqual" allowBlank="1" showInputMessage="1" sqref="C21 C24:C30 C33:C36" xr:uid="{D6478CD5-55B6-4CAA-9E23-DFD4DCDE822E}">
      <formula1>0</formula1>
    </dataValidation>
    <dataValidation type="decimal" operator="greaterThanOrEqual" allowBlank="1" showInputMessage="1" showErrorMessage="1" sqref="C73:C77" xr:uid="{F357CC68-6951-4754-AC3B-47F6AEF9E3A4}">
      <formula1>0</formula1>
    </dataValidation>
    <dataValidation type="decimal" operator="greaterThan" allowBlank="1" showInputMessage="1" showErrorMessage="1" sqref="C80:C86 C89:C94" xr:uid="{8DEF58B7-6993-4EA2-A710-E4C89F186DBD}">
      <formula1>0</formula1>
    </dataValidation>
    <dataValidation type="list" operator="greaterThanOrEqual" allowBlank="1" showInputMessage="1" sqref="C23" xr:uid="{4B67E4CF-8F29-487B-929D-AE4246310F33}">
      <formula1>"Ja"</formula1>
    </dataValidation>
    <dataValidation type="decimal" operator="greaterThan" allowBlank="1" showInputMessage="1" showErrorMessage="1" error="Alleen getallen boven de 0 toegstaan" sqref="C22" xr:uid="{BE9FC0C3-0C57-46A1-A24A-F4076C074407}">
      <formula1>0</formula1>
    </dataValidation>
    <dataValidation operator="notBetween" allowBlank="1" showInputMessage="1" showErrorMessage="1" sqref="C66" xr:uid="{920A244A-B51A-4D02-B6B8-B67F7F5C09C0}"/>
  </dataValidations>
  <pageMargins left="0.7" right="0.7" top="0.75" bottom="0.75" header="0.3" footer="0.3"/>
  <pageSetup paperSize="9" scale="14"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4BEA-E18A-4811-8C41-FC36633A841F}">
  <sheetPr codeName="Sheet94">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607</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0.155</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1322.5806451612905</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IFERROR(INDEX(Correcties!$A$1:$I$334,MATCH('2'!C12,Correcties!$A$1:$A$334,0),5),"")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212</v>
      </c>
      <c r="D15" s="75" t="str">
        <f>_xlfn.XLOOKUP(C15,Correcties!A4:A37,Correcties!B4:B37,"")</f>
        <v>Elektriciteit-ZonPV-netlevering (negatieve uren meegenomen)</v>
      </c>
      <c r="E15" s="417" t="str">
        <f>"Enkel relevant voor zon-pv. "&amp;_xlfn.XLOOKUP(C15,Correcties!A4:A37,Correcties!E4:E37,"")</f>
        <v>Enkel relevant voor zon-pv. EPEX1 x PF_PV1</v>
      </c>
      <c r="F15" s="431"/>
      <c r="G15" s="431"/>
      <c r="H15" s="431"/>
      <c r="I15" s="431"/>
      <c r="J15" s="431"/>
      <c r="K15" s="431"/>
      <c r="L15" s="431"/>
      <c r="M15" s="432"/>
    </row>
    <row r="16" spans="1:44" ht="15" customHeight="1">
      <c r="B16" s="72" t="s">
        <v>425</v>
      </c>
      <c r="C16" s="229" t="s">
        <v>222</v>
      </c>
      <c r="D16" s="75" t="str">
        <f>_xlfn.XLOOKUP(C16,Correcties!A4:A37,Correcties!B4:B37,"")</f>
        <v>Elektricteit-ZonPV-niet-netlevering, klein (negatieve uren meegenomen)</v>
      </c>
      <c r="E16" s="417" t="str">
        <f>"Enkel relevant voor zon-pv. "&amp;_xlfn.XLOOKUP(C16,Correcties!A4:A37,Correcties!E4:E37,"")</f>
        <v>Enkel relevant voor zon-pv. EPEX1 x PF_PV1 + EB3_e + ODE3_e + transport</v>
      </c>
      <c r="F16" s="431"/>
      <c r="G16" s="431"/>
      <c r="H16" s="431"/>
      <c r="I16" s="431"/>
      <c r="J16" s="431"/>
      <c r="K16" s="431"/>
      <c r="L16" s="431"/>
      <c r="M16" s="432"/>
    </row>
    <row r="17" spans="2:13" ht="15" customHeight="1">
      <c r="B17" s="72" t="s">
        <v>426</v>
      </c>
      <c r="C17" s="101">
        <v>1</v>
      </c>
      <c r="D17" s="75"/>
      <c r="E17" s="417" t="s">
        <v>427</v>
      </c>
      <c r="F17" s="431"/>
      <c r="G17" s="431"/>
      <c r="H17" s="431"/>
      <c r="I17" s="431"/>
      <c r="J17" s="431"/>
      <c r="K17" s="431"/>
      <c r="L17" s="431"/>
      <c r="M17" s="432"/>
    </row>
    <row r="18" spans="2:13" ht="15" customHeight="1">
      <c r="B18" s="73" t="s">
        <v>428</v>
      </c>
      <c r="C18" s="102">
        <v>0</v>
      </c>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60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900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760</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4.6600000000000003E-2</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43.6</v>
      </c>
      <c r="D43" s="75" t="str">
        <f>CONCATENATE("Euro/",$C$8,"/jaar")</f>
        <v>Euro/kW/jaar</v>
      </c>
      <c r="E43" s="417" t="s">
        <v>463</v>
      </c>
      <c r="F43" s="431"/>
      <c r="G43" s="431"/>
      <c r="H43" s="431"/>
      <c r="I43" s="431"/>
      <c r="J43" s="431"/>
      <c r="K43" s="431"/>
      <c r="L43" s="431"/>
      <c r="M43" s="432"/>
    </row>
    <row r="44" spans="2:13" ht="15" customHeight="1">
      <c r="B44" s="72" t="s">
        <v>465</v>
      </c>
      <c r="C44" s="239">
        <f>(C42*C21+C43*SUM(C26,C28))/1000</f>
        <v>2.6160000000000001</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810000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810000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5.2499999999999998E-2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-840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v>1000</v>
      </c>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-46600</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54000</v>
      </c>
      <c r="F115" s="312">
        <f t="shared" si="4"/>
        <v>54000</v>
      </c>
      <c r="G115" s="312">
        <f t="shared" si="4"/>
        <v>54000</v>
      </c>
      <c r="H115" s="312">
        <f t="shared" si="4"/>
        <v>54000</v>
      </c>
      <c r="I115" s="312">
        <f t="shared" si="4"/>
        <v>54000</v>
      </c>
      <c r="J115" s="312">
        <f t="shared" si="4"/>
        <v>54000</v>
      </c>
      <c r="K115" s="312">
        <f t="shared" si="4"/>
        <v>54000</v>
      </c>
      <c r="L115" s="312">
        <f t="shared" si="4"/>
        <v>54000</v>
      </c>
      <c r="M115" s="312">
        <f t="shared" si="4"/>
        <v>54000</v>
      </c>
      <c r="N115" s="312">
        <f t="shared" si="4"/>
        <v>54000</v>
      </c>
      <c r="O115" s="312">
        <f t="shared" si="4"/>
        <v>54000</v>
      </c>
      <c r="P115" s="312">
        <f t="shared" si="4"/>
        <v>54000</v>
      </c>
      <c r="Q115" s="312">
        <f t="shared" si="4"/>
        <v>54000</v>
      </c>
      <c r="R115" s="312">
        <f t="shared" si="4"/>
        <v>54000</v>
      </c>
      <c r="S115" s="312">
        <f t="shared" si="4"/>
        <v>54000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54000</v>
      </c>
      <c r="F118" s="315">
        <f t="shared" si="7"/>
        <v>54000</v>
      </c>
      <c r="G118" s="315">
        <f t="shared" si="7"/>
        <v>54000</v>
      </c>
      <c r="H118" s="315">
        <f t="shared" si="7"/>
        <v>54000</v>
      </c>
      <c r="I118" s="315">
        <f t="shared" si="7"/>
        <v>54000</v>
      </c>
      <c r="J118" s="315">
        <f t="shared" si="7"/>
        <v>54000</v>
      </c>
      <c r="K118" s="315">
        <f t="shared" si="7"/>
        <v>54000</v>
      </c>
      <c r="L118" s="315">
        <f t="shared" si="7"/>
        <v>54000</v>
      </c>
      <c r="M118" s="315">
        <f t="shared" si="7"/>
        <v>54000</v>
      </c>
      <c r="N118" s="315">
        <f t="shared" si="7"/>
        <v>54000</v>
      </c>
      <c r="O118" s="315">
        <f t="shared" si="7"/>
        <v>54000</v>
      </c>
      <c r="P118" s="315">
        <f t="shared" si="7"/>
        <v>54000</v>
      </c>
      <c r="Q118" s="315">
        <f t="shared" si="7"/>
        <v>54000</v>
      </c>
      <c r="R118" s="315">
        <f t="shared" si="7"/>
        <v>54000</v>
      </c>
      <c r="S118" s="315">
        <f t="shared" si="7"/>
        <v>54000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-3150.6</v>
      </c>
      <c r="F120" s="312">
        <f t="shared" si="8"/>
        <v>-3213.6120000000001</v>
      </c>
      <c r="G120" s="312">
        <f t="shared" si="8"/>
        <v>-3277.8842399999999</v>
      </c>
      <c r="H120" s="312">
        <f t="shared" si="8"/>
        <v>-3343.4419247999995</v>
      </c>
      <c r="I120" s="312">
        <f t="shared" si="8"/>
        <v>-3410.310763296</v>
      </c>
      <c r="J120" s="312">
        <f t="shared" si="8"/>
        <v>-3478.51697856192</v>
      </c>
      <c r="K120" s="312">
        <f t="shared" si="8"/>
        <v>-3548.0873181331585</v>
      </c>
      <c r="L120" s="312">
        <f t="shared" si="8"/>
        <v>-3619.0490644958209</v>
      </c>
      <c r="M120" s="312">
        <f t="shared" si="8"/>
        <v>-3691.4300457857375</v>
      </c>
      <c r="N120" s="312">
        <f t="shared" si="8"/>
        <v>-3765.2586467014526</v>
      </c>
      <c r="O120" s="312">
        <f t="shared" si="8"/>
        <v>-3840.5638196354817</v>
      </c>
      <c r="P120" s="312">
        <f t="shared" si="8"/>
        <v>-3917.3750960281905</v>
      </c>
      <c r="Q120" s="312">
        <f t="shared" si="8"/>
        <v>-5061.0457053812934</v>
      </c>
      <c r="R120" s="312">
        <f t="shared" si="8"/>
        <v>-4075.6370499077298</v>
      </c>
      <c r="S120" s="312">
        <f t="shared" si="8"/>
        <v>-4157.1497909058853</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-3150.6</v>
      </c>
      <c r="F131" s="312">
        <f t="shared" si="18"/>
        <v>-3213.6120000000001</v>
      </c>
      <c r="G131" s="312">
        <f t="shared" si="18"/>
        <v>-3277.8842399999999</v>
      </c>
      <c r="H131" s="312">
        <f t="shared" si="18"/>
        <v>-3343.4419247999995</v>
      </c>
      <c r="I131" s="312">
        <f t="shared" si="18"/>
        <v>-3410.310763296</v>
      </c>
      <c r="J131" s="312">
        <f t="shared" si="18"/>
        <v>-3478.51697856192</v>
      </c>
      <c r="K131" s="312">
        <f t="shared" si="18"/>
        <v>-3548.0873181331585</v>
      </c>
      <c r="L131" s="312">
        <f t="shared" si="18"/>
        <v>-3619.0490644958209</v>
      </c>
      <c r="M131" s="312">
        <f t="shared" si="18"/>
        <v>-3691.4300457857375</v>
      </c>
      <c r="N131" s="312">
        <f t="shared" si="18"/>
        <v>-3765.2586467014526</v>
      </c>
      <c r="O131" s="312">
        <f t="shared" si="18"/>
        <v>-3840.5638196354817</v>
      </c>
      <c r="P131" s="312">
        <f t="shared" si="18"/>
        <v>-3917.3750960281905</v>
      </c>
      <c r="Q131" s="312">
        <f t="shared" si="18"/>
        <v>-5061.0457053812934</v>
      </c>
      <c r="R131" s="312">
        <f t="shared" si="18"/>
        <v>-4075.6370499077298</v>
      </c>
      <c r="S131" s="312">
        <f t="shared" si="18"/>
        <v>-4157.1497909058853</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-3150.6</v>
      </c>
      <c r="F132" s="321">
        <f t="shared" si="19"/>
        <v>-3213.6120000000001</v>
      </c>
      <c r="G132" s="321">
        <f t="shared" si="19"/>
        <v>-3277.8842399999999</v>
      </c>
      <c r="H132" s="321">
        <f t="shared" si="19"/>
        <v>-3343.4419247999995</v>
      </c>
      <c r="I132" s="321">
        <f t="shared" si="19"/>
        <v>-3410.310763296</v>
      </c>
      <c r="J132" s="321">
        <f t="shared" si="19"/>
        <v>-3478.51697856192</v>
      </c>
      <c r="K132" s="321">
        <f t="shared" si="19"/>
        <v>-3548.0873181331585</v>
      </c>
      <c r="L132" s="321">
        <f t="shared" si="19"/>
        <v>-3619.0490644958209</v>
      </c>
      <c r="M132" s="321">
        <f t="shared" si="19"/>
        <v>-3691.4300457857375</v>
      </c>
      <c r="N132" s="321">
        <f t="shared" si="19"/>
        <v>-3765.2586467014526</v>
      </c>
      <c r="O132" s="321">
        <f t="shared" si="19"/>
        <v>-3840.5638196354817</v>
      </c>
      <c r="P132" s="321">
        <f t="shared" si="19"/>
        <v>-3917.3750960281905</v>
      </c>
      <c r="Q132" s="321">
        <f t="shared" si="19"/>
        <v>-5061.0457053812934</v>
      </c>
      <c r="R132" s="321">
        <f t="shared" si="19"/>
        <v>-4075.6370499077298</v>
      </c>
      <c r="S132" s="321">
        <f t="shared" si="19"/>
        <v>-4157.1497909058853</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-3106.6666666666665</v>
      </c>
      <c r="F134" s="312">
        <f t="shared" si="20"/>
        <v>-3106.6666666666665</v>
      </c>
      <c r="G134" s="312">
        <f t="shared" si="20"/>
        <v>-3106.6666666666665</v>
      </c>
      <c r="H134" s="312">
        <f t="shared" si="20"/>
        <v>-3106.6666666666665</v>
      </c>
      <c r="I134" s="312">
        <f t="shared" si="20"/>
        <v>-3106.6666666666665</v>
      </c>
      <c r="J134" s="312">
        <f t="shared" si="20"/>
        <v>-3106.6666666666665</v>
      </c>
      <c r="K134" s="312">
        <f t="shared" si="20"/>
        <v>-3106.6666666666665</v>
      </c>
      <c r="L134" s="312">
        <f t="shared" si="20"/>
        <v>-3106.6666666666665</v>
      </c>
      <c r="M134" s="312">
        <f t="shared" si="20"/>
        <v>-3106.6666666666665</v>
      </c>
      <c r="N134" s="312">
        <f t="shared" si="20"/>
        <v>-3106.6666666666665</v>
      </c>
      <c r="O134" s="312">
        <f t="shared" si="20"/>
        <v>-3106.6666666666665</v>
      </c>
      <c r="P134" s="312">
        <f t="shared" si="20"/>
        <v>-3106.6666666666665</v>
      </c>
      <c r="Q134" s="312">
        <f t="shared" si="20"/>
        <v>-3106.6666666666665</v>
      </c>
      <c r="R134" s="312">
        <f t="shared" si="20"/>
        <v>-3106.6666666666665</v>
      </c>
      <c r="S134" s="312">
        <f t="shared" si="20"/>
        <v>-3106.6666666666665</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-1712.5499999999997</v>
      </c>
      <c r="F135" s="312">
        <f t="shared" si="21"/>
        <v>-1634.6681085710443</v>
      </c>
      <c r="G135" s="312">
        <f t="shared" si="21"/>
        <v>-1552.6974178420694</v>
      </c>
      <c r="H135" s="312">
        <f t="shared" si="21"/>
        <v>-1466.4232658498229</v>
      </c>
      <c r="I135" s="312">
        <f t="shared" si="21"/>
        <v>-1375.6197208779834</v>
      </c>
      <c r="J135" s="312">
        <f t="shared" si="21"/>
        <v>-1280.0489897951222</v>
      </c>
      <c r="K135" s="312">
        <f t="shared" si="21"/>
        <v>-1179.4607953304112</v>
      </c>
      <c r="L135" s="312">
        <f t="shared" si="21"/>
        <v>-1073.5917206563026</v>
      </c>
      <c r="M135" s="312">
        <f t="shared" si="21"/>
        <v>-962.16451956180344</v>
      </c>
      <c r="N135" s="312">
        <f t="shared" si="21"/>
        <v>-844.88739040984296</v>
      </c>
      <c r="O135" s="312">
        <f t="shared" si="21"/>
        <v>-721.45321197740464</v>
      </c>
      <c r="P135" s="312">
        <f t="shared" si="21"/>
        <v>-591.53873917726344</v>
      </c>
      <c r="Q135" s="312">
        <f t="shared" si="21"/>
        <v>-454.80375655511455</v>
      </c>
      <c r="R135" s="312">
        <f t="shared" si="21"/>
        <v>-310.89018734530305</v>
      </c>
      <c r="S135" s="312">
        <f t="shared" si="21"/>
        <v>-159.42115575197633</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-1483.4645986467644</v>
      </c>
      <c r="F136" s="312">
        <f t="shared" si="22"/>
        <v>-1561.3464900757197</v>
      </c>
      <c r="G136" s="312">
        <f t="shared" si="22"/>
        <v>-1643.317180804695</v>
      </c>
      <c r="H136" s="312">
        <f t="shared" si="22"/>
        <v>-1729.5913327969411</v>
      </c>
      <c r="I136" s="312">
        <f t="shared" si="22"/>
        <v>-1820.3948777687806</v>
      </c>
      <c r="J136" s="312">
        <f t="shared" si="22"/>
        <v>-1915.9656088516415</v>
      </c>
      <c r="K136" s="312">
        <f t="shared" si="22"/>
        <v>-2016.5538033163527</v>
      </c>
      <c r="L136" s="312">
        <f t="shared" si="22"/>
        <v>-2122.4228779904611</v>
      </c>
      <c r="M136" s="312">
        <f t="shared" si="22"/>
        <v>-2233.8500790849607</v>
      </c>
      <c r="N136" s="312">
        <f t="shared" si="22"/>
        <v>-2351.127208236921</v>
      </c>
      <c r="O136" s="312">
        <f t="shared" si="22"/>
        <v>-2474.5613866693593</v>
      </c>
      <c r="P136" s="312">
        <f t="shared" si="22"/>
        <v>-2604.4758594695008</v>
      </c>
      <c r="Q136" s="312">
        <f t="shared" si="22"/>
        <v>-2741.2108420916497</v>
      </c>
      <c r="R136" s="312">
        <f t="shared" si="22"/>
        <v>-2885.1244113014609</v>
      </c>
      <c r="S136" s="312">
        <f t="shared" si="22"/>
        <v>-3036.5934428947876</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-3196.0145986467642</v>
      </c>
      <c r="F137" s="321">
        <f t="shared" si="23"/>
        <v>-3196.0145986467642</v>
      </c>
      <c r="G137" s="321">
        <f t="shared" si="23"/>
        <v>-3196.0145986467642</v>
      </c>
      <c r="H137" s="321">
        <f t="shared" si="23"/>
        <v>-3196.0145986467642</v>
      </c>
      <c r="I137" s="321">
        <f t="shared" si="23"/>
        <v>-3196.0145986467642</v>
      </c>
      <c r="J137" s="321">
        <f t="shared" si="23"/>
        <v>-3196.0145986467637</v>
      </c>
      <c r="K137" s="321">
        <f t="shared" si="23"/>
        <v>-3196.0145986467642</v>
      </c>
      <c r="L137" s="321">
        <f t="shared" si="23"/>
        <v>-3196.0145986467637</v>
      </c>
      <c r="M137" s="321">
        <f t="shared" si="23"/>
        <v>-3196.0145986467642</v>
      </c>
      <c r="N137" s="321">
        <f t="shared" si="23"/>
        <v>-3196.0145986467642</v>
      </c>
      <c r="O137" s="321">
        <f t="shared" si="23"/>
        <v>-3196.0145986467642</v>
      </c>
      <c r="P137" s="321">
        <f t="shared" si="23"/>
        <v>-3196.0145986467642</v>
      </c>
      <c r="Q137" s="321">
        <f t="shared" si="23"/>
        <v>-3196.0145986467642</v>
      </c>
      <c r="R137" s="321">
        <f t="shared" si="23"/>
        <v>-3196.0145986467642</v>
      </c>
      <c r="S137" s="321">
        <f t="shared" si="23"/>
        <v>-3196.0145986467637</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-7969.8166666666657</v>
      </c>
      <c r="F139" s="312">
        <f t="shared" si="24"/>
        <v>-7954.9467752377113</v>
      </c>
      <c r="G139" s="312">
        <f t="shared" si="24"/>
        <v>-7937.248324508736</v>
      </c>
      <c r="H139" s="312">
        <f t="shared" si="24"/>
        <v>-7916.5318573164886</v>
      </c>
      <c r="I139" s="312">
        <f t="shared" si="24"/>
        <v>-7892.5971508406492</v>
      </c>
      <c r="J139" s="312">
        <f t="shared" si="24"/>
        <v>-7865.2326350237081</v>
      </c>
      <c r="K139" s="312">
        <f t="shared" si="24"/>
        <v>-7834.2147801302362</v>
      </c>
      <c r="L139" s="312">
        <f t="shared" si="24"/>
        <v>-7799.3074518187896</v>
      </c>
      <c r="M139" s="312">
        <f t="shared" si="24"/>
        <v>-7760.2612320142071</v>
      </c>
      <c r="N139" s="312">
        <f t="shared" si="24"/>
        <v>-7716.8127037779623</v>
      </c>
      <c r="O139" s="312">
        <f t="shared" si="24"/>
        <v>-7668.683698279553</v>
      </c>
      <c r="P139" s="312">
        <f t="shared" si="24"/>
        <v>-7615.5805018721203</v>
      </c>
      <c r="Q139" s="312">
        <f t="shared" si="24"/>
        <v>-8622.5161286030743</v>
      </c>
      <c r="R139" s="312">
        <f t="shared" si="24"/>
        <v>-7493.1939039196996</v>
      </c>
      <c r="S139" s="312">
        <f t="shared" si="24"/>
        <v>-7423.237613324528</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1514.2651666666666</v>
      </c>
      <c r="F140" s="312">
        <f t="shared" si="25"/>
        <v>1511.4398872951651</v>
      </c>
      <c r="G140" s="312">
        <f t="shared" si="25"/>
        <v>1508.0771816566598</v>
      </c>
      <c r="H140" s="312">
        <f t="shared" si="25"/>
        <v>1504.1410528901329</v>
      </c>
      <c r="I140" s="312">
        <f t="shared" si="25"/>
        <v>1499.5934586597234</v>
      </c>
      <c r="J140" s="312">
        <f t="shared" si="25"/>
        <v>1494.3942006545046</v>
      </c>
      <c r="K140" s="312">
        <f t="shared" si="25"/>
        <v>1488.500808224745</v>
      </c>
      <c r="L140" s="312">
        <f t="shared" si="25"/>
        <v>1481.8684158455701</v>
      </c>
      <c r="M140" s="312">
        <f t="shared" si="25"/>
        <v>1474.4496340826993</v>
      </c>
      <c r="N140" s="312">
        <f t="shared" si="25"/>
        <v>1466.1944137178129</v>
      </c>
      <c r="O140" s="312">
        <f t="shared" si="25"/>
        <v>1457.0499026731152</v>
      </c>
      <c r="P140" s="312">
        <f t="shared" si="25"/>
        <v>1446.9602953557028</v>
      </c>
      <c r="Q140" s="312">
        <f t="shared" si="25"/>
        <v>1638.2780644345842</v>
      </c>
      <c r="R140" s="312">
        <f t="shared" si="25"/>
        <v>1423.7068417447429</v>
      </c>
      <c r="S140" s="312">
        <f t="shared" si="25"/>
        <v>1410.4151465316604</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-4832.3494319800975</v>
      </c>
      <c r="F142" s="321">
        <f t="shared" si="26"/>
        <v>-4898.1867113515991</v>
      </c>
      <c r="G142" s="321">
        <f t="shared" si="26"/>
        <v>-4965.8216569901051</v>
      </c>
      <c r="H142" s="321">
        <f t="shared" si="26"/>
        <v>-5035.3154705566303</v>
      </c>
      <c r="I142" s="321">
        <f t="shared" si="26"/>
        <v>-5106.731903283041</v>
      </c>
      <c r="J142" s="321">
        <f t="shared" si="26"/>
        <v>-5180.1373765541784</v>
      </c>
      <c r="K142" s="321">
        <f t="shared" si="26"/>
        <v>-5255.6011085551772</v>
      </c>
      <c r="L142" s="321">
        <f t="shared" si="26"/>
        <v>-5333.1952472970142</v>
      </c>
      <c r="M142" s="321">
        <f t="shared" si="26"/>
        <v>-5412.9950103498031</v>
      </c>
      <c r="N142" s="321">
        <f t="shared" si="26"/>
        <v>-5495.0788316304042</v>
      </c>
      <c r="O142" s="321">
        <f t="shared" si="26"/>
        <v>-5579.5285156091313</v>
      </c>
      <c r="P142" s="321">
        <f t="shared" si="26"/>
        <v>-5666.4293993192514</v>
      </c>
      <c r="Q142" s="321">
        <f t="shared" si="26"/>
        <v>-6618.7822395934745</v>
      </c>
      <c r="R142" s="321">
        <f t="shared" si="26"/>
        <v>-5847.9448068097518</v>
      </c>
      <c r="S142" s="321">
        <f t="shared" si="26"/>
        <v>-5942.7492430209877</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-46600</v>
      </c>
      <c r="E143" s="312">
        <f t="shared" ref="E143:AR143" si="27">E132+E140</f>
        <v>-1636.3348333333333</v>
      </c>
      <c r="F143" s="312">
        <f t="shared" si="27"/>
        <v>-1702.1721127048349</v>
      </c>
      <c r="G143" s="312">
        <f t="shared" si="27"/>
        <v>-1769.80705834334</v>
      </c>
      <c r="H143" s="312">
        <f t="shared" si="27"/>
        <v>-1839.3008719098666</v>
      </c>
      <c r="I143" s="312">
        <f t="shared" si="27"/>
        <v>-1910.7173046362766</v>
      </c>
      <c r="J143" s="312">
        <f t="shared" si="27"/>
        <v>-1984.1227779074154</v>
      </c>
      <c r="K143" s="312">
        <f t="shared" si="27"/>
        <v>-2059.5865099084135</v>
      </c>
      <c r="L143" s="312">
        <f t="shared" si="27"/>
        <v>-2137.180648650251</v>
      </c>
      <c r="M143" s="312">
        <f t="shared" si="27"/>
        <v>-2216.980411703038</v>
      </c>
      <c r="N143" s="312">
        <f t="shared" si="27"/>
        <v>-2299.0642329836396</v>
      </c>
      <c r="O143" s="312">
        <f t="shared" si="27"/>
        <v>-2383.5139169623662</v>
      </c>
      <c r="P143" s="312">
        <f t="shared" si="27"/>
        <v>-2470.4148006724877</v>
      </c>
      <c r="Q143" s="312">
        <f t="shared" si="27"/>
        <v>-3422.7676409467094</v>
      </c>
      <c r="R143" s="312">
        <f t="shared" si="27"/>
        <v>-2651.9302081629867</v>
      </c>
      <c r="S143" s="312">
        <f t="shared" si="27"/>
        <v>-2746.7346443742249</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-13980</v>
      </c>
      <c r="E144" s="312">
        <f t="shared" ref="E144:AR144" si="28">E142</f>
        <v>-4832.3494319800975</v>
      </c>
      <c r="F144" s="312">
        <f t="shared" si="28"/>
        <v>-4898.1867113515991</v>
      </c>
      <c r="G144" s="312">
        <f t="shared" si="28"/>
        <v>-4965.8216569901051</v>
      </c>
      <c r="H144" s="312">
        <f t="shared" si="28"/>
        <v>-5035.3154705566303</v>
      </c>
      <c r="I144" s="312">
        <f t="shared" si="28"/>
        <v>-5106.731903283041</v>
      </c>
      <c r="J144" s="312">
        <f t="shared" si="28"/>
        <v>-5180.1373765541784</v>
      </c>
      <c r="K144" s="312">
        <f t="shared" si="28"/>
        <v>-5255.6011085551772</v>
      </c>
      <c r="L144" s="312">
        <f t="shared" si="28"/>
        <v>-5333.1952472970142</v>
      </c>
      <c r="M144" s="312">
        <f t="shared" si="28"/>
        <v>-5412.9950103498031</v>
      </c>
      <c r="N144" s="312">
        <f t="shared" si="28"/>
        <v>-5495.0788316304042</v>
      </c>
      <c r="O144" s="312">
        <f t="shared" si="28"/>
        <v>-5579.5285156091313</v>
      </c>
      <c r="P144" s="312">
        <f t="shared" si="28"/>
        <v>-5666.4293993192514</v>
      </c>
      <c r="Q144" s="312">
        <f t="shared" si="28"/>
        <v>-6618.7822395934745</v>
      </c>
      <c r="R144" s="312">
        <f t="shared" si="28"/>
        <v>-5847.9448068097518</v>
      </c>
      <c r="S144" s="312">
        <f t="shared" si="28"/>
        <v>-5942.7492430209877</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54000</v>
      </c>
      <c r="F145" s="312">
        <f t="shared" si="29"/>
        <v>54000</v>
      </c>
      <c r="G145" s="312">
        <f t="shared" si="29"/>
        <v>54000</v>
      </c>
      <c r="H145" s="312">
        <f t="shared" si="29"/>
        <v>54000</v>
      </c>
      <c r="I145" s="312">
        <f t="shared" si="29"/>
        <v>54000</v>
      </c>
      <c r="J145" s="312">
        <f t="shared" si="29"/>
        <v>54000</v>
      </c>
      <c r="K145" s="312">
        <f t="shared" si="29"/>
        <v>54000</v>
      </c>
      <c r="L145" s="312">
        <f t="shared" si="29"/>
        <v>54000</v>
      </c>
      <c r="M145" s="312">
        <f t="shared" si="29"/>
        <v>54000</v>
      </c>
      <c r="N145" s="312">
        <f t="shared" si="29"/>
        <v>54000</v>
      </c>
      <c r="O145" s="312">
        <f t="shared" si="29"/>
        <v>54000</v>
      </c>
      <c r="P145" s="312">
        <f t="shared" si="29"/>
        <v>54000</v>
      </c>
      <c r="Q145" s="312">
        <f t="shared" si="29"/>
        <v>54000</v>
      </c>
      <c r="R145" s="312">
        <f t="shared" si="29"/>
        <v>54000</v>
      </c>
      <c r="S145" s="312">
        <f t="shared" si="29"/>
        <v>54000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46600</v>
      </c>
      <c r="E146" s="323">
        <f t="shared" ref="E146:AR146" si="30">IF(E112&lt;=$C76,D146-($C$5*E118+E132+E135),D146-(E132+E135))</f>
        <v>43093.15</v>
      </c>
      <c r="F146" s="323">
        <f t="shared" si="30"/>
        <v>39571.430108571047</v>
      </c>
      <c r="G146" s="323">
        <f t="shared" si="30"/>
        <v>36032.011766413118</v>
      </c>
      <c r="H146" s="323">
        <f t="shared" si="30"/>
        <v>32471.876957062941</v>
      </c>
      <c r="I146" s="323">
        <f t="shared" si="30"/>
        <v>28887.807441236924</v>
      </c>
      <c r="J146" s="323">
        <f t="shared" si="30"/>
        <v>25276.373409593965</v>
      </c>
      <c r="K146" s="323">
        <f t="shared" si="30"/>
        <v>21633.921523057536</v>
      </c>
      <c r="L146" s="323">
        <f t="shared" si="30"/>
        <v>17956.562308209657</v>
      </c>
      <c r="M146" s="323">
        <f t="shared" si="30"/>
        <v>14240.156873557198</v>
      </c>
      <c r="N146" s="323">
        <f t="shared" si="30"/>
        <v>10480.302910668493</v>
      </c>
      <c r="O146" s="323">
        <f t="shared" si="30"/>
        <v>6672.3199422813796</v>
      </c>
      <c r="P146" s="323">
        <f t="shared" si="30"/>
        <v>2811.2337774868333</v>
      </c>
      <c r="Q146" s="323">
        <f t="shared" si="30"/>
        <v>-42.916760576758861</v>
      </c>
      <c r="R146" s="323">
        <f t="shared" si="30"/>
        <v>-4026.3895233237263</v>
      </c>
      <c r="S146" s="323">
        <f t="shared" si="30"/>
        <v>-8079.8185766658644</v>
      </c>
      <c r="T146" s="323">
        <f t="shared" si="30"/>
        <v>-8079.8185766658644</v>
      </c>
      <c r="U146" s="323">
        <f t="shared" si="30"/>
        <v>-8079.8185766658644</v>
      </c>
      <c r="V146" s="323">
        <f t="shared" si="30"/>
        <v>-8079.8185766658644</v>
      </c>
      <c r="W146" s="323">
        <f t="shared" si="30"/>
        <v>-8079.8185766658644</v>
      </c>
      <c r="X146" s="323">
        <f t="shared" si="30"/>
        <v>-8079.8185766658644</v>
      </c>
      <c r="Y146" s="323">
        <f t="shared" si="30"/>
        <v>-8079.8185766658644</v>
      </c>
      <c r="Z146" s="323">
        <f t="shared" si="30"/>
        <v>-8079.8185766658644</v>
      </c>
      <c r="AA146" s="323">
        <f t="shared" si="30"/>
        <v>-8079.8185766658644</v>
      </c>
      <c r="AB146" s="323">
        <f t="shared" si="30"/>
        <v>-8079.8185766658644</v>
      </c>
      <c r="AC146" s="323">
        <f t="shared" si="30"/>
        <v>-8079.8185766658644</v>
      </c>
      <c r="AD146" s="323">
        <f t="shared" si="30"/>
        <v>-8079.8185766658644</v>
      </c>
      <c r="AE146" s="323">
        <f t="shared" si="30"/>
        <v>-8079.8185766658644</v>
      </c>
      <c r="AF146" s="323">
        <f t="shared" si="30"/>
        <v>-8079.8185766658644</v>
      </c>
      <c r="AG146" s="323">
        <f t="shared" si="30"/>
        <v>-8079.8185766658644</v>
      </c>
      <c r="AH146" s="323">
        <f t="shared" si="30"/>
        <v>-8079.8185766658644</v>
      </c>
      <c r="AI146" s="323">
        <f t="shared" si="30"/>
        <v>-8079.8185766658644</v>
      </c>
      <c r="AJ146" s="323">
        <f t="shared" si="30"/>
        <v>-8079.8185766658644</v>
      </c>
      <c r="AK146" s="323">
        <f t="shared" si="30"/>
        <v>-8079.8185766658644</v>
      </c>
      <c r="AL146" s="323">
        <f t="shared" si="30"/>
        <v>-8079.8185766658644</v>
      </c>
      <c r="AM146" s="323">
        <f t="shared" si="30"/>
        <v>-8079.8185766658644</v>
      </c>
      <c r="AN146" s="323">
        <f t="shared" si="30"/>
        <v>-8079.8185766658644</v>
      </c>
      <c r="AO146" s="323">
        <f t="shared" si="30"/>
        <v>-8079.8185766658644</v>
      </c>
      <c r="AP146" s="323">
        <f t="shared" si="30"/>
        <v>-8079.8185766658644</v>
      </c>
      <c r="AQ146" s="323">
        <f t="shared" si="30"/>
        <v>-8079.8185766658644</v>
      </c>
      <c r="AR146" s="324">
        <f t="shared" si="30"/>
        <v>-8079.8185766658644</v>
      </c>
    </row>
    <row r="147" spans="1:44" ht="12.95" customHeight="1">
      <c r="B147" s="267" t="s">
        <v>577</v>
      </c>
      <c r="C147" s="268"/>
      <c r="D147" s="325"/>
      <c r="E147" s="326">
        <f t="shared" ref="E147:AR147" si="31">IF(E112&gt;$C$74,"",(-$C$94*(E139+$C$5*E118)+E132+$C$5*E118)/-E137)</f>
        <v>1.6093059051871781</v>
      </c>
      <c r="F147" s="326">
        <f t="shared" si="31"/>
        <v>1.588706099604507</v>
      </c>
      <c r="G147" s="326">
        <f t="shared" si="31"/>
        <v>1.5675438227903953</v>
      </c>
      <c r="H147" s="326">
        <f t="shared" si="31"/>
        <v>1.5457999253764252</v>
      </c>
      <c r="I147" s="326">
        <f t="shared" si="31"/>
        <v>1.5234544602597613</v>
      </c>
      <c r="J147" s="326">
        <f t="shared" si="31"/>
        <v>1.5004866448742435</v>
      </c>
      <c r="K147" s="326">
        <f t="shared" si="31"/>
        <v>1.4768748215637519</v>
      </c>
      <c r="L147" s="326">
        <f t="shared" si="31"/>
        <v>1.4525964159598816</v>
      </c>
      <c r="M147" s="326">
        <f t="shared" si="31"/>
        <v>1.4276278932608377</v>
      </c>
      <c r="N147" s="326">
        <f t="shared" si="31"/>
        <v>1.4019447123031046</v>
      </c>
      <c r="O147" s="326">
        <f t="shared" si="31"/>
        <v>1.3755212773117613</v>
      </c>
      <c r="P147" s="326">
        <f t="shared" si="31"/>
        <v>1.3483308872093771</v>
      </c>
      <c r="Q147" s="326">
        <f t="shared" si="31"/>
        <v>1.0503495073128455</v>
      </c>
      <c r="R147" s="326">
        <f t="shared" si="31"/>
        <v>1.2915365885952983</v>
      </c>
      <c r="S147" s="326">
        <f t="shared" si="31"/>
        <v>1.2618732584429959</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-49865.045340069999</v>
      </c>
      <c r="D150" s="271" t="s">
        <v>580</v>
      </c>
    </row>
    <row r="151" spans="1:44">
      <c r="B151" s="72" t="s">
        <v>581</v>
      </c>
      <c r="C151" s="272">
        <f>(1-$C$94)*NPV($C$91,E145:AR145)</f>
        <v>411272.73570611572</v>
      </c>
      <c r="D151" s="271" t="str">
        <f>$C$7</f>
        <v>kWh</v>
      </c>
      <c r="F151" s="273"/>
    </row>
    <row r="152" spans="1:44">
      <c r="B152" s="72" t="s">
        <v>582</v>
      </c>
      <c r="C152" s="272">
        <f>$C$41*1000000</f>
        <v>46600</v>
      </c>
      <c r="D152" s="271" t="s">
        <v>528</v>
      </c>
      <c r="F152" s="46"/>
    </row>
    <row r="153" spans="1:44">
      <c r="B153" s="72" t="s">
        <v>583</v>
      </c>
      <c r="C153" s="274">
        <f>AVERAGE(E147:AR147)</f>
        <v>1.4281301480034909</v>
      </c>
      <c r="D153" s="271"/>
      <c r="F153" s="46"/>
    </row>
    <row r="154" spans="1:44">
      <c r="B154" s="72" t="s">
        <v>584</v>
      </c>
      <c r="C154" s="95" t="str">
        <f>CONCATENATE(ROUND(((1-$C$94)*$C$90*$C$92+$C$93*$C$91)*100,1),"% / ",ROUND((((1+(1-$C$94)*$C$90*$C$92+$C$93*$C$91)/(1+$C$89))-1)*100,1),"%")</f>
        <v>4,9% / 2,9%</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32619.999999999996</v>
      </c>
      <c r="D157" s="271" t="s">
        <v>528</v>
      </c>
      <c r="F157" s="33"/>
    </row>
    <row r="158" spans="1:44">
      <c r="B158" s="72" t="s">
        <v>588</v>
      </c>
      <c r="C158" s="272">
        <f>$C$93*C152-C98</f>
        <v>13980</v>
      </c>
      <c r="D158" s="271" t="s">
        <v>528</v>
      </c>
      <c r="F158" s="33"/>
    </row>
    <row r="159" spans="1:44">
      <c r="B159" s="72" t="s">
        <v>332</v>
      </c>
      <c r="C159" s="95">
        <f>IF(AND(E115&gt;0,E116&gt;0),ROUND(E116/E115,2),0)</f>
        <v>0</v>
      </c>
      <c r="D159" s="271" t="s">
        <v>589</v>
      </c>
      <c r="F159" s="33"/>
    </row>
    <row r="160" spans="1:44">
      <c r="B160" s="72" t="s">
        <v>590</v>
      </c>
      <c r="C160" s="95">
        <f>IF(C159=0,MAX(C29:C30),E118/SUM(C26,C28))</f>
        <v>900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3.5000000000000003E-2</v>
      </c>
      <c r="D164" s="271" t="str">
        <f t="shared" ref="D164:D179" si="32">CONCATENATE("Euro/",$C$7)</f>
        <v>Euro/kWh</v>
      </c>
    </row>
    <row r="165" spans="2:44" ht="14.85" customHeight="1">
      <c r="B165" s="72" t="s">
        <v>593</v>
      </c>
      <c r="C165" s="341" t="str">
        <f>IF($C$15&gt;0,CONCATENATE(TEXT(C166,"0"&amp;","&amp;REPT("0",Colofon!$C$31))," / ",TEXT(C167,"0"&amp;","&amp;REPT("0",Colofon!$C$31))),C164)</f>
        <v>0,035 / 0,000</v>
      </c>
      <c r="D165" s="271" t="str">
        <f t="shared" si="32"/>
        <v>Euro/kWh</v>
      </c>
    </row>
    <row r="166" spans="2:44" ht="14.85" customHeight="1">
      <c r="B166" s="72" t="s">
        <v>594</v>
      </c>
      <c r="C166" s="342">
        <f>IFERROR(ROUND(INDEX(Correcties!$A$1:$K$37,MATCH($C$15,Correcties!$A$1:$A$37,0),8),Colofon!$C$31),"n.v.t.")</f>
        <v>3.5000000000000003E-2</v>
      </c>
      <c r="D166" s="271" t="str">
        <f t="shared" si="32"/>
        <v>Euro/kWh</v>
      </c>
    </row>
    <row r="167" spans="2:44" ht="14.85" customHeight="1">
      <c r="B167" s="72" t="s">
        <v>52</v>
      </c>
      <c r="C167" s="343">
        <f>IFERROR(ROUND(INDEX(Correcties!$A$1:$K$37,MATCH($C$16,Correcties!$A$1:$A$37,0),8),Colofon!$C$31),"n.v.t.")</f>
        <v>0</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0,130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0.13</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6.8000000000000005E-2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0,068 / 0,112</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6.8000000000000005E-2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0.112</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59" priority="3" operator="containsText" text="Pas op">
      <formula>NOT(ISERROR(SEARCH("Pas op",G1)))</formula>
    </cfRule>
  </conditionalFormatting>
  <conditionalFormatting sqref="G188">
    <cfRule type="containsText" dxfId="58" priority="2" operator="containsText" text="Pas op">
      <formula>NOT(ISERROR(SEARCH("Pas op",G188)))</formula>
    </cfRule>
  </conditionalFormatting>
  <conditionalFormatting sqref="G105">
    <cfRule type="containsText" dxfId="57"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B87219EB-D9BF-4EC9-9466-7253E8B1842E}">
      <formula1>"ja,nee"</formula1>
    </dataValidation>
    <dataValidation type="list" allowBlank="1" showErrorMessage="1" error="Alleen de opties aangegeven in de dropdownlijst zijn toegestaan" sqref="C7" xr:uid="{37A0E59F-E8AD-4048-89DB-11A091B760E3}">
      <formula1>"t CO2,kWh"</formula1>
    </dataValidation>
    <dataValidation type="list" allowBlank="1" showErrorMessage="1" error="Alleen de opties aangegeven in de dropdownlijst zijn toegestaan" sqref="C14" xr:uid="{517226EC-CE07-473F-ADFF-BBB26CA3B383}">
      <formula1>"Nee,Ja,Geen warmte"</formula1>
    </dataValidation>
    <dataValidation type="list" allowBlank="1" showErrorMessage="1" error="Alleen de opties aangegeven in de dropdownlijst zijn toegestaan" sqref="C9" xr:uid="{8144136E-0F13-429B-9E6B-27E1B5C64D55}">
      <formula1>"Elektriciteit,Lagetemperatuurwarmte,Hogetemperatuurwarmte,Moleculen,CCS/CCU,Generiek"</formula1>
    </dataValidation>
    <dataValidation type="decimal" allowBlank="1" showErrorMessage="1" error="Alleen getallen tussen 0 en 1.0 toegestaan. Vul in met een punt, geen comma" sqref="C17:C18" xr:uid="{B78947A7-F9D3-4131-94B6-CCE3C056CD32}">
      <formula1>0</formula1>
      <formula2>1</formula2>
    </dataValidation>
    <dataValidation type="decimal" operator="notBetween" allowBlank="1" showInputMessage="1" sqref="C39:C49" xr:uid="{4846223C-2888-4D8D-A94A-B1E78C03AB5C}">
      <formula1>0</formula1>
      <formula2>0</formula2>
    </dataValidation>
    <dataValidation type="decimal" operator="notBetween" allowBlank="1" showInputMessage="1" showErrorMessage="1" sqref="C52:C60 C63:C65 C67:C70" xr:uid="{74EA118F-DF1C-459A-9021-ADB6BA78262B}">
      <formula1>0</formula1>
      <formula2>0</formula2>
    </dataValidation>
    <dataValidation type="decimal" operator="greaterThanOrEqual" allowBlank="1" showInputMessage="1" sqref="C21 C24:C30 C33:C36" xr:uid="{4C17ADFA-FAB7-4A59-A868-72EF60667B56}">
      <formula1>0</formula1>
    </dataValidation>
    <dataValidation type="decimal" operator="greaterThanOrEqual" allowBlank="1" showInputMessage="1" showErrorMessage="1" sqref="C73:C77" xr:uid="{F65F2B86-4F05-4B87-9EBD-070B47E69EFC}">
      <formula1>0</formula1>
    </dataValidation>
    <dataValidation type="decimal" operator="greaterThan" allowBlank="1" showInputMessage="1" showErrorMessage="1" sqref="C80:C86 C89:C94" xr:uid="{D7CCDB61-E04C-480F-AE6C-E37BD1E3C7AA}">
      <formula1>0</formula1>
    </dataValidation>
    <dataValidation type="list" operator="greaterThanOrEqual" allowBlank="1" showInputMessage="1" sqref="C23" xr:uid="{2886154E-A41C-4A49-816D-01AEBEABB2D8}">
      <formula1>"Ja"</formula1>
    </dataValidation>
    <dataValidation type="decimal" operator="greaterThan" allowBlank="1" showInputMessage="1" showErrorMessage="1" error="Alleen getallen boven de 0 toegstaan" sqref="C22" xr:uid="{FB01D52E-44AE-44F8-B108-5C5115D8F6F2}">
      <formula1>0</formula1>
    </dataValidation>
    <dataValidation operator="notBetween" allowBlank="1" showInputMessage="1" showErrorMessage="1" sqref="C66" xr:uid="{6973CEE2-7EAC-4777-93EE-F1E11FC6B65C}"/>
  </dataValidations>
  <pageMargins left="0.7" right="0.7" top="0.75" bottom="0.75" header="0.3" footer="0.3"/>
  <pageSetup paperSize="9" scale="1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47B3-313C-4861-AC59-4B1B0DA156FF}">
  <sheetPr codeName="Sheet95">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608</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0.14000000000000001</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1080.6451612903229</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IFERROR(INDEX(Correcties!$A$1:$I$334,MATCH('3'!C12,Correcties!$A$1:$A$334,0),5),"")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226</v>
      </c>
      <c r="D16" s="75" t="str">
        <f>_xlfn.XLOOKUP(C16,Correcties!A4:A37,Correcties!B4:B37,"")</f>
        <v>Elektricteit-ZonPV-niet-netlevering, klein (negatieve uren niet meegenomen)</v>
      </c>
      <c r="E16" s="417" t="str">
        <f>"Enkel relevant voor zon-pv. "&amp;_xlfn.XLOOKUP(C16,Correcties!A4:A37,Correcties!E4:E37,"")</f>
        <v>Enkel relevant voor zon-pv. EPEX3 x PF_PV3 + EB3_e + ODE3_e + transport</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250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730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589</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0.14824999999999999</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29.2</v>
      </c>
      <c r="D43" s="75" t="str">
        <f>CONCATENATE("Euro/",$C$8,"/jaar")</f>
        <v>Euro/kW/jaar</v>
      </c>
      <c r="E43" s="417" t="s">
        <v>463</v>
      </c>
      <c r="F43" s="431"/>
      <c r="G43" s="431"/>
      <c r="H43" s="431"/>
      <c r="I43" s="431"/>
      <c r="J43" s="431"/>
      <c r="K43" s="431"/>
      <c r="L43" s="431"/>
      <c r="M43" s="432"/>
    </row>
    <row r="44" spans="2:13" ht="15" customHeight="1">
      <c r="B44" s="72" t="s">
        <v>465</v>
      </c>
      <c r="C44" s="239">
        <f>(C42*C21+C43*SUM(C26,C28))/1000</f>
        <v>7.3</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2737500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2737500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0.05</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-3500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v>1000</v>
      </c>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-148250</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182500</v>
      </c>
      <c r="F115" s="312">
        <f t="shared" si="4"/>
        <v>182500</v>
      </c>
      <c r="G115" s="312">
        <f t="shared" si="4"/>
        <v>182500</v>
      </c>
      <c r="H115" s="312">
        <f t="shared" si="4"/>
        <v>182500</v>
      </c>
      <c r="I115" s="312">
        <f t="shared" si="4"/>
        <v>182500</v>
      </c>
      <c r="J115" s="312">
        <f t="shared" si="4"/>
        <v>182500</v>
      </c>
      <c r="K115" s="312">
        <f t="shared" si="4"/>
        <v>182500</v>
      </c>
      <c r="L115" s="312">
        <f t="shared" si="4"/>
        <v>182500</v>
      </c>
      <c r="M115" s="312">
        <f t="shared" si="4"/>
        <v>182500</v>
      </c>
      <c r="N115" s="312">
        <f t="shared" si="4"/>
        <v>182500</v>
      </c>
      <c r="O115" s="312">
        <f t="shared" si="4"/>
        <v>182500</v>
      </c>
      <c r="P115" s="312">
        <f t="shared" si="4"/>
        <v>182500</v>
      </c>
      <c r="Q115" s="312">
        <f t="shared" si="4"/>
        <v>182500</v>
      </c>
      <c r="R115" s="312">
        <f t="shared" si="4"/>
        <v>182500</v>
      </c>
      <c r="S115" s="312">
        <f t="shared" si="4"/>
        <v>182500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182500</v>
      </c>
      <c r="F118" s="315">
        <f t="shared" si="7"/>
        <v>182500</v>
      </c>
      <c r="G118" s="315">
        <f t="shared" si="7"/>
        <v>182500</v>
      </c>
      <c r="H118" s="315">
        <f t="shared" si="7"/>
        <v>182500</v>
      </c>
      <c r="I118" s="315">
        <f t="shared" si="7"/>
        <v>182500</v>
      </c>
      <c r="J118" s="315">
        <f t="shared" si="7"/>
        <v>182500</v>
      </c>
      <c r="K118" s="315">
        <f t="shared" si="7"/>
        <v>182500</v>
      </c>
      <c r="L118" s="315">
        <f t="shared" si="7"/>
        <v>182500</v>
      </c>
      <c r="M118" s="315">
        <f t="shared" si="7"/>
        <v>182500</v>
      </c>
      <c r="N118" s="315">
        <f t="shared" si="7"/>
        <v>182500</v>
      </c>
      <c r="O118" s="315">
        <f t="shared" si="7"/>
        <v>182500</v>
      </c>
      <c r="P118" s="315">
        <f t="shared" si="7"/>
        <v>182500</v>
      </c>
      <c r="Q118" s="315">
        <f t="shared" si="7"/>
        <v>182500</v>
      </c>
      <c r="R118" s="315">
        <f t="shared" si="7"/>
        <v>182500</v>
      </c>
      <c r="S118" s="315">
        <f t="shared" si="7"/>
        <v>182500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-9106.75</v>
      </c>
      <c r="F120" s="312">
        <f t="shared" si="8"/>
        <v>-9288.8850000000002</v>
      </c>
      <c r="G120" s="312">
        <f t="shared" si="8"/>
        <v>-9474.6627000000008</v>
      </c>
      <c r="H120" s="312">
        <f t="shared" si="8"/>
        <v>-9664.1559539999998</v>
      </c>
      <c r="I120" s="312">
        <f t="shared" si="8"/>
        <v>-9857.4390730800005</v>
      </c>
      <c r="J120" s="312">
        <f t="shared" si="8"/>
        <v>-10054.5878545416</v>
      </c>
      <c r="K120" s="312">
        <f t="shared" si="8"/>
        <v>-10255.679611632433</v>
      </c>
      <c r="L120" s="312">
        <f t="shared" si="8"/>
        <v>-10460.79320386508</v>
      </c>
      <c r="M120" s="312">
        <f t="shared" si="8"/>
        <v>-10670.009067942381</v>
      </c>
      <c r="N120" s="312">
        <f t="shared" si="8"/>
        <v>-10883.409249301229</v>
      </c>
      <c r="O120" s="312">
        <f t="shared" si="8"/>
        <v>-11101.077434287254</v>
      </c>
      <c r="P120" s="312">
        <f t="shared" si="8"/>
        <v>-11323.098982972997</v>
      </c>
      <c r="Q120" s="312">
        <f t="shared" si="8"/>
        <v>-15988.407243601367</v>
      </c>
      <c r="R120" s="312">
        <f t="shared" si="8"/>
        <v>-11780.552181885108</v>
      </c>
      <c r="S120" s="312">
        <f t="shared" si="8"/>
        <v>-12016.163225522811</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-9106.75</v>
      </c>
      <c r="F131" s="312">
        <f t="shared" si="18"/>
        <v>-9288.8850000000002</v>
      </c>
      <c r="G131" s="312">
        <f t="shared" si="18"/>
        <v>-9474.6627000000008</v>
      </c>
      <c r="H131" s="312">
        <f t="shared" si="18"/>
        <v>-9664.1559539999998</v>
      </c>
      <c r="I131" s="312">
        <f t="shared" si="18"/>
        <v>-9857.4390730800005</v>
      </c>
      <c r="J131" s="312">
        <f t="shared" si="18"/>
        <v>-10054.5878545416</v>
      </c>
      <c r="K131" s="312">
        <f t="shared" si="18"/>
        <v>-10255.679611632433</v>
      </c>
      <c r="L131" s="312">
        <f t="shared" si="18"/>
        <v>-10460.79320386508</v>
      </c>
      <c r="M131" s="312">
        <f t="shared" si="18"/>
        <v>-10670.009067942381</v>
      </c>
      <c r="N131" s="312">
        <f t="shared" si="18"/>
        <v>-10883.409249301229</v>
      </c>
      <c r="O131" s="312">
        <f t="shared" si="18"/>
        <v>-11101.077434287254</v>
      </c>
      <c r="P131" s="312">
        <f t="shared" si="18"/>
        <v>-11323.098982972997</v>
      </c>
      <c r="Q131" s="312">
        <f t="shared" si="18"/>
        <v>-15988.407243601367</v>
      </c>
      <c r="R131" s="312">
        <f t="shared" si="18"/>
        <v>-11780.552181885108</v>
      </c>
      <c r="S131" s="312">
        <f t="shared" si="18"/>
        <v>-12016.163225522811</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-9106.75</v>
      </c>
      <c r="F132" s="321">
        <f t="shared" si="19"/>
        <v>-9288.8850000000002</v>
      </c>
      <c r="G132" s="321">
        <f t="shared" si="19"/>
        <v>-9474.6627000000008</v>
      </c>
      <c r="H132" s="321">
        <f t="shared" si="19"/>
        <v>-9664.1559539999998</v>
      </c>
      <c r="I132" s="321">
        <f t="shared" si="19"/>
        <v>-9857.4390730800005</v>
      </c>
      <c r="J132" s="321">
        <f t="shared" si="19"/>
        <v>-10054.5878545416</v>
      </c>
      <c r="K132" s="321">
        <f t="shared" si="19"/>
        <v>-10255.679611632433</v>
      </c>
      <c r="L132" s="321">
        <f t="shared" si="19"/>
        <v>-10460.79320386508</v>
      </c>
      <c r="M132" s="321">
        <f t="shared" si="19"/>
        <v>-10670.009067942381</v>
      </c>
      <c r="N132" s="321">
        <f t="shared" si="19"/>
        <v>-10883.409249301229</v>
      </c>
      <c r="O132" s="321">
        <f t="shared" si="19"/>
        <v>-11101.077434287254</v>
      </c>
      <c r="P132" s="321">
        <f t="shared" si="19"/>
        <v>-11323.098982972997</v>
      </c>
      <c r="Q132" s="321">
        <f t="shared" si="19"/>
        <v>-15988.407243601367</v>
      </c>
      <c r="R132" s="321">
        <f t="shared" si="19"/>
        <v>-11780.552181885108</v>
      </c>
      <c r="S132" s="321">
        <f t="shared" si="19"/>
        <v>-12016.163225522811</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-9883.3333333333339</v>
      </c>
      <c r="F134" s="312">
        <f t="shared" si="20"/>
        <v>-9883.3333333333339</v>
      </c>
      <c r="G134" s="312">
        <f t="shared" si="20"/>
        <v>-9883.3333333333339</v>
      </c>
      <c r="H134" s="312">
        <f t="shared" si="20"/>
        <v>-9883.3333333333339</v>
      </c>
      <c r="I134" s="312">
        <f t="shared" si="20"/>
        <v>-9883.3333333333339</v>
      </c>
      <c r="J134" s="312">
        <f t="shared" si="20"/>
        <v>-9883.3333333333339</v>
      </c>
      <c r="K134" s="312">
        <f t="shared" si="20"/>
        <v>-9883.3333333333339</v>
      </c>
      <c r="L134" s="312">
        <f t="shared" si="20"/>
        <v>-9883.3333333333339</v>
      </c>
      <c r="M134" s="312">
        <f t="shared" si="20"/>
        <v>-9883.3333333333339</v>
      </c>
      <c r="N134" s="312">
        <f t="shared" si="20"/>
        <v>-9883.3333333333339</v>
      </c>
      <c r="O134" s="312">
        <f t="shared" si="20"/>
        <v>-9883.3333333333339</v>
      </c>
      <c r="P134" s="312">
        <f t="shared" si="20"/>
        <v>-9883.3333333333339</v>
      </c>
      <c r="Q134" s="312">
        <f t="shared" si="20"/>
        <v>-9883.3333333333339</v>
      </c>
      <c r="R134" s="312">
        <f t="shared" si="20"/>
        <v>-9883.3333333333339</v>
      </c>
      <c r="S134" s="312">
        <f t="shared" si="20"/>
        <v>-9883.3333333333339</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-5188.75</v>
      </c>
      <c r="F135" s="312">
        <f t="shared" si="21"/>
        <v>-4948.291455167534</v>
      </c>
      <c r="G135" s="312">
        <f t="shared" si="21"/>
        <v>-4695.8099830934434</v>
      </c>
      <c r="H135" s="312">
        <f t="shared" si="21"/>
        <v>-4430.7044374156485</v>
      </c>
      <c r="I135" s="312">
        <f t="shared" si="21"/>
        <v>-4152.3436144539655</v>
      </c>
      <c r="J135" s="312">
        <f t="shared" si="21"/>
        <v>-3860.0647503441965</v>
      </c>
      <c r="K135" s="312">
        <f t="shared" si="21"/>
        <v>-3553.1719430289386</v>
      </c>
      <c r="L135" s="312">
        <f t="shared" si="21"/>
        <v>-3230.9344953479194</v>
      </c>
      <c r="M135" s="312">
        <f t="shared" si="21"/>
        <v>-2892.5851752828485</v>
      </c>
      <c r="N135" s="312">
        <f t="shared" si="21"/>
        <v>-2537.3183892145239</v>
      </c>
      <c r="O135" s="312">
        <f t="shared" si="21"/>
        <v>-2164.2882638427832</v>
      </c>
      <c r="P135" s="312">
        <f t="shared" si="21"/>
        <v>-1772.6066322024556</v>
      </c>
      <c r="Q135" s="312">
        <f t="shared" si="21"/>
        <v>-1361.3409189801114</v>
      </c>
      <c r="R135" s="312">
        <f t="shared" si="21"/>
        <v>-929.51192009665033</v>
      </c>
      <c r="S135" s="312">
        <f t="shared" si="21"/>
        <v>-476.0914712690161</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-4809.1708966493343</v>
      </c>
      <c r="F136" s="312">
        <f t="shared" si="22"/>
        <v>-5049.6294414818012</v>
      </c>
      <c r="G136" s="312">
        <f t="shared" si="22"/>
        <v>-5302.1109135558909</v>
      </c>
      <c r="H136" s="312">
        <f t="shared" si="22"/>
        <v>-5567.2164592336867</v>
      </c>
      <c r="I136" s="312">
        <f t="shared" si="22"/>
        <v>-5845.5772821953697</v>
      </c>
      <c r="J136" s="312">
        <f t="shared" si="22"/>
        <v>-6137.8561463051392</v>
      </c>
      <c r="K136" s="312">
        <f t="shared" si="22"/>
        <v>-6444.7489536203957</v>
      </c>
      <c r="L136" s="312">
        <f t="shared" si="22"/>
        <v>-6766.9864013014148</v>
      </c>
      <c r="M136" s="312">
        <f t="shared" si="22"/>
        <v>-7105.3357213664858</v>
      </c>
      <c r="N136" s="312">
        <f t="shared" si="22"/>
        <v>-7460.6025074348108</v>
      </c>
      <c r="O136" s="312">
        <f t="shared" si="22"/>
        <v>-7833.6326328065516</v>
      </c>
      <c r="P136" s="312">
        <f t="shared" si="22"/>
        <v>-8225.3142644468808</v>
      </c>
      <c r="Q136" s="312">
        <f t="shared" si="22"/>
        <v>-8636.579977669222</v>
      </c>
      <c r="R136" s="312">
        <f t="shared" si="22"/>
        <v>-9068.4089765526842</v>
      </c>
      <c r="S136" s="312">
        <f t="shared" si="22"/>
        <v>-9521.8294253803178</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-9997.9208966493352</v>
      </c>
      <c r="F137" s="321">
        <f t="shared" si="23"/>
        <v>-9997.9208966493352</v>
      </c>
      <c r="G137" s="321">
        <f t="shared" si="23"/>
        <v>-9997.9208966493352</v>
      </c>
      <c r="H137" s="321">
        <f t="shared" si="23"/>
        <v>-9997.9208966493352</v>
      </c>
      <c r="I137" s="321">
        <f t="shared" si="23"/>
        <v>-9997.9208966493352</v>
      </c>
      <c r="J137" s="321">
        <f t="shared" si="23"/>
        <v>-9997.9208966493352</v>
      </c>
      <c r="K137" s="321">
        <f t="shared" si="23"/>
        <v>-9997.9208966493352</v>
      </c>
      <c r="L137" s="321">
        <f t="shared" si="23"/>
        <v>-9997.9208966493352</v>
      </c>
      <c r="M137" s="321">
        <f t="shared" si="23"/>
        <v>-9997.9208966493352</v>
      </c>
      <c r="N137" s="321">
        <f t="shared" si="23"/>
        <v>-9997.9208966493352</v>
      </c>
      <c r="O137" s="321">
        <f t="shared" si="23"/>
        <v>-9997.9208966493352</v>
      </c>
      <c r="P137" s="321">
        <f t="shared" si="23"/>
        <v>-9997.920896649337</v>
      </c>
      <c r="Q137" s="321">
        <f t="shared" si="23"/>
        <v>-9997.9208966493334</v>
      </c>
      <c r="R137" s="321">
        <f t="shared" si="23"/>
        <v>-9997.9208966493352</v>
      </c>
      <c r="S137" s="321">
        <f t="shared" si="23"/>
        <v>-9997.9208966493334</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-24178.833333333336</v>
      </c>
      <c r="F139" s="312">
        <f t="shared" si="24"/>
        <v>-24120.509788500869</v>
      </c>
      <c r="G139" s="312">
        <f t="shared" si="24"/>
        <v>-24053.806016426781</v>
      </c>
      <c r="H139" s="312">
        <f t="shared" si="24"/>
        <v>-23978.193724748984</v>
      </c>
      <c r="I139" s="312">
        <f t="shared" si="24"/>
        <v>-23893.116020867303</v>
      </c>
      <c r="J139" s="312">
        <f t="shared" si="24"/>
        <v>-23797.985938219132</v>
      </c>
      <c r="K139" s="312">
        <f t="shared" si="24"/>
        <v>-23692.184887994707</v>
      </c>
      <c r="L139" s="312">
        <f t="shared" si="24"/>
        <v>-23575.061032546331</v>
      </c>
      <c r="M139" s="312">
        <f t="shared" si="24"/>
        <v>-23445.927576558566</v>
      </c>
      <c r="N139" s="312">
        <f t="shared" si="24"/>
        <v>-23304.060971849089</v>
      </c>
      <c r="O139" s="312">
        <f t="shared" si="24"/>
        <v>-23148.699031463373</v>
      </c>
      <c r="P139" s="312">
        <f t="shared" si="24"/>
        <v>-22979.038948508787</v>
      </c>
      <c r="Q139" s="312">
        <f t="shared" si="24"/>
        <v>-27233.081495914812</v>
      </c>
      <c r="R139" s="312">
        <f t="shared" si="24"/>
        <v>-22593.397435315092</v>
      </c>
      <c r="S139" s="312">
        <f t="shared" si="24"/>
        <v>-22375.588030125164</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4593.9783333333335</v>
      </c>
      <c r="F140" s="312">
        <f t="shared" si="25"/>
        <v>4582.896859815165</v>
      </c>
      <c r="G140" s="312">
        <f t="shared" si="25"/>
        <v>4570.2231431210885</v>
      </c>
      <c r="H140" s="312">
        <f t="shared" si="25"/>
        <v>4555.8568077023074</v>
      </c>
      <c r="I140" s="312">
        <f t="shared" si="25"/>
        <v>4539.6920439647874</v>
      </c>
      <c r="J140" s="312">
        <f t="shared" si="25"/>
        <v>4521.6173282616346</v>
      </c>
      <c r="K140" s="312">
        <f t="shared" si="25"/>
        <v>4501.5151287189947</v>
      </c>
      <c r="L140" s="312">
        <f t="shared" si="25"/>
        <v>4479.2615961838028</v>
      </c>
      <c r="M140" s="312">
        <f t="shared" si="25"/>
        <v>4454.7262395461275</v>
      </c>
      <c r="N140" s="312">
        <f t="shared" si="25"/>
        <v>4427.7715846513265</v>
      </c>
      <c r="O140" s="312">
        <f t="shared" si="25"/>
        <v>4398.2528159780413</v>
      </c>
      <c r="P140" s="312">
        <f t="shared" si="25"/>
        <v>4366.0174002166696</v>
      </c>
      <c r="Q140" s="312">
        <f t="shared" si="25"/>
        <v>5174.2854842238139</v>
      </c>
      <c r="R140" s="312">
        <f t="shared" si="25"/>
        <v>4292.7455127098674</v>
      </c>
      <c r="S140" s="312">
        <f t="shared" si="25"/>
        <v>4251.3617257237811</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-14510.692563316003</v>
      </c>
      <c r="F142" s="321">
        <f t="shared" si="26"/>
        <v>-14703.909036834168</v>
      </c>
      <c r="G142" s="321">
        <f t="shared" si="26"/>
        <v>-14902.360453528247</v>
      </c>
      <c r="H142" s="321">
        <f t="shared" si="26"/>
        <v>-15106.220042947025</v>
      </c>
      <c r="I142" s="321">
        <f t="shared" si="26"/>
        <v>-15315.667925764548</v>
      </c>
      <c r="J142" s="321">
        <f t="shared" si="26"/>
        <v>-15530.891422929302</v>
      </c>
      <c r="K142" s="321">
        <f t="shared" si="26"/>
        <v>-15752.085379562774</v>
      </c>
      <c r="L142" s="321">
        <f t="shared" si="26"/>
        <v>-15979.452504330613</v>
      </c>
      <c r="M142" s="321">
        <f t="shared" si="26"/>
        <v>-16213.203725045589</v>
      </c>
      <c r="N142" s="321">
        <f t="shared" si="26"/>
        <v>-16453.558561299236</v>
      </c>
      <c r="O142" s="321">
        <f t="shared" si="26"/>
        <v>-16700.745514958548</v>
      </c>
      <c r="P142" s="321">
        <f t="shared" si="26"/>
        <v>-16955.002479405666</v>
      </c>
      <c r="Q142" s="321">
        <f t="shared" si="26"/>
        <v>-20812.042656026882</v>
      </c>
      <c r="R142" s="321">
        <f t="shared" si="26"/>
        <v>-17485.727565824578</v>
      </c>
      <c r="S142" s="321">
        <f t="shared" si="26"/>
        <v>-17762.72239644836</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-148250</v>
      </c>
      <c r="E143" s="312">
        <f t="shared" ref="E143:AR143" si="27">E132+E140</f>
        <v>-4512.7716666666665</v>
      </c>
      <c r="F143" s="312">
        <f t="shared" si="27"/>
        <v>-4705.9881401848352</v>
      </c>
      <c r="G143" s="312">
        <f t="shared" si="27"/>
        <v>-4904.4395568789123</v>
      </c>
      <c r="H143" s="312">
        <f t="shared" si="27"/>
        <v>-5108.2991462976925</v>
      </c>
      <c r="I143" s="312">
        <f t="shared" si="27"/>
        <v>-5317.7470291152131</v>
      </c>
      <c r="J143" s="312">
        <f t="shared" si="27"/>
        <v>-5532.9705262799653</v>
      </c>
      <c r="K143" s="312">
        <f t="shared" si="27"/>
        <v>-5754.1644829134384</v>
      </c>
      <c r="L143" s="312">
        <f t="shared" si="27"/>
        <v>-5981.5316076812769</v>
      </c>
      <c r="M143" s="312">
        <f t="shared" si="27"/>
        <v>-6215.2828283962535</v>
      </c>
      <c r="N143" s="312">
        <f t="shared" si="27"/>
        <v>-6455.637664649902</v>
      </c>
      <c r="O143" s="312">
        <f t="shared" si="27"/>
        <v>-6702.8246183092124</v>
      </c>
      <c r="P143" s="312">
        <f t="shared" si="27"/>
        <v>-6957.0815827563274</v>
      </c>
      <c r="Q143" s="312">
        <f t="shared" si="27"/>
        <v>-10814.121759377553</v>
      </c>
      <c r="R143" s="312">
        <f t="shared" si="27"/>
        <v>-7487.806669175241</v>
      </c>
      <c r="S143" s="312">
        <f t="shared" si="27"/>
        <v>-7764.8014997990294</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-44475</v>
      </c>
      <c r="E144" s="312">
        <f t="shared" ref="E144:AR144" si="28">E142</f>
        <v>-14510.692563316003</v>
      </c>
      <c r="F144" s="312">
        <f t="shared" si="28"/>
        <v>-14703.909036834168</v>
      </c>
      <c r="G144" s="312">
        <f t="shared" si="28"/>
        <v>-14902.360453528247</v>
      </c>
      <c r="H144" s="312">
        <f t="shared" si="28"/>
        <v>-15106.220042947025</v>
      </c>
      <c r="I144" s="312">
        <f t="shared" si="28"/>
        <v>-15315.667925764548</v>
      </c>
      <c r="J144" s="312">
        <f t="shared" si="28"/>
        <v>-15530.891422929302</v>
      </c>
      <c r="K144" s="312">
        <f t="shared" si="28"/>
        <v>-15752.085379562774</v>
      </c>
      <c r="L144" s="312">
        <f t="shared" si="28"/>
        <v>-15979.452504330613</v>
      </c>
      <c r="M144" s="312">
        <f t="shared" si="28"/>
        <v>-16213.203725045589</v>
      </c>
      <c r="N144" s="312">
        <f t="shared" si="28"/>
        <v>-16453.558561299236</v>
      </c>
      <c r="O144" s="312">
        <f t="shared" si="28"/>
        <v>-16700.745514958548</v>
      </c>
      <c r="P144" s="312">
        <f t="shared" si="28"/>
        <v>-16955.002479405666</v>
      </c>
      <c r="Q144" s="312">
        <f t="shared" si="28"/>
        <v>-20812.042656026882</v>
      </c>
      <c r="R144" s="312">
        <f t="shared" si="28"/>
        <v>-17485.727565824578</v>
      </c>
      <c r="S144" s="312">
        <f t="shared" si="28"/>
        <v>-17762.72239644836</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182500</v>
      </c>
      <c r="F145" s="312">
        <f t="shared" si="29"/>
        <v>182500</v>
      </c>
      <c r="G145" s="312">
        <f t="shared" si="29"/>
        <v>182500</v>
      </c>
      <c r="H145" s="312">
        <f t="shared" si="29"/>
        <v>182500</v>
      </c>
      <c r="I145" s="312">
        <f t="shared" si="29"/>
        <v>182500</v>
      </c>
      <c r="J145" s="312">
        <f t="shared" si="29"/>
        <v>182500</v>
      </c>
      <c r="K145" s="312">
        <f t="shared" si="29"/>
        <v>182500</v>
      </c>
      <c r="L145" s="312">
        <f t="shared" si="29"/>
        <v>182500</v>
      </c>
      <c r="M145" s="312">
        <f t="shared" si="29"/>
        <v>182500</v>
      </c>
      <c r="N145" s="312">
        <f t="shared" si="29"/>
        <v>182500</v>
      </c>
      <c r="O145" s="312">
        <f t="shared" si="29"/>
        <v>182500</v>
      </c>
      <c r="P145" s="312">
        <f t="shared" si="29"/>
        <v>182500</v>
      </c>
      <c r="Q145" s="312">
        <f t="shared" si="29"/>
        <v>182500</v>
      </c>
      <c r="R145" s="312">
        <f t="shared" si="29"/>
        <v>182500</v>
      </c>
      <c r="S145" s="312">
        <f t="shared" si="29"/>
        <v>182500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148250</v>
      </c>
      <c r="E146" s="323">
        <f t="shared" ref="E146:AR146" si="30">IF(E112&lt;=$C76,D146-($C$5*E118+E132+E135),D146-(E132+E135))</f>
        <v>136995.5</v>
      </c>
      <c r="F146" s="323">
        <f t="shared" si="30"/>
        <v>125682.67645516753</v>
      </c>
      <c r="G146" s="323">
        <f t="shared" si="30"/>
        <v>114303.14913826097</v>
      </c>
      <c r="H146" s="323">
        <f t="shared" si="30"/>
        <v>102848.00952967661</v>
      </c>
      <c r="I146" s="323">
        <f t="shared" si="30"/>
        <v>91307.792217210575</v>
      </c>
      <c r="J146" s="323">
        <f t="shared" si="30"/>
        <v>79672.444822096368</v>
      </c>
      <c r="K146" s="323">
        <f t="shared" si="30"/>
        <v>67931.296376757731</v>
      </c>
      <c r="L146" s="323">
        <f t="shared" si="30"/>
        <v>56073.024075970723</v>
      </c>
      <c r="M146" s="323">
        <f t="shared" si="30"/>
        <v>44085.61831919595</v>
      </c>
      <c r="N146" s="323">
        <f t="shared" si="30"/>
        <v>31956.345957711699</v>
      </c>
      <c r="O146" s="323">
        <f t="shared" si="30"/>
        <v>19671.711655841733</v>
      </c>
      <c r="P146" s="323">
        <f t="shared" si="30"/>
        <v>7217.4172710171824</v>
      </c>
      <c r="Q146" s="323">
        <f t="shared" si="30"/>
        <v>-982.83456640134318</v>
      </c>
      <c r="R146" s="323">
        <f t="shared" si="30"/>
        <v>-13822.770464419587</v>
      </c>
      <c r="S146" s="323">
        <f t="shared" si="30"/>
        <v>-26880.515767627767</v>
      </c>
      <c r="T146" s="323">
        <f t="shared" si="30"/>
        <v>-26880.515767627767</v>
      </c>
      <c r="U146" s="323">
        <f t="shared" si="30"/>
        <v>-26880.515767627767</v>
      </c>
      <c r="V146" s="323">
        <f t="shared" si="30"/>
        <v>-26880.515767627767</v>
      </c>
      <c r="W146" s="323">
        <f t="shared" si="30"/>
        <v>-26880.515767627767</v>
      </c>
      <c r="X146" s="323">
        <f t="shared" si="30"/>
        <v>-26880.515767627767</v>
      </c>
      <c r="Y146" s="323">
        <f t="shared" si="30"/>
        <v>-26880.515767627767</v>
      </c>
      <c r="Z146" s="323">
        <f t="shared" si="30"/>
        <v>-26880.515767627767</v>
      </c>
      <c r="AA146" s="323">
        <f t="shared" si="30"/>
        <v>-26880.515767627767</v>
      </c>
      <c r="AB146" s="323">
        <f t="shared" si="30"/>
        <v>-26880.515767627767</v>
      </c>
      <c r="AC146" s="323">
        <f t="shared" si="30"/>
        <v>-26880.515767627767</v>
      </c>
      <c r="AD146" s="323">
        <f t="shared" si="30"/>
        <v>-26880.515767627767</v>
      </c>
      <c r="AE146" s="323">
        <f t="shared" si="30"/>
        <v>-26880.515767627767</v>
      </c>
      <c r="AF146" s="323">
        <f t="shared" si="30"/>
        <v>-26880.515767627767</v>
      </c>
      <c r="AG146" s="323">
        <f t="shared" si="30"/>
        <v>-26880.515767627767</v>
      </c>
      <c r="AH146" s="323">
        <f t="shared" si="30"/>
        <v>-26880.515767627767</v>
      </c>
      <c r="AI146" s="323">
        <f t="shared" si="30"/>
        <v>-26880.515767627767</v>
      </c>
      <c r="AJ146" s="323">
        <f t="shared" si="30"/>
        <v>-26880.515767627767</v>
      </c>
      <c r="AK146" s="323">
        <f t="shared" si="30"/>
        <v>-26880.515767627767</v>
      </c>
      <c r="AL146" s="323">
        <f t="shared" si="30"/>
        <v>-26880.515767627767</v>
      </c>
      <c r="AM146" s="323">
        <f t="shared" si="30"/>
        <v>-26880.515767627767</v>
      </c>
      <c r="AN146" s="323">
        <f t="shared" si="30"/>
        <v>-26880.515767627767</v>
      </c>
      <c r="AO146" s="323">
        <f t="shared" si="30"/>
        <v>-26880.515767627767</v>
      </c>
      <c r="AP146" s="323">
        <f t="shared" si="30"/>
        <v>-26880.515767627767</v>
      </c>
      <c r="AQ146" s="323">
        <f t="shared" si="30"/>
        <v>-26880.515767627767</v>
      </c>
      <c r="AR146" s="324">
        <f t="shared" si="30"/>
        <v>-26880.515767627767</v>
      </c>
    </row>
    <row r="147" spans="1:44" ht="12.95" customHeight="1">
      <c r="B147" s="267" t="s">
        <v>577</v>
      </c>
      <c r="C147" s="268"/>
      <c r="D147" s="325"/>
      <c r="E147" s="326">
        <f t="shared" ref="E147:AR147" si="31">IF(E112&gt;$C$74,"",(-$C$94*(E139+$C$5*E118)+E132+$C$5*E118)/-E137)</f>
        <v>1.6186093589474941</v>
      </c>
      <c r="F147" s="326">
        <f t="shared" si="31"/>
        <v>1.5992836935901174</v>
      </c>
      <c r="G147" s="326">
        <f t="shared" si="31"/>
        <v>1.5794344250526373</v>
      </c>
      <c r="H147" s="326">
        <f t="shared" si="31"/>
        <v>1.559044226777804</v>
      </c>
      <c r="I147" s="326">
        <f t="shared" si="31"/>
        <v>1.5380950829525397</v>
      </c>
      <c r="J147" s="326">
        <f t="shared" si="31"/>
        <v>1.5165682575865898</v>
      </c>
      <c r="K147" s="326">
        <f t="shared" si="31"/>
        <v>1.4944442621159311</v>
      </c>
      <c r="L147" s="326">
        <f t="shared" si="31"/>
        <v>1.4717028214586003</v>
      </c>
      <c r="M147" s="326">
        <f t="shared" si="31"/>
        <v>1.448322838447001</v>
      </c>
      <c r="N147" s="326">
        <f t="shared" si="31"/>
        <v>1.4242823565569911</v>
      </c>
      <c r="O147" s="326">
        <f t="shared" si="31"/>
        <v>1.399558520850094</v>
      </c>
      <c r="P147" s="326">
        <f t="shared" si="31"/>
        <v>1.3741275370410178</v>
      </c>
      <c r="Q147" s="326">
        <f t="shared" si="31"/>
        <v>0.988343310851165</v>
      </c>
      <c r="R147" s="326">
        <f t="shared" si="31"/>
        <v>1.3210439917814452</v>
      </c>
      <c r="S147" s="326">
        <f t="shared" si="31"/>
        <v>1.2933387485126553</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-149889.69650170574</v>
      </c>
      <c r="D150" s="271" t="s">
        <v>580</v>
      </c>
    </row>
    <row r="151" spans="1:44">
      <c r="B151" s="72" t="s">
        <v>581</v>
      </c>
      <c r="C151" s="272">
        <f>(1-$C$94)*NPV($C$91,E145:AR145)</f>
        <v>1389949.5234512244</v>
      </c>
      <c r="D151" s="271" t="str">
        <f>$C$7</f>
        <v>kWh</v>
      </c>
      <c r="F151" s="273"/>
    </row>
    <row r="152" spans="1:44">
      <c r="B152" s="72" t="s">
        <v>582</v>
      </c>
      <c r="C152" s="272">
        <f>$C$41*1000000</f>
        <v>148250</v>
      </c>
      <c r="D152" s="271" t="s">
        <v>528</v>
      </c>
      <c r="F152" s="46"/>
    </row>
    <row r="153" spans="1:44">
      <c r="B153" s="72" t="s">
        <v>583</v>
      </c>
      <c r="C153" s="274">
        <f>AVERAGE(E147:AR147)</f>
        <v>1.4417466288348058</v>
      </c>
      <c r="D153" s="271"/>
      <c r="F153" s="46"/>
    </row>
    <row r="154" spans="1:44">
      <c r="B154" s="72" t="s">
        <v>584</v>
      </c>
      <c r="C154" s="95" t="str">
        <f>CONCATENATE(ROUND(((1-$C$94)*$C$90*$C$92+$C$93*$C$91)*100,1),"% / ",ROUND((((1+(1-$C$94)*$C$90*$C$92+$C$93*$C$91)/(1+$C$89))-1)*100,1),"%")</f>
        <v>4,8% / 2,7%</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103775</v>
      </c>
      <c r="D157" s="271" t="s">
        <v>528</v>
      </c>
      <c r="F157" s="33"/>
    </row>
    <row r="158" spans="1:44">
      <c r="B158" s="72" t="s">
        <v>588</v>
      </c>
      <c r="C158" s="272">
        <f>$C$93*C152-C98</f>
        <v>44475</v>
      </c>
      <c r="D158" s="271" t="s">
        <v>528</v>
      </c>
      <c r="F158" s="33"/>
    </row>
    <row r="159" spans="1:44">
      <c r="B159" s="72" t="s">
        <v>332</v>
      </c>
      <c r="C159" s="95">
        <f>IF(AND(E115&gt;0,E116&gt;0),ROUND(E116/E115,2),0)</f>
        <v>0</v>
      </c>
      <c r="D159" s="271" t="s">
        <v>589</v>
      </c>
      <c r="F159" s="33"/>
    </row>
    <row r="160" spans="1:44">
      <c r="B160" s="72" t="s">
        <v>590</v>
      </c>
      <c r="C160" s="95">
        <f>IF(C159=0,MAX(C29:C30),E118/SUM(C26,C28))</f>
        <v>730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0,107</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0.107</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0,130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0.13</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0,132</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0.13200000000000001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56" priority="3" operator="containsText" text="Pas op">
      <formula>NOT(ISERROR(SEARCH("Pas op",G1)))</formula>
    </cfRule>
  </conditionalFormatting>
  <conditionalFormatting sqref="G188">
    <cfRule type="containsText" dxfId="55" priority="2" operator="containsText" text="Pas op">
      <formula>NOT(ISERROR(SEARCH("Pas op",G188)))</formula>
    </cfRule>
  </conditionalFormatting>
  <conditionalFormatting sqref="G105">
    <cfRule type="containsText" dxfId="54"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208F0550-BBD4-425E-BFBF-6667F4FAD9F1}">
      <formula1>"ja,nee"</formula1>
    </dataValidation>
    <dataValidation type="list" allowBlank="1" showErrorMessage="1" error="Alleen de opties aangegeven in de dropdownlijst zijn toegestaan" sqref="C7" xr:uid="{A3A69A41-664A-4DCA-AFF5-253E1D249650}">
      <formula1>"t CO2,kWh"</formula1>
    </dataValidation>
    <dataValidation type="list" allowBlank="1" showErrorMessage="1" error="Alleen de opties aangegeven in de dropdownlijst zijn toegestaan" sqref="C14" xr:uid="{F996D6A9-BECE-48DD-8E2C-752C82B75172}">
      <formula1>"Nee,Ja,Geen warmte"</formula1>
    </dataValidation>
    <dataValidation type="list" allowBlank="1" showErrorMessage="1" error="Alleen de opties aangegeven in de dropdownlijst zijn toegestaan" sqref="C9" xr:uid="{19FE66A2-401E-4118-9759-6C3522AB50E5}">
      <formula1>"Elektriciteit,Lagetemperatuurwarmte,Hogetemperatuurwarmte,Moleculen,CCS/CCU,Generiek"</formula1>
    </dataValidation>
    <dataValidation type="decimal" allowBlank="1" showErrorMessage="1" error="Alleen getallen tussen 0 en 1.0 toegestaan. Vul in met een punt, geen comma" sqref="C17:C18" xr:uid="{E2404360-C00A-4B44-A0D1-BE73D9ABDB8F}">
      <formula1>0</formula1>
      <formula2>1</formula2>
    </dataValidation>
    <dataValidation type="decimal" operator="notBetween" allowBlank="1" showInputMessage="1" sqref="C39:C49" xr:uid="{F9CD8114-DD68-4B89-9DDA-016850C5D23B}">
      <formula1>0</formula1>
      <formula2>0</formula2>
    </dataValidation>
    <dataValidation type="decimal" operator="notBetween" allowBlank="1" showInputMessage="1" showErrorMessage="1" sqref="C52:C60 C63:C65 C67:C70" xr:uid="{6FD4AD7C-A912-4627-8BA6-6D16E0FF2FB6}">
      <formula1>0</formula1>
      <formula2>0</formula2>
    </dataValidation>
    <dataValidation type="decimal" operator="greaterThanOrEqual" allowBlank="1" showInputMessage="1" sqref="C21 C24:C30 C33:C36" xr:uid="{6AA34887-3E92-433D-B1B6-370F1C030C01}">
      <formula1>0</formula1>
    </dataValidation>
    <dataValidation type="decimal" operator="greaterThanOrEqual" allowBlank="1" showInputMessage="1" showErrorMessage="1" sqref="C73:C77" xr:uid="{816DB8AA-A223-4496-B047-52501BA21640}">
      <formula1>0</formula1>
    </dataValidation>
    <dataValidation type="decimal" operator="greaterThan" allowBlank="1" showInputMessage="1" showErrorMessage="1" sqref="C80:C86 C89:C94" xr:uid="{13C035F8-153A-4556-9040-B6D4A5DDF53E}">
      <formula1>0</formula1>
    </dataValidation>
    <dataValidation type="list" operator="greaterThanOrEqual" allowBlank="1" showInputMessage="1" sqref="C23" xr:uid="{0BA19239-8C94-40CC-9312-A3F8BBF2FDE0}">
      <formula1>"Ja"</formula1>
    </dataValidation>
    <dataValidation type="decimal" operator="greaterThan" allowBlank="1" showInputMessage="1" showErrorMessage="1" error="Alleen getallen boven de 0 toegstaan" sqref="C22" xr:uid="{FD4A238D-623E-4B7F-80FF-A5BC0F33EBAE}">
      <formula1>0</formula1>
    </dataValidation>
    <dataValidation operator="notBetween" allowBlank="1" showInputMessage="1" showErrorMessage="1" sqref="C66" xr:uid="{6EA65A26-817B-4033-8ED6-9322371E1AFB}"/>
  </dataValidations>
  <pageMargins left="0.7" right="0.7" top="0.75" bottom="0.75" header="0.3" footer="0.3"/>
  <pageSetup paperSize="9" scale="1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BAE0-9C0A-496D-8FC9-EB5AA17C65C4}">
  <sheetPr codeName="Sheet96">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609</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0.14699999999999999</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1193.5483870967741</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IFERROR(INDEX(Correcties!$A$1:$I$334,MATCH('4'!C12,Correcties!$A$1:$A$334,0),5),"")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226</v>
      </c>
      <c r="D16" s="75" t="str">
        <f>_xlfn.XLOOKUP(C16,Correcties!A4:A37,Correcties!B4:B37,"")</f>
        <v>Elektricteit-ZonPV-niet-netlevering, klein (negatieve uren niet meegenomen)</v>
      </c>
      <c r="E16" s="417" t="str">
        <f>"Enkel relevant voor zon-pv. "&amp;_xlfn.XLOOKUP(C16,Correcties!A4:A37,Correcties!E4:E37,"")</f>
        <v>Enkel relevant voor zon-pv. EPEX3 x PF_PV3 + EB3_e + ODE3_e + transport</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250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730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639</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0.16075</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29.3</v>
      </c>
      <c r="D43" s="75" t="str">
        <f>CONCATENATE("Euro/",$C$8,"/jaar")</f>
        <v>Euro/kW/jaar</v>
      </c>
      <c r="E43" s="417" t="s">
        <v>463</v>
      </c>
      <c r="F43" s="431"/>
      <c r="G43" s="431"/>
      <c r="H43" s="431"/>
      <c r="I43" s="431"/>
      <c r="J43" s="431"/>
      <c r="K43" s="431"/>
      <c r="L43" s="431"/>
      <c r="M43" s="432"/>
    </row>
    <row r="44" spans="2:13" ht="15" customHeight="1">
      <c r="B44" s="72" t="s">
        <v>465</v>
      </c>
      <c r="C44" s="239">
        <f>(C42*C21+C43*SUM(C26,C28))/1000</f>
        <v>7.3250000000000002</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2737500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2737500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0.05</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-3500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v>1000</v>
      </c>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-160750</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182500</v>
      </c>
      <c r="F115" s="312">
        <f t="shared" si="4"/>
        <v>182500</v>
      </c>
      <c r="G115" s="312">
        <f t="shared" si="4"/>
        <v>182500</v>
      </c>
      <c r="H115" s="312">
        <f t="shared" si="4"/>
        <v>182500</v>
      </c>
      <c r="I115" s="312">
        <f t="shared" si="4"/>
        <v>182500</v>
      </c>
      <c r="J115" s="312">
        <f t="shared" si="4"/>
        <v>182500</v>
      </c>
      <c r="K115" s="312">
        <f t="shared" si="4"/>
        <v>182500</v>
      </c>
      <c r="L115" s="312">
        <f t="shared" si="4"/>
        <v>182500</v>
      </c>
      <c r="M115" s="312">
        <f t="shared" si="4"/>
        <v>182500</v>
      </c>
      <c r="N115" s="312">
        <f t="shared" si="4"/>
        <v>182500</v>
      </c>
      <c r="O115" s="312">
        <f t="shared" si="4"/>
        <v>182500</v>
      </c>
      <c r="P115" s="312">
        <f t="shared" si="4"/>
        <v>182500</v>
      </c>
      <c r="Q115" s="312">
        <f t="shared" si="4"/>
        <v>182500</v>
      </c>
      <c r="R115" s="312">
        <f t="shared" si="4"/>
        <v>182500</v>
      </c>
      <c r="S115" s="312">
        <f t="shared" si="4"/>
        <v>182500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182500</v>
      </c>
      <c r="F118" s="315">
        <f t="shared" si="7"/>
        <v>182500</v>
      </c>
      <c r="G118" s="315">
        <f t="shared" si="7"/>
        <v>182500</v>
      </c>
      <c r="H118" s="315">
        <f t="shared" si="7"/>
        <v>182500</v>
      </c>
      <c r="I118" s="315">
        <f t="shared" si="7"/>
        <v>182500</v>
      </c>
      <c r="J118" s="315">
        <f t="shared" si="7"/>
        <v>182500</v>
      </c>
      <c r="K118" s="315">
        <f t="shared" si="7"/>
        <v>182500</v>
      </c>
      <c r="L118" s="315">
        <f t="shared" si="7"/>
        <v>182500</v>
      </c>
      <c r="M118" s="315">
        <f t="shared" si="7"/>
        <v>182500</v>
      </c>
      <c r="N118" s="315">
        <f t="shared" si="7"/>
        <v>182500</v>
      </c>
      <c r="O118" s="315">
        <f t="shared" si="7"/>
        <v>182500</v>
      </c>
      <c r="P118" s="315">
        <f t="shared" si="7"/>
        <v>182500</v>
      </c>
      <c r="Q118" s="315">
        <f t="shared" si="7"/>
        <v>182500</v>
      </c>
      <c r="R118" s="315">
        <f t="shared" si="7"/>
        <v>182500</v>
      </c>
      <c r="S118" s="315">
        <f t="shared" si="7"/>
        <v>182500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-9131.75</v>
      </c>
      <c r="F120" s="312">
        <f t="shared" si="8"/>
        <v>-9314.3850000000002</v>
      </c>
      <c r="G120" s="312">
        <f t="shared" si="8"/>
        <v>-9500.6726999999992</v>
      </c>
      <c r="H120" s="312">
        <f t="shared" si="8"/>
        <v>-9690.6861539999991</v>
      </c>
      <c r="I120" s="312">
        <f t="shared" si="8"/>
        <v>-9884.4998770799994</v>
      </c>
      <c r="J120" s="312">
        <f t="shared" si="8"/>
        <v>-10082.189874621599</v>
      </c>
      <c r="K120" s="312">
        <f t="shared" si="8"/>
        <v>-10283.833672114033</v>
      </c>
      <c r="L120" s="312">
        <f t="shared" si="8"/>
        <v>-10489.510345556311</v>
      </c>
      <c r="M120" s="312">
        <f t="shared" si="8"/>
        <v>-10699.300552467439</v>
      </c>
      <c r="N120" s="312">
        <f t="shared" si="8"/>
        <v>-10913.286563516787</v>
      </c>
      <c r="O120" s="312">
        <f t="shared" si="8"/>
        <v>-11131.552294787123</v>
      </c>
      <c r="P120" s="312">
        <f t="shared" si="8"/>
        <v>-11354.183340682863</v>
      </c>
      <c r="Q120" s="312">
        <f t="shared" si="8"/>
        <v>-16020.113288465431</v>
      </c>
      <c r="R120" s="312">
        <f t="shared" si="8"/>
        <v>-11812.892347646453</v>
      </c>
      <c r="S120" s="312">
        <f t="shared" si="8"/>
        <v>-12049.150194599382</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-9131.75</v>
      </c>
      <c r="F131" s="312">
        <f t="shared" si="18"/>
        <v>-9314.3850000000002</v>
      </c>
      <c r="G131" s="312">
        <f t="shared" si="18"/>
        <v>-9500.6726999999992</v>
      </c>
      <c r="H131" s="312">
        <f t="shared" si="18"/>
        <v>-9690.6861539999991</v>
      </c>
      <c r="I131" s="312">
        <f t="shared" si="18"/>
        <v>-9884.4998770799994</v>
      </c>
      <c r="J131" s="312">
        <f t="shared" si="18"/>
        <v>-10082.189874621599</v>
      </c>
      <c r="K131" s="312">
        <f t="shared" si="18"/>
        <v>-10283.833672114033</v>
      </c>
      <c r="L131" s="312">
        <f t="shared" si="18"/>
        <v>-10489.510345556311</v>
      </c>
      <c r="M131" s="312">
        <f t="shared" si="18"/>
        <v>-10699.300552467439</v>
      </c>
      <c r="N131" s="312">
        <f t="shared" si="18"/>
        <v>-10913.286563516787</v>
      </c>
      <c r="O131" s="312">
        <f t="shared" si="18"/>
        <v>-11131.552294787123</v>
      </c>
      <c r="P131" s="312">
        <f t="shared" si="18"/>
        <v>-11354.183340682863</v>
      </c>
      <c r="Q131" s="312">
        <f t="shared" si="18"/>
        <v>-16020.113288465431</v>
      </c>
      <c r="R131" s="312">
        <f t="shared" si="18"/>
        <v>-11812.892347646453</v>
      </c>
      <c r="S131" s="312">
        <f t="shared" si="18"/>
        <v>-12049.150194599382</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-9131.75</v>
      </c>
      <c r="F132" s="321">
        <f t="shared" si="19"/>
        <v>-9314.3850000000002</v>
      </c>
      <c r="G132" s="321">
        <f t="shared" si="19"/>
        <v>-9500.6726999999992</v>
      </c>
      <c r="H132" s="321">
        <f t="shared" si="19"/>
        <v>-9690.6861539999991</v>
      </c>
      <c r="I132" s="321">
        <f t="shared" si="19"/>
        <v>-9884.4998770799994</v>
      </c>
      <c r="J132" s="321">
        <f t="shared" si="19"/>
        <v>-10082.189874621599</v>
      </c>
      <c r="K132" s="321">
        <f t="shared" si="19"/>
        <v>-10283.833672114033</v>
      </c>
      <c r="L132" s="321">
        <f t="shared" si="19"/>
        <v>-10489.510345556311</v>
      </c>
      <c r="M132" s="321">
        <f t="shared" si="19"/>
        <v>-10699.300552467439</v>
      </c>
      <c r="N132" s="321">
        <f t="shared" si="19"/>
        <v>-10913.286563516787</v>
      </c>
      <c r="O132" s="321">
        <f t="shared" si="19"/>
        <v>-11131.552294787123</v>
      </c>
      <c r="P132" s="321">
        <f t="shared" si="19"/>
        <v>-11354.183340682863</v>
      </c>
      <c r="Q132" s="321">
        <f t="shared" si="19"/>
        <v>-16020.113288465431</v>
      </c>
      <c r="R132" s="321">
        <f t="shared" si="19"/>
        <v>-11812.892347646453</v>
      </c>
      <c r="S132" s="321">
        <f t="shared" si="19"/>
        <v>-12049.150194599382</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-10716.666666666666</v>
      </c>
      <c r="F134" s="312">
        <f t="shared" si="20"/>
        <v>-10716.666666666666</v>
      </c>
      <c r="G134" s="312">
        <f t="shared" si="20"/>
        <v>-10716.666666666666</v>
      </c>
      <c r="H134" s="312">
        <f t="shared" si="20"/>
        <v>-10716.666666666666</v>
      </c>
      <c r="I134" s="312">
        <f t="shared" si="20"/>
        <v>-10716.666666666666</v>
      </c>
      <c r="J134" s="312">
        <f t="shared" si="20"/>
        <v>-10716.666666666666</v>
      </c>
      <c r="K134" s="312">
        <f t="shared" si="20"/>
        <v>-10716.666666666666</v>
      </c>
      <c r="L134" s="312">
        <f t="shared" si="20"/>
        <v>-10716.666666666666</v>
      </c>
      <c r="M134" s="312">
        <f t="shared" si="20"/>
        <v>-10716.666666666666</v>
      </c>
      <c r="N134" s="312">
        <f t="shared" si="20"/>
        <v>-10716.666666666666</v>
      </c>
      <c r="O134" s="312">
        <f t="shared" si="20"/>
        <v>-10716.666666666666</v>
      </c>
      <c r="P134" s="312">
        <f t="shared" si="20"/>
        <v>-10716.666666666666</v>
      </c>
      <c r="Q134" s="312">
        <f t="shared" si="20"/>
        <v>-10716.666666666666</v>
      </c>
      <c r="R134" s="312">
        <f t="shared" si="20"/>
        <v>-10716.666666666666</v>
      </c>
      <c r="S134" s="312">
        <f t="shared" si="20"/>
        <v>-10716.666666666666</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-5626.25</v>
      </c>
      <c r="F135" s="312">
        <f t="shared" si="21"/>
        <v>-5365.5167043384899</v>
      </c>
      <c r="G135" s="312">
        <f t="shared" si="21"/>
        <v>-5091.746743893902</v>
      </c>
      <c r="H135" s="312">
        <f t="shared" si="21"/>
        <v>-4804.2882854270856</v>
      </c>
      <c r="I135" s="312">
        <f t="shared" si="21"/>
        <v>-4502.4569040369306</v>
      </c>
      <c r="J135" s="312">
        <f t="shared" si="21"/>
        <v>-4185.5339535772655</v>
      </c>
      <c r="K135" s="312">
        <f t="shared" si="21"/>
        <v>-3852.7648555946166</v>
      </c>
      <c r="L135" s="312">
        <f t="shared" si="21"/>
        <v>-3503.3573027128364</v>
      </c>
      <c r="M135" s="312">
        <f t="shared" si="21"/>
        <v>-3136.4793721869673</v>
      </c>
      <c r="N135" s="312">
        <f t="shared" si="21"/>
        <v>-2751.2575451348039</v>
      </c>
      <c r="O135" s="312">
        <f t="shared" si="21"/>
        <v>-2346.7746267300331</v>
      </c>
      <c r="P135" s="312">
        <f t="shared" si="21"/>
        <v>-1922.0675624050234</v>
      </c>
      <c r="Q135" s="312">
        <f t="shared" si="21"/>
        <v>-1476.1251448637634</v>
      </c>
      <c r="R135" s="312">
        <f t="shared" si="21"/>
        <v>-1007.8856064454403</v>
      </c>
      <c r="S135" s="312">
        <f t="shared" si="21"/>
        <v>-516.23409110620128</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-5214.6659132302229</v>
      </c>
      <c r="F136" s="312">
        <f t="shared" si="22"/>
        <v>-5475.3992088917339</v>
      </c>
      <c r="G136" s="312">
        <f t="shared" si="22"/>
        <v>-5749.1691693363209</v>
      </c>
      <c r="H136" s="312">
        <f t="shared" si="22"/>
        <v>-6036.6276278031373</v>
      </c>
      <c r="I136" s="312">
        <f t="shared" si="22"/>
        <v>-6338.4590091932932</v>
      </c>
      <c r="J136" s="312">
        <f t="shared" si="22"/>
        <v>-6655.3819596529593</v>
      </c>
      <c r="K136" s="312">
        <f t="shared" si="22"/>
        <v>-6988.1510576356059</v>
      </c>
      <c r="L136" s="312">
        <f t="shared" si="22"/>
        <v>-7337.5586105173861</v>
      </c>
      <c r="M136" s="312">
        <f t="shared" si="22"/>
        <v>-7704.4365410432556</v>
      </c>
      <c r="N136" s="312">
        <f t="shared" si="22"/>
        <v>-8089.65836809542</v>
      </c>
      <c r="O136" s="312">
        <f t="shared" si="22"/>
        <v>-8494.1412865001894</v>
      </c>
      <c r="P136" s="312">
        <f t="shared" si="22"/>
        <v>-8918.8483508252011</v>
      </c>
      <c r="Q136" s="312">
        <f t="shared" si="22"/>
        <v>-9364.790768366458</v>
      </c>
      <c r="R136" s="312">
        <f t="shared" si="22"/>
        <v>-9833.0303067847835</v>
      </c>
      <c r="S136" s="312">
        <f t="shared" si="22"/>
        <v>-10324.681822124023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-10840.915913230223</v>
      </c>
      <c r="F137" s="321">
        <f t="shared" si="23"/>
        <v>-10840.915913230223</v>
      </c>
      <c r="G137" s="321">
        <f t="shared" si="23"/>
        <v>-10840.915913230223</v>
      </c>
      <c r="H137" s="321">
        <f t="shared" si="23"/>
        <v>-10840.915913230223</v>
      </c>
      <c r="I137" s="321">
        <f t="shared" si="23"/>
        <v>-10840.915913230223</v>
      </c>
      <c r="J137" s="321">
        <f t="shared" si="23"/>
        <v>-10840.915913230225</v>
      </c>
      <c r="K137" s="321">
        <f t="shared" si="23"/>
        <v>-10840.915913230223</v>
      </c>
      <c r="L137" s="321">
        <f t="shared" si="23"/>
        <v>-10840.915913230223</v>
      </c>
      <c r="M137" s="321">
        <f t="shared" si="23"/>
        <v>-10840.915913230223</v>
      </c>
      <c r="N137" s="321">
        <f t="shared" si="23"/>
        <v>-10840.915913230223</v>
      </c>
      <c r="O137" s="321">
        <f t="shared" si="23"/>
        <v>-10840.915913230223</v>
      </c>
      <c r="P137" s="321">
        <f t="shared" si="23"/>
        <v>-10840.915913230225</v>
      </c>
      <c r="Q137" s="321">
        <f t="shared" si="23"/>
        <v>-10840.915913230221</v>
      </c>
      <c r="R137" s="321">
        <f t="shared" si="23"/>
        <v>-10840.915913230223</v>
      </c>
      <c r="S137" s="321">
        <f t="shared" si="23"/>
        <v>-10840.915913230225</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-25474.666666666664</v>
      </c>
      <c r="F139" s="312">
        <f t="shared" si="24"/>
        <v>-25396.568371005156</v>
      </c>
      <c r="G139" s="312">
        <f t="shared" si="24"/>
        <v>-25309.086110560569</v>
      </c>
      <c r="H139" s="312">
        <f t="shared" si="24"/>
        <v>-25211.641106093753</v>
      </c>
      <c r="I139" s="312">
        <f t="shared" si="24"/>
        <v>-25103.623447783597</v>
      </c>
      <c r="J139" s="312">
        <f t="shared" si="24"/>
        <v>-24984.390494865533</v>
      </c>
      <c r="K139" s="312">
        <f t="shared" si="24"/>
        <v>-24853.265194375319</v>
      </c>
      <c r="L139" s="312">
        <f t="shared" si="24"/>
        <v>-24709.534314935816</v>
      </c>
      <c r="M139" s="312">
        <f t="shared" si="24"/>
        <v>-24552.446591321073</v>
      </c>
      <c r="N139" s="312">
        <f t="shared" si="24"/>
        <v>-24381.210775318257</v>
      </c>
      <c r="O139" s="312">
        <f t="shared" si="24"/>
        <v>-24194.993588183821</v>
      </c>
      <c r="P139" s="312">
        <f t="shared" si="24"/>
        <v>-23992.917569754554</v>
      </c>
      <c r="Q139" s="312">
        <f t="shared" si="24"/>
        <v>-28212.90509999586</v>
      </c>
      <c r="R139" s="312">
        <f t="shared" si="24"/>
        <v>-23537.444620758561</v>
      </c>
      <c r="S139" s="312">
        <f t="shared" si="24"/>
        <v>-23282.05095237225</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4840.1866666666665</v>
      </c>
      <c r="F140" s="312">
        <f t="shared" si="25"/>
        <v>4825.34799049098</v>
      </c>
      <c r="G140" s="312">
        <f t="shared" si="25"/>
        <v>4808.7263610065083</v>
      </c>
      <c r="H140" s="312">
        <f t="shared" si="25"/>
        <v>4790.2118101578135</v>
      </c>
      <c r="I140" s="312">
        <f t="shared" si="25"/>
        <v>4769.6884550788836</v>
      </c>
      <c r="J140" s="312">
        <f t="shared" si="25"/>
        <v>4747.0341940244516</v>
      </c>
      <c r="K140" s="312">
        <f t="shared" si="25"/>
        <v>4722.1203869313103</v>
      </c>
      <c r="L140" s="312">
        <f t="shared" si="25"/>
        <v>4694.8115198378055</v>
      </c>
      <c r="M140" s="312">
        <f t="shared" si="25"/>
        <v>4664.9648523510041</v>
      </c>
      <c r="N140" s="312">
        <f t="shared" si="25"/>
        <v>4632.4300473104686</v>
      </c>
      <c r="O140" s="312">
        <f t="shared" si="25"/>
        <v>4597.0487817549256</v>
      </c>
      <c r="P140" s="312">
        <f t="shared" si="25"/>
        <v>4558.6543382533655</v>
      </c>
      <c r="Q140" s="312">
        <f t="shared" si="25"/>
        <v>5360.451968999213</v>
      </c>
      <c r="R140" s="312">
        <f t="shared" si="25"/>
        <v>4472.1144779441265</v>
      </c>
      <c r="S140" s="312">
        <f t="shared" si="25"/>
        <v>4423.5896809507276</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-15132.479246563556</v>
      </c>
      <c r="F142" s="321">
        <f t="shared" si="26"/>
        <v>-15329.952922739245</v>
      </c>
      <c r="G142" s="321">
        <f t="shared" si="26"/>
        <v>-15532.862252223713</v>
      </c>
      <c r="H142" s="321">
        <f t="shared" si="26"/>
        <v>-15741.390257072409</v>
      </c>
      <c r="I142" s="321">
        <f t="shared" si="26"/>
        <v>-15955.72733523134</v>
      </c>
      <c r="J142" s="321">
        <f t="shared" si="26"/>
        <v>-16176.071593827375</v>
      </c>
      <c r="K142" s="321">
        <f t="shared" si="26"/>
        <v>-16402.629198412946</v>
      </c>
      <c r="L142" s="321">
        <f t="shared" si="26"/>
        <v>-16635.614738948731</v>
      </c>
      <c r="M142" s="321">
        <f t="shared" si="26"/>
        <v>-16875.251613346656</v>
      </c>
      <c r="N142" s="321">
        <f t="shared" si="26"/>
        <v>-17121.77242943654</v>
      </c>
      <c r="O142" s="321">
        <f t="shared" si="26"/>
        <v>-17375.419426262419</v>
      </c>
      <c r="P142" s="321">
        <f t="shared" si="26"/>
        <v>-17636.444915659726</v>
      </c>
      <c r="Q142" s="321">
        <f t="shared" si="26"/>
        <v>-21500.57723269644</v>
      </c>
      <c r="R142" s="321">
        <f t="shared" si="26"/>
        <v>-18181.693782932551</v>
      </c>
      <c r="S142" s="321">
        <f t="shared" si="26"/>
        <v>-18466.476426878879</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-160750</v>
      </c>
      <c r="E143" s="312">
        <f t="shared" ref="E143:AR143" si="27">E132+E140</f>
        <v>-4291.5633333333335</v>
      </c>
      <c r="F143" s="312">
        <f t="shared" si="27"/>
        <v>-4489.0370095090202</v>
      </c>
      <c r="G143" s="312">
        <f t="shared" si="27"/>
        <v>-4691.9463389934908</v>
      </c>
      <c r="H143" s="312">
        <f t="shared" si="27"/>
        <v>-4900.4743438421856</v>
      </c>
      <c r="I143" s="312">
        <f t="shared" si="27"/>
        <v>-5114.8114220011157</v>
      </c>
      <c r="J143" s="312">
        <f t="shared" si="27"/>
        <v>-5335.1556805971477</v>
      </c>
      <c r="K143" s="312">
        <f t="shared" si="27"/>
        <v>-5561.7132851827228</v>
      </c>
      <c r="L143" s="312">
        <f t="shared" si="27"/>
        <v>-5794.6988257185058</v>
      </c>
      <c r="M143" s="312">
        <f t="shared" si="27"/>
        <v>-6034.335700116435</v>
      </c>
      <c r="N143" s="312">
        <f t="shared" si="27"/>
        <v>-6280.8565162063187</v>
      </c>
      <c r="O143" s="312">
        <f t="shared" si="27"/>
        <v>-6534.5035130321976</v>
      </c>
      <c r="P143" s="312">
        <f t="shared" si="27"/>
        <v>-6795.5290024294973</v>
      </c>
      <c r="Q143" s="312">
        <f t="shared" si="27"/>
        <v>-10659.661319466217</v>
      </c>
      <c r="R143" s="312">
        <f t="shared" si="27"/>
        <v>-7340.7778697023268</v>
      </c>
      <c r="S143" s="312">
        <f t="shared" si="27"/>
        <v>-7625.5605136486547</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-48225</v>
      </c>
      <c r="E144" s="312">
        <f t="shared" ref="E144:AR144" si="28">E142</f>
        <v>-15132.479246563556</v>
      </c>
      <c r="F144" s="312">
        <f t="shared" si="28"/>
        <v>-15329.952922739245</v>
      </c>
      <c r="G144" s="312">
        <f t="shared" si="28"/>
        <v>-15532.862252223713</v>
      </c>
      <c r="H144" s="312">
        <f t="shared" si="28"/>
        <v>-15741.390257072409</v>
      </c>
      <c r="I144" s="312">
        <f t="shared" si="28"/>
        <v>-15955.72733523134</v>
      </c>
      <c r="J144" s="312">
        <f t="shared" si="28"/>
        <v>-16176.071593827375</v>
      </c>
      <c r="K144" s="312">
        <f t="shared" si="28"/>
        <v>-16402.629198412946</v>
      </c>
      <c r="L144" s="312">
        <f t="shared" si="28"/>
        <v>-16635.614738948731</v>
      </c>
      <c r="M144" s="312">
        <f t="shared" si="28"/>
        <v>-16875.251613346656</v>
      </c>
      <c r="N144" s="312">
        <f t="shared" si="28"/>
        <v>-17121.77242943654</v>
      </c>
      <c r="O144" s="312">
        <f t="shared" si="28"/>
        <v>-17375.419426262419</v>
      </c>
      <c r="P144" s="312">
        <f t="shared" si="28"/>
        <v>-17636.444915659726</v>
      </c>
      <c r="Q144" s="312">
        <f t="shared" si="28"/>
        <v>-21500.57723269644</v>
      </c>
      <c r="R144" s="312">
        <f t="shared" si="28"/>
        <v>-18181.693782932551</v>
      </c>
      <c r="S144" s="312">
        <f t="shared" si="28"/>
        <v>-18466.476426878879</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182500</v>
      </c>
      <c r="F145" s="312">
        <f t="shared" si="29"/>
        <v>182500</v>
      </c>
      <c r="G145" s="312">
        <f t="shared" si="29"/>
        <v>182500</v>
      </c>
      <c r="H145" s="312">
        <f t="shared" si="29"/>
        <v>182500</v>
      </c>
      <c r="I145" s="312">
        <f t="shared" si="29"/>
        <v>182500</v>
      </c>
      <c r="J145" s="312">
        <f t="shared" si="29"/>
        <v>182500</v>
      </c>
      <c r="K145" s="312">
        <f t="shared" si="29"/>
        <v>182500</v>
      </c>
      <c r="L145" s="312">
        <f t="shared" si="29"/>
        <v>182500</v>
      </c>
      <c r="M145" s="312">
        <f t="shared" si="29"/>
        <v>182500</v>
      </c>
      <c r="N145" s="312">
        <f t="shared" si="29"/>
        <v>182500</v>
      </c>
      <c r="O145" s="312">
        <f t="shared" si="29"/>
        <v>182500</v>
      </c>
      <c r="P145" s="312">
        <f t="shared" si="29"/>
        <v>182500</v>
      </c>
      <c r="Q145" s="312">
        <f t="shared" si="29"/>
        <v>182500</v>
      </c>
      <c r="R145" s="312">
        <f t="shared" si="29"/>
        <v>182500</v>
      </c>
      <c r="S145" s="312">
        <f t="shared" si="29"/>
        <v>182500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160750</v>
      </c>
      <c r="E146" s="323">
        <f t="shared" ref="E146:AR146" si="30">IF(E112&lt;=$C76,D146-($C$5*E118+E132+E135),D146-(E132+E135))</f>
        <v>148680.5</v>
      </c>
      <c r="F146" s="323">
        <f t="shared" si="30"/>
        <v>136532.9017043385</v>
      </c>
      <c r="G146" s="323">
        <f t="shared" si="30"/>
        <v>124297.8211482324</v>
      </c>
      <c r="H146" s="323">
        <f t="shared" si="30"/>
        <v>111965.29558765948</v>
      </c>
      <c r="I146" s="323">
        <f t="shared" si="30"/>
        <v>99524.752368776419</v>
      </c>
      <c r="J146" s="323">
        <f t="shared" si="30"/>
        <v>86964.976196975287</v>
      </c>
      <c r="K146" s="323">
        <f t="shared" si="30"/>
        <v>74274.074724683931</v>
      </c>
      <c r="L146" s="323">
        <f t="shared" si="30"/>
        <v>61439.442372953083</v>
      </c>
      <c r="M146" s="323">
        <f t="shared" si="30"/>
        <v>48447.722297607485</v>
      </c>
      <c r="N146" s="323">
        <f t="shared" si="30"/>
        <v>35284.766406259077</v>
      </c>
      <c r="O146" s="323">
        <f t="shared" si="30"/>
        <v>21935.593327776234</v>
      </c>
      <c r="P146" s="323">
        <f t="shared" si="30"/>
        <v>8384.3442308641206</v>
      </c>
      <c r="Q146" s="323">
        <f t="shared" si="30"/>
        <v>-946.91733580668551</v>
      </c>
      <c r="R146" s="323">
        <f t="shared" si="30"/>
        <v>-14953.639381714793</v>
      </c>
      <c r="S146" s="323">
        <f t="shared" si="30"/>
        <v>-29215.755096009209</v>
      </c>
      <c r="T146" s="323">
        <f t="shared" si="30"/>
        <v>-29215.755096009209</v>
      </c>
      <c r="U146" s="323">
        <f t="shared" si="30"/>
        <v>-29215.755096009209</v>
      </c>
      <c r="V146" s="323">
        <f t="shared" si="30"/>
        <v>-29215.755096009209</v>
      </c>
      <c r="W146" s="323">
        <f t="shared" si="30"/>
        <v>-29215.755096009209</v>
      </c>
      <c r="X146" s="323">
        <f t="shared" si="30"/>
        <v>-29215.755096009209</v>
      </c>
      <c r="Y146" s="323">
        <f t="shared" si="30"/>
        <v>-29215.755096009209</v>
      </c>
      <c r="Z146" s="323">
        <f t="shared" si="30"/>
        <v>-29215.755096009209</v>
      </c>
      <c r="AA146" s="323">
        <f t="shared" si="30"/>
        <v>-29215.755096009209</v>
      </c>
      <c r="AB146" s="323">
        <f t="shared" si="30"/>
        <v>-29215.755096009209</v>
      </c>
      <c r="AC146" s="323">
        <f t="shared" si="30"/>
        <v>-29215.755096009209</v>
      </c>
      <c r="AD146" s="323">
        <f t="shared" si="30"/>
        <v>-29215.755096009209</v>
      </c>
      <c r="AE146" s="323">
        <f t="shared" si="30"/>
        <v>-29215.755096009209</v>
      </c>
      <c r="AF146" s="323">
        <f t="shared" si="30"/>
        <v>-29215.755096009209</v>
      </c>
      <c r="AG146" s="323">
        <f t="shared" si="30"/>
        <v>-29215.755096009209</v>
      </c>
      <c r="AH146" s="323">
        <f t="shared" si="30"/>
        <v>-29215.755096009209</v>
      </c>
      <c r="AI146" s="323">
        <f t="shared" si="30"/>
        <v>-29215.755096009209</v>
      </c>
      <c r="AJ146" s="323">
        <f t="shared" si="30"/>
        <v>-29215.755096009209</v>
      </c>
      <c r="AK146" s="323">
        <f t="shared" si="30"/>
        <v>-29215.755096009209</v>
      </c>
      <c r="AL146" s="323">
        <f t="shared" si="30"/>
        <v>-29215.755096009209</v>
      </c>
      <c r="AM146" s="323">
        <f t="shared" si="30"/>
        <v>-29215.755096009209</v>
      </c>
      <c r="AN146" s="323">
        <f t="shared" si="30"/>
        <v>-29215.755096009209</v>
      </c>
      <c r="AO146" s="323">
        <f t="shared" si="30"/>
        <v>-29215.755096009209</v>
      </c>
      <c r="AP146" s="323">
        <f t="shared" si="30"/>
        <v>-29215.755096009209</v>
      </c>
      <c r="AQ146" s="323">
        <f t="shared" si="30"/>
        <v>-29215.755096009209</v>
      </c>
      <c r="AR146" s="324">
        <f t="shared" si="30"/>
        <v>-29215.755096009209</v>
      </c>
    </row>
    <row r="147" spans="1:44" ht="12.95" customHeight="1">
      <c r="B147" s="267" t="s">
        <v>577</v>
      </c>
      <c r="C147" s="268"/>
      <c r="D147" s="325"/>
      <c r="E147" s="326">
        <f t="shared" ref="E147:AR147" si="31">IF(E112&gt;$C$74,"",(-$C$94*(E139+$C$5*E118)+E132+$C$5*E118)/-E137)</f>
        <v>1.6086013217189989</v>
      </c>
      <c r="F147" s="326">
        <f t="shared" si="31"/>
        <v>1.5903857320256327</v>
      </c>
      <c r="G147" s="326">
        <f t="shared" si="31"/>
        <v>1.5716687406654435</v>
      </c>
      <c r="H147" s="326">
        <f t="shared" si="31"/>
        <v>1.5524334651114464</v>
      </c>
      <c r="I147" s="326">
        <f t="shared" si="31"/>
        <v>1.5326623424614352</v>
      </c>
      <c r="J147" s="326">
        <f t="shared" si="31"/>
        <v>1.5123370986942435</v>
      </c>
      <c r="K147" s="326">
        <f t="shared" si="31"/>
        <v>1.4914387164543181</v>
      </c>
      <c r="L147" s="326">
        <f t="shared" si="31"/>
        <v>1.4699474012923357</v>
      </c>
      <c r="M147" s="326">
        <f t="shared" si="31"/>
        <v>1.447842546285991</v>
      </c>
      <c r="N147" s="326">
        <f t="shared" si="31"/>
        <v>1.4251026949613412</v>
      </c>
      <c r="O147" s="326">
        <f t="shared" si="31"/>
        <v>1.4017055024311116</v>
      </c>
      <c r="P147" s="326">
        <f t="shared" si="31"/>
        <v>1.3776276946622359</v>
      </c>
      <c r="Q147" s="326">
        <f t="shared" si="31"/>
        <v>1.0211880406731353</v>
      </c>
      <c r="R147" s="326">
        <f t="shared" si="31"/>
        <v>1.3273322333158928</v>
      </c>
      <c r="S147" s="326">
        <f t="shared" si="31"/>
        <v>1.3010629912863718</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-156020.24295654972</v>
      </c>
      <c r="D150" s="271" t="s">
        <v>580</v>
      </c>
    </row>
    <row r="151" spans="1:44">
      <c r="B151" s="72" t="s">
        <v>581</v>
      </c>
      <c r="C151" s="272">
        <f>(1-$C$94)*NPV($C$91,E145:AR145)</f>
        <v>1389949.5234512244</v>
      </c>
      <c r="D151" s="271" t="str">
        <f>$C$7</f>
        <v>kWh</v>
      </c>
      <c r="F151" s="273"/>
    </row>
    <row r="152" spans="1:44">
      <c r="B152" s="72" t="s">
        <v>582</v>
      </c>
      <c r="C152" s="272">
        <f>$C$41*1000000</f>
        <v>160750</v>
      </c>
      <c r="D152" s="271" t="s">
        <v>528</v>
      </c>
      <c r="F152" s="46"/>
    </row>
    <row r="153" spans="1:44">
      <c r="B153" s="72" t="s">
        <v>583</v>
      </c>
      <c r="C153" s="274">
        <f>AVERAGE(E147:AR147)</f>
        <v>1.4420891014693289</v>
      </c>
      <c r="D153" s="271"/>
      <c r="F153" s="46"/>
    </row>
    <row r="154" spans="1:44">
      <c r="B154" s="72" t="s">
        <v>584</v>
      </c>
      <c r="C154" s="95" t="str">
        <f>CONCATENATE(ROUND(((1-$C$94)*$C$90*$C$92+$C$93*$C$91)*100,1),"% / ",ROUND((((1+(1-$C$94)*$C$90*$C$92+$C$93*$C$91)/(1+$C$89))-1)*100,1),"%")</f>
        <v>4,8% / 2,7%</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112525</v>
      </c>
      <c r="D157" s="271" t="s">
        <v>528</v>
      </c>
      <c r="F157" s="33"/>
    </row>
    <row r="158" spans="1:44">
      <c r="B158" s="72" t="s">
        <v>588</v>
      </c>
      <c r="C158" s="272">
        <f>$C$93*C152-C98</f>
        <v>48225</v>
      </c>
      <c r="D158" s="271" t="s">
        <v>528</v>
      </c>
      <c r="F158" s="33"/>
    </row>
    <row r="159" spans="1:44">
      <c r="B159" s="72" t="s">
        <v>332</v>
      </c>
      <c r="C159" s="95">
        <f>IF(AND(E115&gt;0,E116&gt;0),ROUND(E116/E115,2),0)</f>
        <v>0</v>
      </c>
      <c r="D159" s="271" t="s">
        <v>589</v>
      </c>
      <c r="F159" s="33"/>
    </row>
    <row r="160" spans="1:44">
      <c r="B160" s="72" t="s">
        <v>590</v>
      </c>
      <c r="C160" s="95">
        <f>IF(C159=0,MAX(C29:C30),E118/SUM(C26,C28))</f>
        <v>730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0,107</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0.107</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0,130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0.13</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0,132</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0.13200000000000001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53" priority="3" operator="containsText" text="Pas op">
      <formula>NOT(ISERROR(SEARCH("Pas op",G1)))</formula>
    </cfRule>
  </conditionalFormatting>
  <conditionalFormatting sqref="G188">
    <cfRule type="containsText" dxfId="52" priority="2" operator="containsText" text="Pas op">
      <formula>NOT(ISERROR(SEARCH("Pas op",G188)))</formula>
    </cfRule>
  </conditionalFormatting>
  <conditionalFormatting sqref="G105">
    <cfRule type="containsText" dxfId="51"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14368D3C-5878-449A-BD47-BB14EBAD7F4A}">
      <formula1>"ja,nee"</formula1>
    </dataValidation>
    <dataValidation type="list" allowBlank="1" showErrorMessage="1" error="Alleen de opties aangegeven in de dropdownlijst zijn toegestaan" sqref="C7" xr:uid="{D72238EA-0566-445A-A075-716EA602E73D}">
      <formula1>"t CO2,kWh"</formula1>
    </dataValidation>
    <dataValidation type="list" allowBlank="1" showErrorMessage="1" error="Alleen de opties aangegeven in de dropdownlijst zijn toegestaan" sqref="C14" xr:uid="{A6A3E78A-C10A-4D5F-BE61-86F19226DDFF}">
      <formula1>"Nee,Ja,Geen warmte"</formula1>
    </dataValidation>
    <dataValidation type="list" allowBlank="1" showErrorMessage="1" error="Alleen de opties aangegeven in de dropdownlijst zijn toegestaan" sqref="C9" xr:uid="{EBB3EF5A-06FA-4118-9C1C-176F29370AA4}">
      <formula1>"Elektriciteit,Lagetemperatuurwarmte,Hogetemperatuurwarmte,Moleculen,CCS/CCU,Generiek"</formula1>
    </dataValidation>
    <dataValidation type="decimal" allowBlank="1" showErrorMessage="1" error="Alleen getallen tussen 0 en 1.0 toegestaan. Vul in met een punt, geen comma" sqref="C17:C18" xr:uid="{63FB9E97-8C0B-4B57-BED4-12EB01A6A4D2}">
      <formula1>0</formula1>
      <formula2>1</formula2>
    </dataValidation>
    <dataValidation type="decimal" operator="notBetween" allowBlank="1" showInputMessage="1" sqref="C39:C49" xr:uid="{55703E63-E124-4CB1-AACB-3D8E17405D4F}">
      <formula1>0</formula1>
      <formula2>0</formula2>
    </dataValidation>
    <dataValidation type="decimal" operator="notBetween" allowBlank="1" showInputMessage="1" showErrorMessage="1" sqref="C52:C60 C63:C65 C67:C70" xr:uid="{3C4BA2F0-CA83-4F44-BA81-9D794DD27CC6}">
      <formula1>0</formula1>
      <formula2>0</formula2>
    </dataValidation>
    <dataValidation type="decimal" operator="greaterThanOrEqual" allowBlank="1" showInputMessage="1" sqref="C21 C24:C30 C33:C36" xr:uid="{4724C337-BB15-407D-AB6D-658F1DFA2EA0}">
      <formula1>0</formula1>
    </dataValidation>
    <dataValidation type="decimal" operator="greaterThanOrEqual" allowBlank="1" showInputMessage="1" showErrorMessage="1" sqref="C73:C77" xr:uid="{4B48F23D-7B39-4D81-97B0-18A6501CA7EC}">
      <formula1>0</formula1>
    </dataValidation>
    <dataValidation type="decimal" operator="greaterThan" allowBlank="1" showInputMessage="1" showErrorMessage="1" sqref="C80:C86 C89:C94" xr:uid="{4A4BB1D5-631C-42B3-8B40-69E7D086509E}">
      <formula1>0</formula1>
    </dataValidation>
    <dataValidation type="list" operator="greaterThanOrEqual" allowBlank="1" showInputMessage="1" sqref="C23" xr:uid="{289C7C23-3B90-4FB1-B087-E4411994A081}">
      <formula1>"Ja"</formula1>
    </dataValidation>
    <dataValidation type="decimal" operator="greaterThan" allowBlank="1" showInputMessage="1" showErrorMessage="1" error="Alleen getallen boven de 0 toegstaan" sqref="C22" xr:uid="{69C0ACCD-926A-4C25-A5AA-8088D9655802}">
      <formula1>0</formula1>
    </dataValidation>
    <dataValidation operator="notBetween" allowBlank="1" showInputMessage="1" showErrorMessage="1" sqref="C66" xr:uid="{738B24E1-69EC-4C5D-AF8C-BF9FA536762C}"/>
  </dataValidations>
  <pageMargins left="0.7" right="0.7" top="0.75" bottom="0.75" header="0.3" footer="0.3"/>
  <pageSetup paperSize="9" scale="1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1AA2-AB15-400B-B518-9EB53526B41F}">
  <sheetPr codeName="Sheet97">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610</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0.111</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612.9032258064517</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IFERROR(INDEX(Correcties!$A$1:$I$334,MATCH('5'!C12,Correcties!$A$1:$A$334,0),5),"")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230</v>
      </c>
      <c r="D16" s="75" t="str">
        <f>_xlfn.XLOOKUP(C16,Correcties!A4:A37,Correcties!B4:B37,"")</f>
        <v>Elektricteit-ZonPV-niet-netlevering, groot</v>
      </c>
      <c r="E16" s="417" t="str">
        <f>"Enkel relevant voor zon-pv. "&amp;_xlfn.XLOOKUP(C16,Correcties!A4:A37,Correcties!E4:E37,"")</f>
        <v>Enkel relevant voor zon-pv. EPEX3 x PF_PV3 + EB3_e + ODE3_e</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2500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730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525</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1.3216874999999997</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18.2</v>
      </c>
      <c r="D43" s="75" t="str">
        <f>CONCATENATE("Euro/",$C$8,"/jaar")</f>
        <v>Euro/kW/jaar</v>
      </c>
      <c r="E43" s="417" t="s">
        <v>463</v>
      </c>
      <c r="F43" s="431"/>
      <c r="G43" s="431"/>
      <c r="H43" s="431"/>
      <c r="I43" s="431"/>
      <c r="J43" s="431"/>
      <c r="K43" s="431"/>
      <c r="L43" s="431"/>
      <c r="M43" s="432"/>
    </row>
    <row r="44" spans="2:13" ht="15" customHeight="1">
      <c r="B44" s="72" t="s">
        <v>465</v>
      </c>
      <c r="C44" s="239">
        <f>(C42*C21+C43*SUM(C26,C28))/1000</f>
        <v>45.5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27375000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27375000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-32500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-1321687.4999999998</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1825000</v>
      </c>
      <c r="F115" s="312">
        <f t="shared" si="4"/>
        <v>1825000</v>
      </c>
      <c r="G115" s="312">
        <f t="shared" si="4"/>
        <v>1825000</v>
      </c>
      <c r="H115" s="312">
        <f t="shared" si="4"/>
        <v>1825000</v>
      </c>
      <c r="I115" s="312">
        <f t="shared" si="4"/>
        <v>1825000</v>
      </c>
      <c r="J115" s="312">
        <f t="shared" si="4"/>
        <v>1825000</v>
      </c>
      <c r="K115" s="312">
        <f t="shared" si="4"/>
        <v>1825000</v>
      </c>
      <c r="L115" s="312">
        <f t="shared" si="4"/>
        <v>1825000</v>
      </c>
      <c r="M115" s="312">
        <f t="shared" si="4"/>
        <v>1825000</v>
      </c>
      <c r="N115" s="312">
        <f t="shared" si="4"/>
        <v>1825000</v>
      </c>
      <c r="O115" s="312">
        <f t="shared" si="4"/>
        <v>1825000</v>
      </c>
      <c r="P115" s="312">
        <f t="shared" si="4"/>
        <v>1825000</v>
      </c>
      <c r="Q115" s="312">
        <f t="shared" si="4"/>
        <v>1825000</v>
      </c>
      <c r="R115" s="312">
        <f t="shared" si="4"/>
        <v>1825000</v>
      </c>
      <c r="S115" s="312">
        <f t="shared" si="4"/>
        <v>1825000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1825000</v>
      </c>
      <c r="F118" s="315">
        <f t="shared" si="7"/>
        <v>1825000</v>
      </c>
      <c r="G118" s="315">
        <f t="shared" si="7"/>
        <v>1825000</v>
      </c>
      <c r="H118" s="315">
        <f t="shared" si="7"/>
        <v>1825000</v>
      </c>
      <c r="I118" s="315">
        <f t="shared" si="7"/>
        <v>1825000</v>
      </c>
      <c r="J118" s="315">
        <f t="shared" si="7"/>
        <v>1825000</v>
      </c>
      <c r="K118" s="315">
        <f t="shared" si="7"/>
        <v>1825000</v>
      </c>
      <c r="L118" s="315">
        <f t="shared" si="7"/>
        <v>1825000</v>
      </c>
      <c r="M118" s="315">
        <f t="shared" si="7"/>
        <v>1825000</v>
      </c>
      <c r="N118" s="315">
        <f t="shared" si="7"/>
        <v>1825000</v>
      </c>
      <c r="O118" s="315">
        <f t="shared" si="7"/>
        <v>1825000</v>
      </c>
      <c r="P118" s="315">
        <f t="shared" si="7"/>
        <v>1825000</v>
      </c>
      <c r="Q118" s="315">
        <f t="shared" si="7"/>
        <v>1825000</v>
      </c>
      <c r="R118" s="315">
        <f t="shared" si="7"/>
        <v>1825000</v>
      </c>
      <c r="S118" s="315">
        <f t="shared" si="7"/>
        <v>1825000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-63567.5</v>
      </c>
      <c r="F120" s="312">
        <f t="shared" si="8"/>
        <v>-64838.85</v>
      </c>
      <c r="G120" s="312">
        <f t="shared" si="8"/>
        <v>-66135.626999999993</v>
      </c>
      <c r="H120" s="312">
        <f t="shared" si="8"/>
        <v>-67458.339540000001</v>
      </c>
      <c r="I120" s="312">
        <f t="shared" si="8"/>
        <v>-68807.506330799995</v>
      </c>
      <c r="J120" s="312">
        <f t="shared" si="8"/>
        <v>-70183.656457416</v>
      </c>
      <c r="K120" s="312">
        <f t="shared" si="8"/>
        <v>-71587.32958656433</v>
      </c>
      <c r="L120" s="312">
        <f t="shared" si="8"/>
        <v>-73019.076178295596</v>
      </c>
      <c r="M120" s="312">
        <f t="shared" si="8"/>
        <v>-74479.457701861509</v>
      </c>
      <c r="N120" s="312">
        <f t="shared" si="8"/>
        <v>-75969.046855898749</v>
      </c>
      <c r="O120" s="312">
        <f t="shared" si="8"/>
        <v>-77488.427793016715</v>
      </c>
      <c r="P120" s="312">
        <f t="shared" si="8"/>
        <v>-79038.196348877042</v>
      </c>
      <c r="Q120" s="312">
        <f t="shared" si="8"/>
        <v>-121836.81859913732</v>
      </c>
      <c r="R120" s="312">
        <f t="shared" si="8"/>
        <v>-82231.339481371688</v>
      </c>
      <c r="S120" s="312">
        <f t="shared" si="8"/>
        <v>-83875.966270999124</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-63567.5</v>
      </c>
      <c r="F131" s="312">
        <f t="shared" si="18"/>
        <v>-64838.85</v>
      </c>
      <c r="G131" s="312">
        <f t="shared" si="18"/>
        <v>-66135.626999999993</v>
      </c>
      <c r="H131" s="312">
        <f t="shared" si="18"/>
        <v>-67458.339540000001</v>
      </c>
      <c r="I131" s="312">
        <f t="shared" si="18"/>
        <v>-68807.506330799995</v>
      </c>
      <c r="J131" s="312">
        <f t="shared" si="18"/>
        <v>-70183.656457416</v>
      </c>
      <c r="K131" s="312">
        <f t="shared" si="18"/>
        <v>-71587.32958656433</v>
      </c>
      <c r="L131" s="312">
        <f t="shared" si="18"/>
        <v>-73019.076178295596</v>
      </c>
      <c r="M131" s="312">
        <f t="shared" si="18"/>
        <v>-74479.457701861509</v>
      </c>
      <c r="N131" s="312">
        <f t="shared" si="18"/>
        <v>-75969.046855898749</v>
      </c>
      <c r="O131" s="312">
        <f t="shared" si="18"/>
        <v>-77488.427793016715</v>
      </c>
      <c r="P131" s="312">
        <f t="shared" si="18"/>
        <v>-79038.196348877042</v>
      </c>
      <c r="Q131" s="312">
        <f t="shared" si="18"/>
        <v>-121836.81859913732</v>
      </c>
      <c r="R131" s="312">
        <f t="shared" si="18"/>
        <v>-82231.339481371688</v>
      </c>
      <c r="S131" s="312">
        <f t="shared" si="18"/>
        <v>-83875.966270999124</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-63567.5</v>
      </c>
      <c r="F132" s="321">
        <f t="shared" si="19"/>
        <v>-64838.85</v>
      </c>
      <c r="G132" s="321">
        <f t="shared" si="19"/>
        <v>-66135.626999999993</v>
      </c>
      <c r="H132" s="321">
        <f t="shared" si="19"/>
        <v>-67458.339540000001</v>
      </c>
      <c r="I132" s="321">
        <f t="shared" si="19"/>
        <v>-68807.506330799995</v>
      </c>
      <c r="J132" s="321">
        <f t="shared" si="19"/>
        <v>-70183.656457416</v>
      </c>
      <c r="K132" s="321">
        <f t="shared" si="19"/>
        <v>-71587.32958656433</v>
      </c>
      <c r="L132" s="321">
        <f t="shared" si="19"/>
        <v>-73019.076178295596</v>
      </c>
      <c r="M132" s="321">
        <f t="shared" si="19"/>
        <v>-74479.457701861509</v>
      </c>
      <c r="N132" s="321">
        <f t="shared" si="19"/>
        <v>-75969.046855898749</v>
      </c>
      <c r="O132" s="321">
        <f t="shared" si="19"/>
        <v>-77488.427793016715</v>
      </c>
      <c r="P132" s="321">
        <f t="shared" si="19"/>
        <v>-79038.196348877042</v>
      </c>
      <c r="Q132" s="321">
        <f t="shared" si="19"/>
        <v>-121836.81859913732</v>
      </c>
      <c r="R132" s="321">
        <f t="shared" si="19"/>
        <v>-82231.339481371688</v>
      </c>
      <c r="S132" s="321">
        <f t="shared" si="19"/>
        <v>-83875.966270999124</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-88112.499999999985</v>
      </c>
      <c r="F134" s="312">
        <f t="shared" si="20"/>
        <v>-88112.499999999985</v>
      </c>
      <c r="G134" s="312">
        <f t="shared" si="20"/>
        <v>-88112.499999999985</v>
      </c>
      <c r="H134" s="312">
        <f t="shared" si="20"/>
        <v>-88112.499999999985</v>
      </c>
      <c r="I134" s="312">
        <f t="shared" si="20"/>
        <v>-88112.499999999985</v>
      </c>
      <c r="J134" s="312">
        <f t="shared" si="20"/>
        <v>-88112.499999999985</v>
      </c>
      <c r="K134" s="312">
        <f t="shared" si="20"/>
        <v>-88112.499999999985</v>
      </c>
      <c r="L134" s="312">
        <f t="shared" si="20"/>
        <v>-88112.499999999985</v>
      </c>
      <c r="M134" s="312">
        <f t="shared" si="20"/>
        <v>-88112.499999999985</v>
      </c>
      <c r="N134" s="312">
        <f t="shared" si="20"/>
        <v>-88112.499999999985</v>
      </c>
      <c r="O134" s="312">
        <f t="shared" si="20"/>
        <v>-88112.499999999985</v>
      </c>
      <c r="P134" s="312">
        <f t="shared" si="20"/>
        <v>-88112.499999999985</v>
      </c>
      <c r="Q134" s="312">
        <f t="shared" si="20"/>
        <v>-88112.499999999985</v>
      </c>
      <c r="R134" s="312">
        <f t="shared" si="20"/>
        <v>-88112.499999999985</v>
      </c>
      <c r="S134" s="312">
        <f t="shared" si="20"/>
        <v>-88112.499999999985</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-39320.203124999993</v>
      </c>
      <c r="F135" s="312">
        <f t="shared" si="21"/>
        <v>-37392.710044028761</v>
      </c>
      <c r="G135" s="312">
        <f t="shared" si="21"/>
        <v>-35383.298507116247</v>
      </c>
      <c r="H135" s="312">
        <f t="shared" si="21"/>
        <v>-33288.486979884947</v>
      </c>
      <c r="I135" s="312">
        <f t="shared" si="21"/>
        <v>-31104.645962746323</v>
      </c>
      <c r="J135" s="312">
        <f t="shared" si="21"/>
        <v>-28827.991702379302</v>
      </c>
      <c r="K135" s="312">
        <f t="shared" si="21"/>
        <v>-26454.579635946691</v>
      </c>
      <c r="L135" s="312">
        <f t="shared" si="21"/>
        <v>-23980.29755669069</v>
      </c>
      <c r="M135" s="312">
        <f t="shared" si="21"/>
        <v>-21400.858489066308</v>
      </c>
      <c r="N135" s="312">
        <f t="shared" si="21"/>
        <v>-18711.793261067894</v>
      </c>
      <c r="O135" s="312">
        <f t="shared" si="21"/>
        <v>-15908.442760879541</v>
      </c>
      <c r="P135" s="312">
        <f t="shared" si="21"/>
        <v>-12985.949864433189</v>
      </c>
      <c r="Q135" s="312">
        <f t="shared" si="21"/>
        <v>-9939.2510198878608</v>
      </c>
      <c r="R135" s="312">
        <f t="shared" si="21"/>
        <v>-6763.0674744493599</v>
      </c>
      <c r="S135" s="312">
        <f t="shared" si="21"/>
        <v>-3451.8961283297231</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-45352.778375793772</v>
      </c>
      <c r="F136" s="312">
        <f t="shared" si="22"/>
        <v>-47280.271456765004</v>
      </c>
      <c r="G136" s="312">
        <f t="shared" si="22"/>
        <v>-49289.682993677525</v>
      </c>
      <c r="H136" s="312">
        <f t="shared" si="22"/>
        <v>-51384.494520908818</v>
      </c>
      <c r="I136" s="312">
        <f t="shared" si="22"/>
        <v>-53568.335538047446</v>
      </c>
      <c r="J136" s="312">
        <f t="shared" si="22"/>
        <v>-55844.989798414463</v>
      </c>
      <c r="K136" s="312">
        <f t="shared" si="22"/>
        <v>-58218.401864847066</v>
      </c>
      <c r="L136" s="312">
        <f t="shared" si="22"/>
        <v>-60692.683944103075</v>
      </c>
      <c r="M136" s="312">
        <f t="shared" si="22"/>
        <v>-63272.123011727454</v>
      </c>
      <c r="N136" s="312">
        <f t="shared" si="22"/>
        <v>-65961.18823972586</v>
      </c>
      <c r="O136" s="312">
        <f t="shared" si="22"/>
        <v>-68764.53873991422</v>
      </c>
      <c r="P136" s="312">
        <f t="shared" si="22"/>
        <v>-71687.031636360582</v>
      </c>
      <c r="Q136" s="312">
        <f t="shared" si="22"/>
        <v>-74733.730480905899</v>
      </c>
      <c r="R136" s="312">
        <f t="shared" si="22"/>
        <v>-77909.914026344399</v>
      </c>
      <c r="S136" s="312">
        <f t="shared" si="22"/>
        <v>-81221.085372464047</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-84672.981500793772</v>
      </c>
      <c r="F137" s="321">
        <f t="shared" si="23"/>
        <v>-84672.981500793772</v>
      </c>
      <c r="G137" s="321">
        <f t="shared" si="23"/>
        <v>-84672.981500793772</v>
      </c>
      <c r="H137" s="321">
        <f t="shared" si="23"/>
        <v>-84672.981500793772</v>
      </c>
      <c r="I137" s="321">
        <f t="shared" si="23"/>
        <v>-84672.981500793772</v>
      </c>
      <c r="J137" s="321">
        <f t="shared" si="23"/>
        <v>-84672.981500793772</v>
      </c>
      <c r="K137" s="321">
        <f t="shared" si="23"/>
        <v>-84672.981500793758</v>
      </c>
      <c r="L137" s="321">
        <f t="shared" si="23"/>
        <v>-84672.981500793772</v>
      </c>
      <c r="M137" s="321">
        <f t="shared" si="23"/>
        <v>-84672.981500793758</v>
      </c>
      <c r="N137" s="321">
        <f t="shared" si="23"/>
        <v>-84672.981500793758</v>
      </c>
      <c r="O137" s="321">
        <f t="shared" si="23"/>
        <v>-84672.981500793758</v>
      </c>
      <c r="P137" s="321">
        <f t="shared" si="23"/>
        <v>-84672.981500793772</v>
      </c>
      <c r="Q137" s="321">
        <f t="shared" si="23"/>
        <v>-84672.981500793758</v>
      </c>
      <c r="R137" s="321">
        <f t="shared" si="23"/>
        <v>-84672.981500793758</v>
      </c>
      <c r="S137" s="321">
        <f t="shared" si="23"/>
        <v>-84672.981500793772</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-191000.203125</v>
      </c>
      <c r="F139" s="312">
        <f t="shared" si="24"/>
        <v>-190344.06004402874</v>
      </c>
      <c r="G139" s="312">
        <f t="shared" si="24"/>
        <v>-189631.42550711622</v>
      </c>
      <c r="H139" s="312">
        <f t="shared" si="24"/>
        <v>-188859.32651988493</v>
      </c>
      <c r="I139" s="312">
        <f t="shared" si="24"/>
        <v>-188024.6522935463</v>
      </c>
      <c r="J139" s="312">
        <f t="shared" si="24"/>
        <v>-187124.1481597953</v>
      </c>
      <c r="K139" s="312">
        <f t="shared" si="24"/>
        <v>-186154.40922251102</v>
      </c>
      <c r="L139" s="312">
        <f t="shared" si="24"/>
        <v>-185111.87373498629</v>
      </c>
      <c r="M139" s="312">
        <f t="shared" si="24"/>
        <v>-183992.81619092781</v>
      </c>
      <c r="N139" s="312">
        <f t="shared" si="24"/>
        <v>-182793.34011696663</v>
      </c>
      <c r="O139" s="312">
        <f t="shared" si="24"/>
        <v>-181509.37055389627</v>
      </c>
      <c r="P139" s="312">
        <f t="shared" si="24"/>
        <v>-180136.64621331022</v>
      </c>
      <c r="Q139" s="312">
        <f t="shared" si="24"/>
        <v>-219888.56961902516</v>
      </c>
      <c r="R139" s="312">
        <f t="shared" si="24"/>
        <v>-177106.90695582106</v>
      </c>
      <c r="S139" s="312">
        <f t="shared" si="24"/>
        <v>-175440.36239932882</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36290.038593750003</v>
      </c>
      <c r="F140" s="312">
        <f t="shared" si="25"/>
        <v>36165.371408365463</v>
      </c>
      <c r="G140" s="312">
        <f t="shared" si="25"/>
        <v>36029.97084635208</v>
      </c>
      <c r="H140" s="312">
        <f t="shared" si="25"/>
        <v>35883.272038778137</v>
      </c>
      <c r="I140" s="312">
        <f t="shared" si="25"/>
        <v>35724.683935773799</v>
      </c>
      <c r="J140" s="312">
        <f t="shared" si="25"/>
        <v>35553.588150361109</v>
      </c>
      <c r="K140" s="312">
        <f t="shared" si="25"/>
        <v>35369.337752277097</v>
      </c>
      <c r="L140" s="312">
        <f t="shared" si="25"/>
        <v>35171.256009647397</v>
      </c>
      <c r="M140" s="312">
        <f t="shared" si="25"/>
        <v>34958.635076276281</v>
      </c>
      <c r="N140" s="312">
        <f t="shared" si="25"/>
        <v>34730.734622223659</v>
      </c>
      <c r="O140" s="312">
        <f t="shared" si="25"/>
        <v>34486.780405240293</v>
      </c>
      <c r="P140" s="312">
        <f t="shared" si="25"/>
        <v>34225.962780528942</v>
      </c>
      <c r="Q140" s="312">
        <f t="shared" si="25"/>
        <v>41778.82822761478</v>
      </c>
      <c r="R140" s="312">
        <f t="shared" si="25"/>
        <v>33650.312321606005</v>
      </c>
      <c r="S140" s="312">
        <f t="shared" si="25"/>
        <v>33333.668855872478</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-111950.44290704376</v>
      </c>
      <c r="F142" s="321">
        <f t="shared" si="26"/>
        <v>-113346.46009242831</v>
      </c>
      <c r="G142" s="321">
        <f t="shared" si="26"/>
        <v>-114778.63765444167</v>
      </c>
      <c r="H142" s="321">
        <f t="shared" si="26"/>
        <v>-116248.04900201564</v>
      </c>
      <c r="I142" s="321">
        <f t="shared" si="26"/>
        <v>-117755.80389581999</v>
      </c>
      <c r="J142" s="321">
        <f t="shared" si="26"/>
        <v>-119303.04980784867</v>
      </c>
      <c r="K142" s="321">
        <f t="shared" si="26"/>
        <v>-120890.97333508101</v>
      </c>
      <c r="L142" s="321">
        <f t="shared" si="26"/>
        <v>-122520.80166944198</v>
      </c>
      <c r="M142" s="321">
        <f t="shared" si="26"/>
        <v>-124193.80412637899</v>
      </c>
      <c r="N142" s="321">
        <f t="shared" si="26"/>
        <v>-125911.29373446887</v>
      </c>
      <c r="O142" s="321">
        <f t="shared" si="26"/>
        <v>-127674.62888857019</v>
      </c>
      <c r="P142" s="321">
        <f t="shared" si="26"/>
        <v>-129485.21506914188</v>
      </c>
      <c r="Q142" s="321">
        <f t="shared" si="26"/>
        <v>-164730.9718723163</v>
      </c>
      <c r="R142" s="321">
        <f t="shared" si="26"/>
        <v>-133254.00866055946</v>
      </c>
      <c r="S142" s="321">
        <f t="shared" si="26"/>
        <v>-135215.27891592041</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-1321687.4999999998</v>
      </c>
      <c r="E143" s="312">
        <f t="shared" ref="E143:AR143" si="27">E132+E140</f>
        <v>-27277.461406249997</v>
      </c>
      <c r="F143" s="312">
        <f t="shared" si="27"/>
        <v>-28673.478591634535</v>
      </c>
      <c r="G143" s="312">
        <f t="shared" si="27"/>
        <v>-30105.656153647913</v>
      </c>
      <c r="H143" s="312">
        <f t="shared" si="27"/>
        <v>-31575.067501221863</v>
      </c>
      <c r="I143" s="312">
        <f t="shared" si="27"/>
        <v>-33082.822395026196</v>
      </c>
      <c r="J143" s="312">
        <f t="shared" si="27"/>
        <v>-34630.068307054891</v>
      </c>
      <c r="K143" s="312">
        <f t="shared" si="27"/>
        <v>-36217.991834287233</v>
      </c>
      <c r="L143" s="312">
        <f t="shared" si="27"/>
        <v>-37847.820168648199</v>
      </c>
      <c r="M143" s="312">
        <f t="shared" si="27"/>
        <v>-39520.822625585228</v>
      </c>
      <c r="N143" s="312">
        <f t="shared" si="27"/>
        <v>-41238.312233675089</v>
      </c>
      <c r="O143" s="312">
        <f t="shared" si="27"/>
        <v>-43001.647387776422</v>
      </c>
      <c r="P143" s="312">
        <f t="shared" si="27"/>
        <v>-44812.2335683481</v>
      </c>
      <c r="Q143" s="312">
        <f t="shared" si="27"/>
        <v>-80057.990371522537</v>
      </c>
      <c r="R143" s="312">
        <f t="shared" si="27"/>
        <v>-48581.027159765683</v>
      </c>
      <c r="S143" s="312">
        <f t="shared" si="27"/>
        <v>-50542.297415126646</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-396506.24999999994</v>
      </c>
      <c r="E144" s="312">
        <f t="shared" ref="E144:AR144" si="28">E142</f>
        <v>-111950.44290704376</v>
      </c>
      <c r="F144" s="312">
        <f t="shared" si="28"/>
        <v>-113346.46009242831</v>
      </c>
      <c r="G144" s="312">
        <f t="shared" si="28"/>
        <v>-114778.63765444167</v>
      </c>
      <c r="H144" s="312">
        <f t="shared" si="28"/>
        <v>-116248.04900201564</v>
      </c>
      <c r="I144" s="312">
        <f t="shared" si="28"/>
        <v>-117755.80389581999</v>
      </c>
      <c r="J144" s="312">
        <f t="shared" si="28"/>
        <v>-119303.04980784867</v>
      </c>
      <c r="K144" s="312">
        <f t="shared" si="28"/>
        <v>-120890.97333508101</v>
      </c>
      <c r="L144" s="312">
        <f t="shared" si="28"/>
        <v>-122520.80166944198</v>
      </c>
      <c r="M144" s="312">
        <f t="shared" si="28"/>
        <v>-124193.80412637899</v>
      </c>
      <c r="N144" s="312">
        <f t="shared" si="28"/>
        <v>-125911.29373446887</v>
      </c>
      <c r="O144" s="312">
        <f t="shared" si="28"/>
        <v>-127674.62888857019</v>
      </c>
      <c r="P144" s="312">
        <f t="shared" si="28"/>
        <v>-129485.21506914188</v>
      </c>
      <c r="Q144" s="312">
        <f t="shared" si="28"/>
        <v>-164730.9718723163</v>
      </c>
      <c r="R144" s="312">
        <f t="shared" si="28"/>
        <v>-133254.00866055946</v>
      </c>
      <c r="S144" s="312">
        <f t="shared" si="28"/>
        <v>-135215.27891592041</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1825000</v>
      </c>
      <c r="F145" s="312">
        <f t="shared" si="29"/>
        <v>1825000</v>
      </c>
      <c r="G145" s="312">
        <f t="shared" si="29"/>
        <v>1825000</v>
      </c>
      <c r="H145" s="312">
        <f t="shared" si="29"/>
        <v>1825000</v>
      </c>
      <c r="I145" s="312">
        <f t="shared" si="29"/>
        <v>1825000</v>
      </c>
      <c r="J145" s="312">
        <f t="shared" si="29"/>
        <v>1825000</v>
      </c>
      <c r="K145" s="312">
        <f t="shared" si="29"/>
        <v>1825000</v>
      </c>
      <c r="L145" s="312">
        <f t="shared" si="29"/>
        <v>1825000</v>
      </c>
      <c r="M145" s="312">
        <f t="shared" si="29"/>
        <v>1825000</v>
      </c>
      <c r="N145" s="312">
        <f t="shared" si="29"/>
        <v>1825000</v>
      </c>
      <c r="O145" s="312">
        <f t="shared" si="29"/>
        <v>1825000</v>
      </c>
      <c r="P145" s="312">
        <f t="shared" si="29"/>
        <v>1825000</v>
      </c>
      <c r="Q145" s="312">
        <f t="shared" si="29"/>
        <v>1825000</v>
      </c>
      <c r="R145" s="312">
        <f t="shared" si="29"/>
        <v>1825000</v>
      </c>
      <c r="S145" s="312">
        <f t="shared" si="29"/>
        <v>1825000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1321687.4999999998</v>
      </c>
      <c r="E146" s="323">
        <f t="shared" ref="E146:AR146" si="30">IF(E112&lt;=$C76,D146-($C$5*E118+E132+E135),D146-(E132+E135))</f>
        <v>1222000.2031249998</v>
      </c>
      <c r="F146" s="323">
        <f t="shared" si="30"/>
        <v>1121656.7631690286</v>
      </c>
      <c r="G146" s="323">
        <f t="shared" si="30"/>
        <v>1020600.6886761448</v>
      </c>
      <c r="H146" s="323">
        <f t="shared" si="30"/>
        <v>918772.5151960298</v>
      </c>
      <c r="I146" s="323">
        <f t="shared" si="30"/>
        <v>816109.66748957615</v>
      </c>
      <c r="J146" s="323">
        <f t="shared" si="30"/>
        <v>712546.31564937148</v>
      </c>
      <c r="K146" s="323">
        <f t="shared" si="30"/>
        <v>608013.22487188247</v>
      </c>
      <c r="L146" s="323">
        <f t="shared" si="30"/>
        <v>502437.59860686876</v>
      </c>
      <c r="M146" s="323">
        <f t="shared" si="30"/>
        <v>395742.91479779658</v>
      </c>
      <c r="N146" s="323">
        <f t="shared" si="30"/>
        <v>287848.75491476321</v>
      </c>
      <c r="O146" s="323">
        <f t="shared" si="30"/>
        <v>178670.62546865945</v>
      </c>
      <c r="P146" s="323">
        <f t="shared" si="30"/>
        <v>68119.77168196968</v>
      </c>
      <c r="Q146" s="323">
        <f t="shared" si="30"/>
        <v>-2679.1586990051437</v>
      </c>
      <c r="R146" s="323">
        <f t="shared" si="30"/>
        <v>-116259.7517431841</v>
      </c>
      <c r="S146" s="323">
        <f t="shared" si="30"/>
        <v>-231506.88934385526</v>
      </c>
      <c r="T146" s="323">
        <f t="shared" si="30"/>
        <v>-231506.88934385526</v>
      </c>
      <c r="U146" s="323">
        <f t="shared" si="30"/>
        <v>-231506.88934385526</v>
      </c>
      <c r="V146" s="323">
        <f t="shared" si="30"/>
        <v>-231506.88934385526</v>
      </c>
      <c r="W146" s="323">
        <f t="shared" si="30"/>
        <v>-231506.88934385526</v>
      </c>
      <c r="X146" s="323">
        <f t="shared" si="30"/>
        <v>-231506.88934385526</v>
      </c>
      <c r="Y146" s="323">
        <f t="shared" si="30"/>
        <v>-231506.88934385526</v>
      </c>
      <c r="Z146" s="323">
        <f t="shared" si="30"/>
        <v>-231506.88934385526</v>
      </c>
      <c r="AA146" s="323">
        <f t="shared" si="30"/>
        <v>-231506.88934385526</v>
      </c>
      <c r="AB146" s="323">
        <f t="shared" si="30"/>
        <v>-231506.88934385526</v>
      </c>
      <c r="AC146" s="323">
        <f t="shared" si="30"/>
        <v>-231506.88934385526</v>
      </c>
      <c r="AD146" s="323">
        <f t="shared" si="30"/>
        <v>-231506.88934385526</v>
      </c>
      <c r="AE146" s="323">
        <f t="shared" si="30"/>
        <v>-231506.88934385526</v>
      </c>
      <c r="AF146" s="323">
        <f t="shared" si="30"/>
        <v>-231506.88934385526</v>
      </c>
      <c r="AG146" s="323">
        <f t="shared" si="30"/>
        <v>-231506.88934385526</v>
      </c>
      <c r="AH146" s="323">
        <f t="shared" si="30"/>
        <v>-231506.88934385526</v>
      </c>
      <c r="AI146" s="323">
        <f t="shared" si="30"/>
        <v>-231506.88934385526</v>
      </c>
      <c r="AJ146" s="323">
        <f t="shared" si="30"/>
        <v>-231506.88934385526</v>
      </c>
      <c r="AK146" s="323">
        <f t="shared" si="30"/>
        <v>-231506.88934385526</v>
      </c>
      <c r="AL146" s="323">
        <f t="shared" si="30"/>
        <v>-231506.88934385526</v>
      </c>
      <c r="AM146" s="323">
        <f t="shared" si="30"/>
        <v>-231506.88934385526</v>
      </c>
      <c r="AN146" s="323">
        <f t="shared" si="30"/>
        <v>-231506.88934385526</v>
      </c>
      <c r="AO146" s="323">
        <f t="shared" si="30"/>
        <v>-231506.88934385526</v>
      </c>
      <c r="AP146" s="323">
        <f t="shared" si="30"/>
        <v>-231506.88934385526</v>
      </c>
      <c r="AQ146" s="323">
        <f t="shared" si="30"/>
        <v>-231506.88934385526</v>
      </c>
      <c r="AR146" s="324">
        <f t="shared" si="30"/>
        <v>-231506.88934385526</v>
      </c>
    </row>
    <row r="147" spans="1:44" ht="12.95" customHeight="1">
      <c r="B147" s="267" t="s">
        <v>577</v>
      </c>
      <c r="C147" s="268"/>
      <c r="D147" s="325"/>
      <c r="E147" s="326">
        <f t="shared" ref="E147:AR147" si="31">IF(E112&gt;$C$74,"",(-$C$94*(E139+$C$5*E118)+E132+$C$5*E118)/-E137)</f>
        <v>1.6157254199495439</v>
      </c>
      <c r="F147" s="326">
        <f t="shared" si="31"/>
        <v>1.5992382576854935</v>
      </c>
      <c r="G147" s="326">
        <f t="shared" si="31"/>
        <v>1.5823240362109614</v>
      </c>
      <c r="H147" s="326">
        <f t="shared" si="31"/>
        <v>1.5649700784132172</v>
      </c>
      <c r="I147" s="326">
        <f t="shared" si="31"/>
        <v>1.5471632778603137</v>
      </c>
      <c r="J147" s="326">
        <f t="shared" si="31"/>
        <v>1.5288900827441811</v>
      </c>
      <c r="K147" s="326">
        <f t="shared" si="31"/>
        <v>1.5101364791850878</v>
      </c>
      <c r="L147" s="326">
        <f t="shared" si="31"/>
        <v>1.4908879738711973</v>
      </c>
      <c r="M147" s="326">
        <f t="shared" si="31"/>
        <v>1.4711295760058605</v>
      </c>
      <c r="N147" s="326">
        <f t="shared" si="31"/>
        <v>1.4508457785341278</v>
      </c>
      <c r="O147" s="326">
        <f t="shared" si="31"/>
        <v>1.4300205386187859</v>
      </c>
      <c r="P147" s="326">
        <f t="shared" si="31"/>
        <v>1.4086372573349595</v>
      </c>
      <c r="Q147" s="326">
        <f t="shared" si="31"/>
        <v>0.99237983757179682</v>
      </c>
      <c r="R147" s="326">
        <f t="shared" si="31"/>
        <v>1.3641272669623843</v>
      </c>
      <c r="S147" s="326">
        <f t="shared" si="31"/>
        <v>1.3409643852426401</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-1152591.8693165777</v>
      </c>
      <c r="D150" s="271" t="s">
        <v>580</v>
      </c>
    </row>
    <row r="151" spans="1:44">
      <c r="B151" s="72" t="s">
        <v>581</v>
      </c>
      <c r="C151" s="272">
        <f>(1-$C$94)*NPV($C$91,E145:AR145)</f>
        <v>13899495.23451224</v>
      </c>
      <c r="D151" s="271" t="str">
        <f>$C$7</f>
        <v>kWh</v>
      </c>
      <c r="F151" s="273"/>
    </row>
    <row r="152" spans="1:44">
      <c r="B152" s="72" t="s">
        <v>582</v>
      </c>
      <c r="C152" s="272">
        <f>$C$41*1000000</f>
        <v>1321687.4999999998</v>
      </c>
      <c r="D152" s="271" t="s">
        <v>528</v>
      </c>
      <c r="F152" s="46"/>
    </row>
    <row r="153" spans="1:44">
      <c r="B153" s="72" t="s">
        <v>583</v>
      </c>
      <c r="C153" s="274">
        <f>AVERAGE(E147:AR147)</f>
        <v>1.4598293497460368</v>
      </c>
      <c r="D153" s="271"/>
      <c r="F153" s="46"/>
    </row>
    <row r="154" spans="1:44">
      <c r="B154" s="72" t="s">
        <v>584</v>
      </c>
      <c r="C154" s="95" t="str">
        <f>CONCATENATE(ROUND(((1-$C$94)*$C$90*$C$92+$C$93*$C$91)*100,1),"% / ",ROUND((((1+(1-$C$94)*$C$90*$C$92+$C$93*$C$91)/(1+$C$89))-1)*100,1),"%")</f>
        <v>4,4% / 2,3%</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925181.24999999977</v>
      </c>
      <c r="D157" s="271" t="s">
        <v>528</v>
      </c>
      <c r="F157" s="33"/>
    </row>
    <row r="158" spans="1:44">
      <c r="B158" s="72" t="s">
        <v>588</v>
      </c>
      <c r="C158" s="272">
        <f>$C$93*C152-C98</f>
        <v>396506.24999999994</v>
      </c>
      <c r="D158" s="271" t="s">
        <v>528</v>
      </c>
      <c r="F158" s="33"/>
    </row>
    <row r="159" spans="1:44">
      <c r="B159" s="72" t="s">
        <v>332</v>
      </c>
      <c r="C159" s="95">
        <f>IF(AND(E115&gt;0,E116&gt;0),ROUND(E116/E115,2),0)</f>
        <v>0</v>
      </c>
      <c r="D159" s="271" t="s">
        <v>589</v>
      </c>
      <c r="F159" s="33"/>
    </row>
    <row r="160" spans="1:44">
      <c r="B160" s="72" t="s">
        <v>590</v>
      </c>
      <c r="C160" s="95">
        <f>IF(C159=0,MAX(C29:C30),E118/SUM(C26,C28))</f>
        <v>730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0,086</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8.5999999999999993E-2</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0,110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0.11</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0,111</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50" priority="3" operator="containsText" text="Pas op">
      <formula>NOT(ISERROR(SEARCH("Pas op",G1)))</formula>
    </cfRule>
  </conditionalFormatting>
  <conditionalFormatting sqref="G188">
    <cfRule type="containsText" dxfId="49" priority="2" operator="containsText" text="Pas op">
      <formula>NOT(ISERROR(SEARCH("Pas op",G188)))</formula>
    </cfRule>
  </conditionalFormatting>
  <conditionalFormatting sqref="G105">
    <cfRule type="containsText" dxfId="48"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C25E9481-95DF-4F7F-8C9F-AF901DD4E3A4}">
      <formula1>"ja,nee"</formula1>
    </dataValidation>
    <dataValidation type="list" allowBlank="1" showErrorMessage="1" error="Alleen de opties aangegeven in de dropdownlijst zijn toegestaan" sqref="C7" xr:uid="{D8F17D7F-9220-43B4-9781-5A1497B99216}">
      <formula1>"t CO2,kWh"</formula1>
    </dataValidation>
    <dataValidation type="list" allowBlank="1" showErrorMessage="1" error="Alleen de opties aangegeven in de dropdownlijst zijn toegestaan" sqref="C14" xr:uid="{765DE0C5-B9B3-4E3B-91B9-294331C381FC}">
      <formula1>"Nee,Ja,Geen warmte"</formula1>
    </dataValidation>
    <dataValidation type="list" allowBlank="1" showErrorMessage="1" error="Alleen de opties aangegeven in de dropdownlijst zijn toegestaan" sqref="C9" xr:uid="{16D38EA4-48B4-4B2C-B1F3-50065EADA8B4}">
      <formula1>"Elektriciteit,Lagetemperatuurwarmte,Hogetemperatuurwarmte,Moleculen,CCS/CCU,Generiek"</formula1>
    </dataValidation>
    <dataValidation type="decimal" allowBlank="1" showErrorMessage="1" error="Alleen getallen tussen 0 en 1.0 toegestaan. Vul in met een punt, geen comma" sqref="C17:C18" xr:uid="{A5F9660E-A93B-4863-A157-359831477CD9}">
      <formula1>0</formula1>
      <formula2>1</formula2>
    </dataValidation>
    <dataValidation type="decimal" operator="notBetween" allowBlank="1" showInputMessage="1" sqref="C39:C49" xr:uid="{74087A16-9A7E-478F-B7BF-8A76E8F4EE7F}">
      <formula1>0</formula1>
      <formula2>0</formula2>
    </dataValidation>
    <dataValidation type="decimal" operator="notBetween" allowBlank="1" showInputMessage="1" showErrorMessage="1" sqref="C52:C60 C63:C65 C67:C70" xr:uid="{DE1BB1EA-616D-47D7-9B9F-A8ED03C419F7}">
      <formula1>0</formula1>
      <formula2>0</formula2>
    </dataValidation>
    <dataValidation type="decimal" operator="greaterThanOrEqual" allowBlank="1" showInputMessage="1" sqref="C21 C24:C30 C33:C36" xr:uid="{B066040F-2B70-44AF-9D8A-2649231126F4}">
      <formula1>0</formula1>
    </dataValidation>
    <dataValidation type="decimal" operator="greaterThanOrEqual" allowBlank="1" showInputMessage="1" showErrorMessage="1" sqref="C73:C77" xr:uid="{A69FE195-D4D3-4D19-A54E-49736444482A}">
      <formula1>0</formula1>
    </dataValidation>
    <dataValidation type="decimal" operator="greaterThan" allowBlank="1" showInputMessage="1" showErrorMessage="1" sqref="C80:C86 C89:C94" xr:uid="{EDF9F1A6-797C-46E8-8FED-CF7CDCA507CE}">
      <formula1>0</formula1>
    </dataValidation>
    <dataValidation type="list" operator="greaterThanOrEqual" allowBlank="1" showInputMessage="1" sqref="C23" xr:uid="{6FA60372-25F3-47EC-8953-368BA69C0075}">
      <formula1>"Ja"</formula1>
    </dataValidation>
    <dataValidation type="decimal" operator="greaterThan" allowBlank="1" showInputMessage="1" showErrorMessage="1" error="Alleen getallen boven de 0 toegstaan" sqref="C22" xr:uid="{C857FD67-413A-4659-BB95-CAE3DC93B98C}">
      <formula1>0</formula1>
    </dataValidation>
    <dataValidation operator="notBetween" allowBlank="1" showInputMessage="1" showErrorMessage="1" sqref="C66" xr:uid="{CF42D20D-EAAA-4D29-8733-D903C12840E0}"/>
  </dataValidations>
  <pageMargins left="0.7" right="0.7" top="0.75" bottom="0.75" header="0.3" footer="0.3"/>
  <pageSetup paperSize="9" scale="14"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A3F0-61DD-46F7-8D18-7DA27EE81673}">
  <sheetPr codeName="Sheet98">
    <pageSetUpPr fitToPage="1"/>
  </sheetPr>
  <dimension ref="A1:AR200"/>
  <sheetViews>
    <sheetView showGridLines="0" zoomScaleNormal="100" workbookViewId="0"/>
  </sheetViews>
  <sheetFormatPr defaultColWidth="12.5703125" defaultRowHeight="12.75"/>
  <cols>
    <col min="1" max="1" width="1.42578125" style="16" customWidth="1"/>
    <col min="2" max="2" width="53.42578125" style="16" customWidth="1"/>
    <col min="3" max="3" width="14.42578125" style="27" customWidth="1"/>
    <col min="4" max="4" width="29.42578125" style="27" customWidth="1"/>
    <col min="5" max="5" width="20.42578125" style="16" customWidth="1"/>
    <col min="6" max="12" width="12.5703125" style="16" customWidth="1"/>
    <col min="13" max="13" width="15.42578125" style="16" customWidth="1"/>
    <col min="14" max="57" width="12.5703125" style="16" customWidth="1"/>
    <col min="58" max="16384" width="12.5703125" style="16"/>
  </cols>
  <sheetData>
    <row r="1" spans="1:44" ht="20.100000000000001" customHeight="1">
      <c r="A1" s="26" t="str">
        <f>CONCATENATE("Berekening basisbedragen: ", Colofon!C16)</f>
        <v>Berekening basisbedragen: Eindadvies SCE 2026</v>
      </c>
    </row>
    <row r="2" spans="1:44" s="29" customFormat="1" ht="20.100000000000001" customHeight="1">
      <c r="A2" s="28" t="s">
        <v>611</v>
      </c>
      <c r="C2" s="30"/>
      <c r="D2" s="30"/>
      <c r="G2" s="31"/>
    </row>
    <row r="4" spans="1:44" ht="15" customHeight="1">
      <c r="B4" s="78" t="s">
        <v>406</v>
      </c>
      <c r="C4" s="79" t="s">
        <v>79</v>
      </c>
      <c r="D4" s="79" t="s">
        <v>248</v>
      </c>
      <c r="E4" s="416" t="s">
        <v>63</v>
      </c>
      <c r="F4" s="429"/>
      <c r="G4" s="429"/>
      <c r="H4" s="429"/>
      <c r="I4" s="429"/>
      <c r="J4" s="429"/>
      <c r="K4" s="429"/>
      <c r="L4" s="429"/>
      <c r="M4" s="430"/>
    </row>
    <row r="5" spans="1:44" ht="12.95" customHeight="1">
      <c r="B5" s="72" t="s">
        <v>30</v>
      </c>
      <c r="C5" s="339">
        <f>ROUND((C158-C150)/C151,Colofon!C31)</f>
        <v>0.11600000000000001</v>
      </c>
      <c r="D5" s="74" t="str">
        <f>CONCATENATE("Euro/",$C$7)</f>
        <v>Euro/kWh</v>
      </c>
      <c r="E5" s="417" t="s">
        <v>407</v>
      </c>
      <c r="F5" s="431"/>
      <c r="G5" s="431"/>
      <c r="H5" s="431"/>
      <c r="I5" s="431"/>
      <c r="J5" s="431"/>
      <c r="K5" s="431"/>
      <c r="L5" s="431"/>
      <c r="M5" s="432"/>
    </row>
    <row r="6" spans="1:44" ht="12.95" customHeight="1">
      <c r="B6" s="72" t="s">
        <v>408</v>
      </c>
      <c r="C6" s="93">
        <f ca="1">(ROUND(C5,Colofon!C31)-(ROUND(C168,Colofon!C31)+ROUND(C176,Colofon!C31)+ROUND(C177,Colofon!C31)+ROUND(C179,Colofon!C31)))/ROUND(C70,Colofon!C31)*1000</f>
        <v>693.54838709677438</v>
      </c>
      <c r="D6" s="75" t="s">
        <v>409</v>
      </c>
      <c r="E6" s="417" t="s">
        <v>410</v>
      </c>
      <c r="F6" s="431"/>
      <c r="G6" s="431"/>
      <c r="H6" s="431"/>
      <c r="I6" s="431"/>
      <c r="J6" s="431"/>
      <c r="K6" s="431"/>
      <c r="L6" s="431"/>
      <c r="M6" s="432"/>
    </row>
    <row r="7" spans="1:44" ht="12.95" customHeight="1">
      <c r="B7" s="72" t="s">
        <v>411</v>
      </c>
      <c r="C7" s="99" t="s">
        <v>412</v>
      </c>
      <c r="D7" s="76"/>
      <c r="E7" s="193" t="s">
        <v>413</v>
      </c>
      <c r="F7" s="193"/>
      <c r="G7" s="193"/>
      <c r="H7" s="193"/>
      <c r="I7" s="193"/>
      <c r="J7" s="193"/>
      <c r="K7" s="193"/>
      <c r="L7" s="193"/>
      <c r="M7" s="19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44" ht="12.95" customHeight="1">
      <c r="B8" s="72" t="s">
        <v>414</v>
      </c>
      <c r="C8" s="94" t="str">
        <f>IF(C7="kWh","kW",IF(C7="t CO2","t CO2/uur","foutmelding"))</f>
        <v>kW</v>
      </c>
      <c r="D8" s="76"/>
      <c r="E8" s="417"/>
      <c r="F8" s="431"/>
      <c r="G8" s="431"/>
      <c r="H8" s="431"/>
      <c r="I8" s="431"/>
      <c r="J8" s="431"/>
      <c r="K8" s="431"/>
      <c r="L8" s="431"/>
      <c r="M8" s="4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44" ht="12.95" customHeight="1">
      <c r="B9" s="73" t="s">
        <v>19</v>
      </c>
      <c r="C9" s="100" t="s">
        <v>21</v>
      </c>
      <c r="D9" s="77"/>
      <c r="E9" s="195" t="s">
        <v>415</v>
      </c>
      <c r="F9" s="195"/>
      <c r="G9" s="195"/>
      <c r="H9" s="195"/>
      <c r="I9" s="195"/>
      <c r="J9" s="195"/>
      <c r="K9" s="195"/>
      <c r="L9" s="195"/>
      <c r="M9" s="19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44" s="33" customFormat="1" ht="12.95" customHeight="1">
      <c r="B10" s="32"/>
      <c r="C10" s="32"/>
      <c r="D10" s="32"/>
      <c r="E10" s="34"/>
      <c r="F10" s="34"/>
      <c r="G10" s="34"/>
      <c r="H10" s="34"/>
      <c r="I10" s="34"/>
      <c r="J10" s="34"/>
      <c r="K10" s="34"/>
      <c r="L10" s="34"/>
      <c r="M10" s="34"/>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44" ht="12.95" customHeight="1">
      <c r="B11" s="78" t="s">
        <v>416</v>
      </c>
      <c r="C11" s="79" t="s">
        <v>79</v>
      </c>
      <c r="D11" s="79" t="s">
        <v>417</v>
      </c>
      <c r="E11" s="416" t="s">
        <v>63</v>
      </c>
      <c r="F11" s="429"/>
      <c r="G11" s="429"/>
      <c r="H11" s="429"/>
      <c r="I11" s="429"/>
      <c r="J11" s="429"/>
      <c r="K11" s="429"/>
      <c r="L11" s="429"/>
      <c r="M11" s="430"/>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row>
    <row r="12" spans="1:44" ht="12.95" customHeight="1">
      <c r="B12" s="72" t="s">
        <v>418</v>
      </c>
      <c r="C12" s="229"/>
      <c r="D12" s="81" t="str">
        <f>_xlfn.XLOOKUP(C12,Correcties!A4:A37,Correcties!B4:B37,"")</f>
        <v/>
      </c>
      <c r="E12" s="417">
        <f>IFERROR(INDEX(Correcties!$A$1:$I$334,MATCH('6'!C12,Correcties!$A$1:$A$334,0),5),"")</f>
        <v>0</v>
      </c>
      <c r="F12" s="431"/>
      <c r="G12" s="431"/>
      <c r="H12" s="431"/>
      <c r="I12" s="431"/>
      <c r="J12" s="431"/>
      <c r="K12" s="431"/>
      <c r="L12" s="431"/>
      <c r="M12" s="4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ht="12.95" customHeight="1">
      <c r="B13" s="72" t="s">
        <v>419</v>
      </c>
      <c r="C13" s="229">
        <v>0</v>
      </c>
      <c r="D13" s="81" t="str">
        <f>_xlfn.XLOOKUP(C13,Correcties!A55:A68,Correcties!B55:B68)</f>
        <v>Geen ETS-correctie</v>
      </c>
      <c r="E13" s="417">
        <f>_xlfn.XLOOKUP(C13,Correcties!A55:A70,Correcties!E55:E70)</f>
        <v>0</v>
      </c>
      <c r="F13" s="431"/>
      <c r="G13" s="431"/>
      <c r="H13" s="431"/>
      <c r="I13" s="431"/>
      <c r="J13" s="431"/>
      <c r="K13" s="431"/>
      <c r="L13" s="431"/>
      <c r="M13" s="4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2.95" customHeight="1">
      <c r="B14" s="72" t="s">
        <v>420</v>
      </c>
      <c r="C14" s="99" t="s">
        <v>421</v>
      </c>
      <c r="D14" s="81" t="s">
        <v>422</v>
      </c>
      <c r="E14" s="193" t="s">
        <v>423</v>
      </c>
      <c r="F14" s="193"/>
      <c r="G14" s="193"/>
      <c r="H14" s="193"/>
      <c r="I14" s="193"/>
      <c r="J14" s="193"/>
      <c r="K14" s="193"/>
      <c r="L14" s="193"/>
      <c r="M14" s="19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row>
    <row r="15" spans="1:44" ht="15" customHeight="1">
      <c r="B15" s="72" t="s">
        <v>424</v>
      </c>
      <c r="C15" s="229" t="s">
        <v>217</v>
      </c>
      <c r="D15" s="75" t="str">
        <f>_xlfn.XLOOKUP(C15,Correcties!A4:A37,Correcties!B4:B37,"")</f>
        <v>Elektriciteit-ZonPV-netlevering (negatieve uren niet meegenomen)</v>
      </c>
      <c r="E15" s="417" t="str">
        <f>"Enkel relevant voor zon-pv. "&amp;_xlfn.XLOOKUP(C15,Correcties!A4:A37,Correcties!E4:E37,"")</f>
        <v>Enkel relevant voor zon-pv. EPEX3 x PF_PV3</v>
      </c>
      <c r="F15" s="431"/>
      <c r="G15" s="431"/>
      <c r="H15" s="431"/>
      <c r="I15" s="431"/>
      <c r="J15" s="431"/>
      <c r="K15" s="431"/>
      <c r="L15" s="431"/>
      <c r="M15" s="432"/>
    </row>
    <row r="16" spans="1:44" ht="15" customHeight="1">
      <c r="B16" s="72" t="s">
        <v>425</v>
      </c>
      <c r="C16" s="229" t="s">
        <v>230</v>
      </c>
      <c r="D16" s="75" t="str">
        <f>_xlfn.XLOOKUP(C16,Correcties!A4:A37,Correcties!B4:B37,"")</f>
        <v>Elektricteit-ZonPV-niet-netlevering, groot</v>
      </c>
      <c r="E16" s="417" t="str">
        <f>"Enkel relevant voor zon-pv. "&amp;_xlfn.XLOOKUP(C16,Correcties!A4:A37,Correcties!E4:E37,"")</f>
        <v>Enkel relevant voor zon-pv. EPEX3 x PF_PV3 + EB3_e + ODE3_e</v>
      </c>
      <c r="F16" s="431"/>
      <c r="G16" s="431"/>
      <c r="H16" s="431"/>
      <c r="I16" s="431"/>
      <c r="J16" s="431"/>
      <c r="K16" s="431"/>
      <c r="L16" s="431"/>
      <c r="M16" s="432"/>
    </row>
    <row r="17" spans="2:13" ht="15" customHeight="1">
      <c r="B17" s="72" t="s">
        <v>426</v>
      </c>
      <c r="C17" s="101"/>
      <c r="D17" s="75"/>
      <c r="E17" s="417" t="s">
        <v>427</v>
      </c>
      <c r="F17" s="431"/>
      <c r="G17" s="431"/>
      <c r="H17" s="431"/>
      <c r="I17" s="431"/>
      <c r="J17" s="431"/>
      <c r="K17" s="431"/>
      <c r="L17" s="431"/>
      <c r="M17" s="432"/>
    </row>
    <row r="18" spans="2:13" ht="15" customHeight="1">
      <c r="B18" s="73" t="s">
        <v>428</v>
      </c>
      <c r="C18" s="102"/>
      <c r="D18" s="82"/>
      <c r="E18" s="418" t="s">
        <v>429</v>
      </c>
      <c r="F18" s="433"/>
      <c r="G18" s="433"/>
      <c r="H18" s="433"/>
      <c r="I18" s="433"/>
      <c r="J18" s="433"/>
      <c r="K18" s="433"/>
      <c r="L18" s="433"/>
      <c r="M18" s="434"/>
    </row>
    <row r="19" spans="2:13">
      <c r="C19" s="35"/>
    </row>
    <row r="20" spans="2:13" ht="15" customHeight="1">
      <c r="B20" s="78" t="s">
        <v>430</v>
      </c>
      <c r="C20" s="79" t="s">
        <v>79</v>
      </c>
      <c r="D20" s="79" t="s">
        <v>248</v>
      </c>
      <c r="E20" s="416" t="s">
        <v>63</v>
      </c>
      <c r="F20" s="429"/>
      <c r="G20" s="429"/>
      <c r="H20" s="429"/>
      <c r="I20" s="429"/>
      <c r="J20" s="429"/>
      <c r="K20" s="429"/>
      <c r="L20" s="429"/>
      <c r="M20" s="430"/>
    </row>
    <row r="21" spans="2:13" ht="15" customHeight="1">
      <c r="B21" s="72" t="s">
        <v>431</v>
      </c>
      <c r="C21" s="99"/>
      <c r="D21" s="74" t="str">
        <f>C8</f>
        <v>kW</v>
      </c>
      <c r="E21" s="417"/>
      <c r="F21" s="431"/>
      <c r="G21" s="431"/>
      <c r="H21" s="431"/>
      <c r="I21" s="431"/>
      <c r="J21" s="431"/>
      <c r="K21" s="431"/>
      <c r="L21" s="431"/>
      <c r="M21" s="432"/>
    </row>
    <row r="22" spans="2:13" ht="12.95" customHeight="1">
      <c r="B22" s="72" t="s">
        <v>432</v>
      </c>
      <c r="C22" s="103"/>
      <c r="D22" s="74"/>
      <c r="E22" s="417" t="s">
        <v>433</v>
      </c>
      <c r="F22" s="431"/>
      <c r="G22" s="431"/>
      <c r="H22" s="431"/>
      <c r="I22" s="431"/>
      <c r="J22" s="431"/>
      <c r="K22" s="431"/>
      <c r="L22" s="431"/>
      <c r="M22" s="432"/>
    </row>
    <row r="23" spans="2:13">
      <c r="B23" s="72" t="s">
        <v>434</v>
      </c>
      <c r="C23" s="99"/>
      <c r="D23" s="75"/>
      <c r="E23" s="193" t="s">
        <v>435</v>
      </c>
      <c r="F23" s="193"/>
      <c r="G23" s="193"/>
      <c r="H23" s="193"/>
      <c r="I23" s="193"/>
      <c r="J23" s="193"/>
      <c r="K23" s="193"/>
      <c r="L23" s="193"/>
      <c r="M23" s="194"/>
    </row>
    <row r="24" spans="2:13" ht="15" customHeight="1">
      <c r="B24" s="83" t="s">
        <v>436</v>
      </c>
      <c r="C24" s="233"/>
      <c r="D24" s="75"/>
      <c r="E24" s="417" t="s">
        <v>437</v>
      </c>
      <c r="F24" s="431"/>
      <c r="G24" s="431"/>
      <c r="H24" s="431"/>
      <c r="I24" s="431"/>
      <c r="J24" s="431"/>
      <c r="K24" s="431"/>
      <c r="L24" s="431"/>
      <c r="M24" s="432"/>
    </row>
    <row r="25" spans="2:13" ht="15" customHeight="1">
      <c r="B25" s="83" t="s">
        <v>438</v>
      </c>
      <c r="C25" s="329">
        <f>IF(C23="JA",IF(C24&lt;&gt;"",C21*C185/C182/C24,0),0)</f>
        <v>0</v>
      </c>
      <c r="D25" s="75" t="s">
        <v>439</v>
      </c>
      <c r="E25" s="417"/>
      <c r="F25" s="431"/>
      <c r="G25" s="431"/>
      <c r="H25" s="431"/>
      <c r="I25" s="431"/>
      <c r="J25" s="431"/>
      <c r="K25" s="431"/>
      <c r="L25" s="431"/>
      <c r="M25" s="432"/>
    </row>
    <row r="26" spans="2:13" ht="15" customHeight="1">
      <c r="B26" s="72" t="s">
        <v>440</v>
      </c>
      <c r="C26" s="99"/>
      <c r="D26" s="74" t="str">
        <f>C8</f>
        <v>kW</v>
      </c>
      <c r="E26" s="417" t="s">
        <v>441</v>
      </c>
      <c r="F26" s="431"/>
      <c r="G26" s="431"/>
      <c r="H26" s="431"/>
      <c r="I26" s="431"/>
      <c r="J26" s="431"/>
      <c r="K26" s="431"/>
      <c r="L26" s="431"/>
      <c r="M26" s="432"/>
    </row>
    <row r="27" spans="2:13" ht="15" customHeight="1">
      <c r="B27" s="83" t="s">
        <v>442</v>
      </c>
      <c r="C27" s="329">
        <f>IF(C23="JA",IF(C26=0,,C26*C185/C183),0)</f>
        <v>0</v>
      </c>
      <c r="D27" s="75" t="s">
        <v>439</v>
      </c>
      <c r="E27" s="417"/>
      <c r="F27" s="431"/>
      <c r="G27" s="431"/>
      <c r="H27" s="431"/>
      <c r="I27" s="431"/>
      <c r="J27" s="431"/>
      <c r="K27" s="431"/>
      <c r="L27" s="431"/>
      <c r="M27" s="432"/>
    </row>
    <row r="28" spans="2:13" ht="15" customHeight="1">
      <c r="B28" s="72" t="s">
        <v>443</v>
      </c>
      <c r="C28" s="104">
        <v>2500</v>
      </c>
      <c r="D28" s="74" t="str">
        <f>C8</f>
        <v>kW</v>
      </c>
      <c r="E28" s="417" t="s">
        <v>444</v>
      </c>
      <c r="F28" s="431"/>
      <c r="G28" s="431"/>
      <c r="H28" s="431"/>
      <c r="I28" s="431"/>
      <c r="J28" s="431"/>
      <c r="K28" s="431"/>
      <c r="L28" s="431"/>
      <c r="M28" s="432"/>
    </row>
    <row r="29" spans="2:13" ht="15" customHeight="1">
      <c r="B29" s="72" t="s">
        <v>445</v>
      </c>
      <c r="C29" s="104"/>
      <c r="D29" s="75" t="s">
        <v>446</v>
      </c>
      <c r="E29" s="417" t="s">
        <v>447</v>
      </c>
      <c r="F29" s="431"/>
      <c r="G29" s="431"/>
      <c r="H29" s="431"/>
      <c r="I29" s="431"/>
      <c r="J29" s="431"/>
      <c r="K29" s="431"/>
      <c r="L29" s="431"/>
      <c r="M29" s="432"/>
    </row>
    <row r="30" spans="2:13" ht="15" customHeight="1">
      <c r="B30" s="73" t="s">
        <v>448</v>
      </c>
      <c r="C30" s="105">
        <v>730</v>
      </c>
      <c r="D30" s="82" t="s">
        <v>446</v>
      </c>
      <c r="E30" s="418" t="s">
        <v>447</v>
      </c>
      <c r="F30" s="433"/>
      <c r="G30" s="433"/>
      <c r="H30" s="433"/>
      <c r="I30" s="433"/>
      <c r="J30" s="433"/>
      <c r="K30" s="433"/>
      <c r="L30" s="433"/>
      <c r="M30" s="434"/>
    </row>
    <row r="31" spans="2:13">
      <c r="C31" s="36"/>
      <c r="E31" s="37"/>
      <c r="F31" s="37"/>
      <c r="G31" s="37"/>
      <c r="H31" s="37"/>
      <c r="I31" s="37"/>
      <c r="J31" s="37"/>
      <c r="K31" s="37"/>
      <c r="L31" s="37"/>
      <c r="M31" s="37"/>
    </row>
    <row r="32" spans="2:13" ht="15" customHeight="1">
      <c r="B32" s="78" t="s">
        <v>449</v>
      </c>
      <c r="C32" s="79" t="s">
        <v>79</v>
      </c>
      <c r="D32" s="79" t="s">
        <v>248</v>
      </c>
      <c r="E32" s="416" t="s">
        <v>63</v>
      </c>
      <c r="F32" s="429"/>
      <c r="G32" s="429"/>
      <c r="H32" s="429"/>
      <c r="I32" s="429"/>
      <c r="J32" s="429"/>
      <c r="K32" s="429"/>
      <c r="L32" s="429"/>
      <c r="M32" s="430"/>
    </row>
    <row r="33" spans="2:13" ht="15" customHeight="1">
      <c r="B33" s="72" t="s">
        <v>450</v>
      </c>
      <c r="C33" s="234">
        <f>IF(C21&gt;0,C28/C21,IF(C28&gt;0,1,0))</f>
        <v>1</v>
      </c>
      <c r="D33" s="75"/>
      <c r="E33" s="417"/>
      <c r="F33" s="431"/>
      <c r="G33" s="431"/>
      <c r="H33" s="431"/>
      <c r="I33" s="431"/>
      <c r="J33" s="431"/>
      <c r="K33" s="431"/>
      <c r="L33" s="431"/>
      <c r="M33" s="432"/>
    </row>
    <row r="34" spans="2:13" ht="15" customHeight="1">
      <c r="B34" s="72" t="s">
        <v>451</v>
      </c>
      <c r="C34" s="234">
        <f>IF(C28&gt;0,C33-C36*C33*(C26*C29)/(C28*C30),)</f>
        <v>1</v>
      </c>
      <c r="D34" s="75"/>
      <c r="E34" s="417"/>
      <c r="F34" s="431"/>
      <c r="G34" s="431"/>
      <c r="H34" s="431"/>
      <c r="I34" s="431"/>
      <c r="J34" s="431"/>
      <c r="K34" s="431"/>
      <c r="L34" s="431"/>
      <c r="M34" s="432"/>
    </row>
    <row r="35" spans="2:13" ht="15" customHeight="1">
      <c r="B35" s="72" t="s">
        <v>452</v>
      </c>
      <c r="C35" s="235">
        <f>IF(C21&gt;0,C26/C21,0)</f>
        <v>0</v>
      </c>
      <c r="D35" s="75"/>
      <c r="E35" s="417"/>
      <c r="F35" s="431"/>
      <c r="G35" s="431"/>
      <c r="H35" s="431"/>
      <c r="I35" s="431"/>
      <c r="J35" s="431"/>
      <c r="K35" s="431"/>
      <c r="L35" s="431"/>
      <c r="M35" s="432"/>
    </row>
    <row r="36" spans="2:13" ht="15" customHeight="1">
      <c r="B36" s="73" t="s">
        <v>453</v>
      </c>
      <c r="C36" s="236"/>
      <c r="D36" s="82" t="s">
        <v>454</v>
      </c>
      <c r="E36" s="418" t="s">
        <v>455</v>
      </c>
      <c r="F36" s="433"/>
      <c r="G36" s="433"/>
      <c r="H36" s="433"/>
      <c r="I36" s="433"/>
      <c r="J36" s="433"/>
      <c r="K36" s="433"/>
      <c r="L36" s="433"/>
      <c r="M36" s="434"/>
    </row>
    <row r="37" spans="2:13">
      <c r="C37" s="237"/>
      <c r="E37" s="37"/>
      <c r="F37" s="37"/>
      <c r="G37" s="37"/>
      <c r="H37" s="37"/>
      <c r="I37" s="37"/>
      <c r="J37" s="37"/>
      <c r="K37" s="37"/>
      <c r="L37" s="37"/>
      <c r="M37" s="37"/>
    </row>
    <row r="38" spans="2:13" ht="15" customHeight="1">
      <c r="B38" s="78" t="s">
        <v>456</v>
      </c>
      <c r="C38" s="79" t="s">
        <v>79</v>
      </c>
      <c r="D38" s="79" t="s">
        <v>248</v>
      </c>
      <c r="E38" s="416" t="s">
        <v>63</v>
      </c>
      <c r="F38" s="429"/>
      <c r="G38" s="429"/>
      <c r="H38" s="429"/>
      <c r="I38" s="429"/>
      <c r="J38" s="429"/>
      <c r="K38" s="429"/>
      <c r="L38" s="429"/>
      <c r="M38" s="430"/>
    </row>
    <row r="39" spans="2:13" ht="15" customHeight="1">
      <c r="B39" s="84" t="s">
        <v>457</v>
      </c>
      <c r="C39" s="104"/>
      <c r="D39" s="75" t="str">
        <f>CONCATENATE("Euro/",$C$8)</f>
        <v>Euro/kW</v>
      </c>
      <c r="E39" s="417" t="s">
        <v>458</v>
      </c>
      <c r="F39" s="431"/>
      <c r="G39" s="431"/>
      <c r="H39" s="431"/>
      <c r="I39" s="431"/>
      <c r="J39" s="431"/>
      <c r="K39" s="431"/>
      <c r="L39" s="431"/>
      <c r="M39" s="432"/>
    </row>
    <row r="40" spans="2:13" ht="15" customHeight="1">
      <c r="B40" s="84" t="s">
        <v>459</v>
      </c>
      <c r="C40" s="99">
        <v>555</v>
      </c>
      <c r="D40" s="75" t="str">
        <f>CONCATENATE("Euro/",$C$8)</f>
        <v>Euro/kW</v>
      </c>
      <c r="E40" s="417" t="s">
        <v>458</v>
      </c>
      <c r="F40" s="431"/>
      <c r="G40" s="431"/>
      <c r="H40" s="431"/>
      <c r="I40" s="431"/>
      <c r="J40" s="431"/>
      <c r="K40" s="431"/>
      <c r="L40" s="431"/>
      <c r="M40" s="432"/>
    </row>
    <row r="41" spans="2:13" ht="15" customHeight="1">
      <c r="B41" s="72" t="s">
        <v>460</v>
      </c>
      <c r="C41" s="238">
        <f>IF(C103&lt;&gt;0,((C21*C39+SUM(C26,C28)*C40)+C103)/1000000,((C21*C39+SUM(C26,C28)*C40)*(1+D104*C92))/1000000)</f>
        <v>1.3972124999999997</v>
      </c>
      <c r="D41" s="75" t="s">
        <v>461</v>
      </c>
      <c r="E41" s="419"/>
      <c r="F41" s="431"/>
      <c r="G41" s="431"/>
      <c r="H41" s="431"/>
      <c r="I41" s="431"/>
      <c r="J41" s="431"/>
      <c r="K41" s="431"/>
      <c r="L41" s="431"/>
      <c r="M41" s="432"/>
    </row>
    <row r="42" spans="2:13" ht="15" customHeight="1">
      <c r="B42" s="84" t="s">
        <v>462</v>
      </c>
      <c r="C42" s="103"/>
      <c r="D42" s="75" t="str">
        <f>CONCATENATE("Euro/",$C$8,"/jaar")</f>
        <v>Euro/kW/jaar</v>
      </c>
      <c r="E42" s="417" t="s">
        <v>463</v>
      </c>
      <c r="F42" s="431"/>
      <c r="G42" s="431"/>
      <c r="H42" s="431"/>
      <c r="I42" s="431"/>
      <c r="J42" s="431"/>
      <c r="K42" s="431"/>
      <c r="L42" s="431"/>
      <c r="M42" s="432"/>
    </row>
    <row r="43" spans="2:13" ht="15" customHeight="1">
      <c r="B43" s="84" t="s">
        <v>464</v>
      </c>
      <c r="C43" s="103">
        <v>18.3</v>
      </c>
      <c r="D43" s="75" t="str">
        <f>CONCATENATE("Euro/",$C$8,"/jaar")</f>
        <v>Euro/kW/jaar</v>
      </c>
      <c r="E43" s="417" t="s">
        <v>463</v>
      </c>
      <c r="F43" s="431"/>
      <c r="G43" s="431"/>
      <c r="H43" s="431"/>
      <c r="I43" s="431"/>
      <c r="J43" s="431"/>
      <c r="K43" s="431"/>
      <c r="L43" s="431"/>
      <c r="M43" s="432"/>
    </row>
    <row r="44" spans="2:13" ht="15" customHeight="1">
      <c r="B44" s="72" t="s">
        <v>465</v>
      </c>
      <c r="C44" s="239">
        <f>(C42*C21+C43*SUM(C26,C28))/1000</f>
        <v>45.75</v>
      </c>
      <c r="D44" s="75" t="s">
        <v>466</v>
      </c>
      <c r="E44" s="419" t="s">
        <v>467</v>
      </c>
      <c r="F44" s="431"/>
      <c r="G44" s="431"/>
      <c r="H44" s="431"/>
      <c r="I44" s="431"/>
      <c r="J44" s="431"/>
      <c r="K44" s="431"/>
      <c r="L44" s="431"/>
      <c r="M44" s="432"/>
    </row>
    <row r="45" spans="2:13" ht="15" customHeight="1">
      <c r="B45" s="72" t="s">
        <v>468</v>
      </c>
      <c r="C45" s="330"/>
      <c r="D45" s="75" t="str">
        <f>CONCATENATE("Euro/",$C$7)</f>
        <v>Euro/kWh</v>
      </c>
      <c r="E45" s="417" t="str">
        <f>CONCATENATE("Het betreft de inkoopkosten voor elektriciteit, per ", $C$7," output")</f>
        <v>Het betreft de inkoopkosten voor elektriciteit, per kWh output</v>
      </c>
      <c r="F45" s="431"/>
      <c r="G45" s="431"/>
      <c r="H45" s="431"/>
      <c r="I45" s="431"/>
      <c r="J45" s="431"/>
      <c r="K45" s="431"/>
      <c r="L45" s="431"/>
      <c r="M45" s="432"/>
    </row>
    <row r="46" spans="2:13" ht="15" customHeight="1">
      <c r="B46" s="72" t="s">
        <v>469</v>
      </c>
      <c r="C46" s="330"/>
      <c r="D46" s="75" t="str">
        <f>CONCATENATE("Euro/",$C$7)</f>
        <v>Euro/kWh</v>
      </c>
      <c r="E46" s="417" t="str">
        <f>CONCATENATE("Het betreft de inkoopkosten voor gas, per ", $C$7," output")</f>
        <v>Het betreft de inkoopkosten voor gas, per kWh output</v>
      </c>
      <c r="F46" s="431"/>
      <c r="G46" s="431"/>
      <c r="H46" s="431"/>
      <c r="I46" s="431"/>
      <c r="J46" s="431"/>
      <c r="K46" s="431"/>
      <c r="L46" s="431"/>
      <c r="M46" s="432"/>
    </row>
    <row r="47" spans="2:13" ht="15" customHeight="1">
      <c r="B47" s="72" t="s">
        <v>470</v>
      </c>
      <c r="C47" s="330"/>
      <c r="D47" s="75" t="str">
        <f>CONCATENATE("Euro/",$C$7)</f>
        <v>Euro/kWh</v>
      </c>
      <c r="E47" s="417" t="str">
        <f>CONCATENATE("Het betreft de inkoopkosten voor warmte, per ", $C$7," output")</f>
        <v>Het betreft de inkoopkosten voor warmte, per kWh output</v>
      </c>
      <c r="F47" s="431"/>
      <c r="G47" s="431"/>
      <c r="H47" s="431"/>
      <c r="I47" s="431"/>
      <c r="J47" s="431"/>
      <c r="K47" s="431"/>
      <c r="L47" s="431"/>
      <c r="M47" s="432"/>
    </row>
    <row r="48" spans="2:13" ht="15" customHeight="1">
      <c r="B48" s="72" t="s">
        <v>471</v>
      </c>
      <c r="C48" s="330">
        <v>9.8999999999999991E-3</v>
      </c>
      <c r="D48" s="75" t="str">
        <f>CONCATENATE("Euro/",$C$7)</f>
        <v>Euro/kWh</v>
      </c>
      <c r="E48" s="417"/>
      <c r="F48" s="431"/>
      <c r="G48" s="431"/>
      <c r="H48" s="431"/>
      <c r="I48" s="431"/>
      <c r="J48" s="431"/>
      <c r="K48" s="431"/>
      <c r="L48" s="431"/>
      <c r="M48" s="432"/>
    </row>
    <row r="49" spans="2:13" ht="15" customHeight="1">
      <c r="B49" s="73" t="s">
        <v>472</v>
      </c>
      <c r="C49" s="331">
        <f>SUM(C45:C48)</f>
        <v>9.8999999999999991E-3</v>
      </c>
      <c r="D49" s="82" t="str">
        <f>CONCATENATE("Euro/",$C$7)</f>
        <v>Euro/kWh</v>
      </c>
      <c r="E49" s="420"/>
      <c r="F49" s="433"/>
      <c r="G49" s="433"/>
      <c r="H49" s="433"/>
      <c r="I49" s="433"/>
      <c r="J49" s="433"/>
      <c r="K49" s="433"/>
      <c r="L49" s="433"/>
      <c r="M49" s="434"/>
    </row>
    <row r="50" spans="2:13">
      <c r="C50" s="237"/>
      <c r="E50" s="37"/>
      <c r="F50" s="37"/>
      <c r="G50" s="37"/>
      <c r="H50" s="37"/>
      <c r="I50" s="37"/>
      <c r="J50" s="37"/>
      <c r="K50" s="37"/>
      <c r="L50" s="37"/>
      <c r="M50" s="37"/>
    </row>
    <row r="51" spans="2:13" ht="15" customHeight="1">
      <c r="B51" s="85" t="s">
        <v>473</v>
      </c>
      <c r="C51" s="79" t="s">
        <v>79</v>
      </c>
      <c r="D51" s="79" t="s">
        <v>248</v>
      </c>
      <c r="E51" s="416" t="s">
        <v>63</v>
      </c>
      <c r="F51" s="429"/>
      <c r="G51" s="429"/>
      <c r="H51" s="429"/>
      <c r="I51" s="429"/>
      <c r="J51" s="429"/>
      <c r="K51" s="429"/>
      <c r="L51" s="429"/>
      <c r="M51" s="430"/>
    </row>
    <row r="52" spans="2:13" ht="15" customHeight="1">
      <c r="B52" s="72" t="s">
        <v>474</v>
      </c>
      <c r="C52" s="101"/>
      <c r="D52" s="75" t="s">
        <v>475</v>
      </c>
      <c r="E52" s="417"/>
      <c r="F52" s="431"/>
      <c r="G52" s="431"/>
      <c r="H52" s="431"/>
      <c r="I52" s="431"/>
      <c r="J52" s="431"/>
      <c r="K52" s="431"/>
      <c r="L52" s="431"/>
      <c r="M52" s="432"/>
    </row>
    <row r="53" spans="2:13" ht="15" customHeight="1">
      <c r="B53" s="72" t="s">
        <v>476</v>
      </c>
      <c r="C53" s="329">
        <f>IF(C52=0,,C21*MAX(C29,C30)*C185/C52/1000)</f>
        <v>0</v>
      </c>
      <c r="D53" s="75" t="s">
        <v>477</v>
      </c>
      <c r="E53" s="421"/>
      <c r="F53" s="431"/>
      <c r="G53" s="431"/>
      <c r="H53" s="431"/>
      <c r="I53" s="431"/>
      <c r="J53" s="431"/>
      <c r="K53" s="431"/>
      <c r="L53" s="431"/>
      <c r="M53" s="432"/>
    </row>
    <row r="54" spans="2:13" ht="15" customHeight="1">
      <c r="B54" s="72" t="s">
        <v>478</v>
      </c>
      <c r="C54" s="240"/>
      <c r="D54" s="75" t="s">
        <v>479</v>
      </c>
      <c r="E54" s="417" t="s">
        <v>480</v>
      </c>
      <c r="F54" s="431"/>
      <c r="G54" s="431"/>
      <c r="H54" s="431"/>
      <c r="I54" s="431"/>
      <c r="J54" s="431"/>
      <c r="K54" s="431"/>
      <c r="L54" s="431"/>
      <c r="M54" s="432"/>
    </row>
    <row r="55" spans="2:13" ht="15" customHeight="1">
      <c r="B55" s="72" t="s">
        <v>481</v>
      </c>
      <c r="C55" s="240"/>
      <c r="D55" s="75" t="str">
        <f>CONCATENATE("kWh/",$C$7)</f>
        <v>kWh/kWh</v>
      </c>
      <c r="E55" s="417"/>
      <c r="F55" s="431"/>
      <c r="G55" s="431"/>
      <c r="H55" s="431"/>
      <c r="I55" s="431"/>
      <c r="J55" s="431"/>
      <c r="K55" s="431"/>
      <c r="L55" s="431"/>
      <c r="M55" s="432"/>
    </row>
    <row r="56" spans="2:13" ht="15" customHeight="1">
      <c r="B56" s="72" t="s">
        <v>482</v>
      </c>
      <c r="C56" s="329">
        <f>IF(C55=0,,MAX(C26,C28)*MAX(C29,C30)*C55*10^(-3))</f>
        <v>0</v>
      </c>
      <c r="D56" s="75" t="s">
        <v>483</v>
      </c>
      <c r="E56" s="417"/>
      <c r="F56" s="431"/>
      <c r="G56" s="431"/>
      <c r="H56" s="431"/>
      <c r="I56" s="431"/>
      <c r="J56" s="431"/>
      <c r="K56" s="431"/>
      <c r="L56" s="431"/>
      <c r="M56" s="432"/>
    </row>
    <row r="57" spans="2:13" ht="15" customHeight="1">
      <c r="B57" s="72" t="s">
        <v>484</v>
      </c>
      <c r="C57" s="240"/>
      <c r="D57" s="75" t="str">
        <f>CONCATENATE("kWh/",$C$7)</f>
        <v>kWh/kWh</v>
      </c>
      <c r="E57" s="417"/>
      <c r="F57" s="431"/>
      <c r="G57" s="431"/>
      <c r="H57" s="431"/>
      <c r="I57" s="431"/>
      <c r="J57" s="431"/>
      <c r="K57" s="431"/>
      <c r="L57" s="431"/>
      <c r="M57" s="432"/>
    </row>
    <row r="58" spans="2:13" ht="15" customHeight="1">
      <c r="B58" s="72" t="s">
        <v>485</v>
      </c>
      <c r="C58" s="329">
        <f>IF(C57=0,,MAX($C$26,$C$28)*MAX($C$29,$C$30)*C57/1000)</f>
        <v>0</v>
      </c>
      <c r="D58" s="75" t="s">
        <v>483</v>
      </c>
      <c r="E58" s="417"/>
      <c r="F58" s="431"/>
      <c r="G58" s="431"/>
      <c r="H58" s="431"/>
      <c r="I58" s="431"/>
      <c r="J58" s="431"/>
      <c r="K58" s="431"/>
      <c r="L58" s="431"/>
      <c r="M58" s="432"/>
    </row>
    <row r="59" spans="2:13" ht="15" customHeight="1">
      <c r="B59" s="72" t="s">
        <v>486</v>
      </c>
      <c r="C59" s="240"/>
      <c r="D59" s="75" t="str">
        <f>CONCATENATE("kWh/",$C$7)</f>
        <v>kWh/kWh</v>
      </c>
      <c r="E59" s="417"/>
      <c r="F59" s="431"/>
      <c r="G59" s="431"/>
      <c r="H59" s="431"/>
      <c r="I59" s="431"/>
      <c r="J59" s="431"/>
      <c r="K59" s="431"/>
      <c r="L59" s="431"/>
      <c r="M59" s="432"/>
    </row>
    <row r="60" spans="2:13" ht="15" customHeight="1">
      <c r="B60" s="73" t="s">
        <v>487</v>
      </c>
      <c r="C60" s="332">
        <f>IF(C59=0,,MAX($C$26,$C$28)*MAX($C$29,$C$30)*C59/1000)</f>
        <v>0</v>
      </c>
      <c r="D60" s="82" t="s">
        <v>483</v>
      </c>
      <c r="E60" s="418"/>
      <c r="F60" s="433"/>
      <c r="G60" s="433"/>
      <c r="H60" s="433"/>
      <c r="I60" s="433"/>
      <c r="J60" s="433"/>
      <c r="K60" s="433"/>
      <c r="L60" s="433"/>
      <c r="M60" s="434"/>
    </row>
    <row r="61" spans="2:13">
      <c r="C61" s="237"/>
      <c r="E61" s="37"/>
      <c r="F61" s="37"/>
      <c r="G61" s="37"/>
      <c r="H61" s="37"/>
      <c r="I61" s="37"/>
      <c r="J61" s="37"/>
      <c r="K61" s="37"/>
      <c r="L61" s="37"/>
      <c r="M61" s="37"/>
    </row>
    <row r="62" spans="2:13" ht="15" customHeight="1">
      <c r="B62" s="85" t="s">
        <v>488</v>
      </c>
      <c r="C62" s="79" t="s">
        <v>79</v>
      </c>
      <c r="D62" s="79" t="s">
        <v>248</v>
      </c>
      <c r="E62" s="416" t="s">
        <v>63</v>
      </c>
      <c r="F62" s="429"/>
      <c r="G62" s="429"/>
      <c r="H62" s="429"/>
      <c r="I62" s="429"/>
      <c r="J62" s="429"/>
      <c r="K62" s="429"/>
      <c r="L62" s="429"/>
      <c r="M62" s="430"/>
    </row>
    <row r="63" spans="2:13" ht="15" customHeight="1">
      <c r="B63" s="72" t="s">
        <v>489</v>
      </c>
      <c r="C63" s="241"/>
      <c r="D63" s="75" t="str">
        <f>IF(AND(C26&gt;0,C23=""),CONCATENATE("kg CO2/",$C$7),"kg CO2/kWh")</f>
        <v>kg CO2/kWh</v>
      </c>
      <c r="E63" s="417"/>
      <c r="F63" s="431"/>
      <c r="G63" s="431"/>
      <c r="H63" s="431"/>
      <c r="I63" s="431"/>
      <c r="J63" s="431"/>
      <c r="K63" s="431"/>
      <c r="L63" s="431"/>
      <c r="M63" s="432"/>
    </row>
    <row r="64" spans="2:13" ht="15" customHeight="1">
      <c r="B64" s="72" t="s">
        <v>490</v>
      </c>
      <c r="C64" s="241">
        <v>6.2E-2</v>
      </c>
      <c r="D64" s="75" t="str">
        <f>IF(C28&gt;0,CONCATENATE("kg CO2/",$C$7),"kg CO2/kWh")</f>
        <v>kg CO2/kWh</v>
      </c>
      <c r="E64" s="417"/>
      <c r="F64" s="431"/>
      <c r="G64" s="431"/>
      <c r="H64" s="431"/>
      <c r="I64" s="431"/>
      <c r="J64" s="431"/>
      <c r="K64" s="431"/>
      <c r="L64" s="431"/>
      <c r="M64" s="432"/>
    </row>
    <row r="65" spans="2:13" ht="15" customHeight="1">
      <c r="B65" s="72" t="s">
        <v>491</v>
      </c>
      <c r="C65" s="241"/>
      <c r="D65" s="75" t="str">
        <f>IF(C23="Ja",CONCATENATE("kg CO2/",$C$7),"kg CO2/kWh")</f>
        <v>kg CO2/kWh</v>
      </c>
      <c r="E65" s="417"/>
      <c r="F65" s="431"/>
      <c r="G65" s="431"/>
      <c r="H65" s="431"/>
      <c r="I65" s="431"/>
      <c r="J65" s="431"/>
      <c r="K65" s="431"/>
      <c r="L65" s="431"/>
      <c r="M65" s="432"/>
    </row>
    <row r="66" spans="2:13" ht="15" customHeight="1">
      <c r="B66" s="72" t="s">
        <v>492</v>
      </c>
      <c r="C66" s="240"/>
      <c r="D66" s="75" t="s">
        <v>493</v>
      </c>
      <c r="E66" s="417" t="s">
        <v>494</v>
      </c>
      <c r="F66" s="431"/>
      <c r="G66" s="431"/>
      <c r="H66" s="431"/>
      <c r="I66" s="431"/>
      <c r="J66" s="431"/>
      <c r="K66" s="431"/>
      <c r="L66" s="431"/>
      <c r="M66" s="432"/>
    </row>
    <row r="67" spans="2:13" ht="15" customHeight="1">
      <c r="B67" s="72" t="s">
        <v>495</v>
      </c>
      <c r="C67" s="242"/>
      <c r="D67" s="75" t="s">
        <v>496</v>
      </c>
      <c r="E67" s="417"/>
      <c r="F67" s="431"/>
      <c r="G67" s="431"/>
      <c r="H67" s="431"/>
      <c r="I67" s="431"/>
      <c r="J67" s="431"/>
      <c r="K67" s="431"/>
      <c r="L67" s="431"/>
      <c r="M67" s="432"/>
    </row>
    <row r="68" spans="2:13" ht="15" customHeight="1">
      <c r="B68" s="72" t="s">
        <v>497</v>
      </c>
      <c r="C68" s="242"/>
      <c r="D68" s="75" t="s">
        <v>496</v>
      </c>
      <c r="E68" s="417"/>
      <c r="F68" s="431"/>
      <c r="G68" s="431"/>
      <c r="H68" s="431"/>
      <c r="I68" s="431"/>
      <c r="J68" s="431"/>
      <c r="K68" s="431"/>
      <c r="L68" s="431"/>
      <c r="M68" s="432"/>
    </row>
    <row r="69" spans="2:13" ht="15" customHeight="1">
      <c r="B69" s="72" t="s">
        <v>498</v>
      </c>
      <c r="C69" s="242"/>
      <c r="D69" s="75" t="s">
        <v>496</v>
      </c>
      <c r="E69" s="417"/>
      <c r="F69" s="431"/>
      <c r="G69" s="431"/>
      <c r="H69" s="431"/>
      <c r="I69" s="431"/>
      <c r="J69" s="431"/>
      <c r="K69" s="431"/>
      <c r="L69" s="431"/>
      <c r="M69" s="432"/>
    </row>
    <row r="70" spans="2:13" ht="15" customHeight="1">
      <c r="B70" s="86" t="s">
        <v>499</v>
      </c>
      <c r="C70" s="243">
        <f ca="1">ROUND((IF($C$23="Ja",$C$65,($C$64*IF($C$17&gt;0,1/$C$17,1)*$C$28*$C$30+$C$63*$C$26*$C$29)/($C$28*$C$30+$C$26*$C$29))-$C$55*$C$68-$C$57*$C$67-$C$69*$C$59+(-$C$53*$C$66)/(($C$28*$C$30)+($C$26*$C$29)))*C86,4)</f>
        <v>6.2E-2</v>
      </c>
      <c r="D70" s="82" t="str">
        <f>CONCATENATE("kg CO2/",$C$7)</f>
        <v>kg CO2/kWh</v>
      </c>
      <c r="E70" s="418"/>
      <c r="F70" s="433"/>
      <c r="G70" s="433"/>
      <c r="H70" s="433"/>
      <c r="I70" s="433"/>
      <c r="J70" s="433"/>
      <c r="K70" s="433"/>
      <c r="L70" s="433"/>
      <c r="M70" s="434"/>
    </row>
    <row r="71" spans="2:13">
      <c r="C71" s="237"/>
      <c r="E71" s="37"/>
      <c r="F71" s="37"/>
      <c r="G71" s="37"/>
      <c r="H71" s="37"/>
      <c r="I71" s="37"/>
      <c r="J71" s="37"/>
      <c r="K71" s="37"/>
      <c r="L71" s="37"/>
      <c r="M71" s="37"/>
    </row>
    <row r="72" spans="2:13" ht="15" customHeight="1">
      <c r="B72" s="85" t="s">
        <v>500</v>
      </c>
      <c r="C72" s="79" t="s">
        <v>79</v>
      </c>
      <c r="D72" s="79" t="s">
        <v>248</v>
      </c>
      <c r="E72" s="416" t="s">
        <v>63</v>
      </c>
      <c r="F72" s="429"/>
      <c r="G72" s="429"/>
      <c r="H72" s="429"/>
      <c r="I72" s="429"/>
      <c r="J72" s="429"/>
      <c r="K72" s="429"/>
      <c r="L72" s="429"/>
      <c r="M72" s="430"/>
    </row>
    <row r="73" spans="2:13" ht="15" customHeight="1">
      <c r="B73" s="72" t="s">
        <v>501</v>
      </c>
      <c r="C73" s="244">
        <v>15</v>
      </c>
      <c r="D73" s="75" t="s">
        <v>502</v>
      </c>
      <c r="E73" s="417" t="s">
        <v>503</v>
      </c>
      <c r="F73" s="431"/>
      <c r="G73" s="431"/>
      <c r="H73" s="431"/>
      <c r="I73" s="431"/>
      <c r="J73" s="431"/>
      <c r="K73" s="431"/>
      <c r="L73" s="431"/>
      <c r="M73" s="432"/>
    </row>
    <row r="74" spans="2:13" ht="15" customHeight="1">
      <c r="B74" s="87" t="s">
        <v>504</v>
      </c>
      <c r="C74" s="106">
        <v>15</v>
      </c>
      <c r="D74" s="75" t="s">
        <v>502</v>
      </c>
      <c r="E74" s="417"/>
      <c r="F74" s="431"/>
      <c r="G74" s="431"/>
      <c r="H74" s="431"/>
      <c r="I74" s="431"/>
      <c r="J74" s="431"/>
      <c r="K74" s="431"/>
      <c r="L74" s="431"/>
      <c r="M74" s="432"/>
    </row>
    <row r="75" spans="2:13" ht="15" customHeight="1">
      <c r="B75" s="87" t="s">
        <v>505</v>
      </c>
      <c r="C75" s="106">
        <v>15</v>
      </c>
      <c r="D75" s="75" t="s">
        <v>502</v>
      </c>
      <c r="E75" s="417"/>
      <c r="F75" s="431"/>
      <c r="G75" s="431"/>
      <c r="H75" s="431"/>
      <c r="I75" s="431"/>
      <c r="J75" s="431"/>
      <c r="K75" s="431"/>
      <c r="L75" s="431"/>
      <c r="M75" s="432"/>
    </row>
    <row r="76" spans="2:13" ht="15" customHeight="1">
      <c r="B76" s="87" t="s">
        <v>506</v>
      </c>
      <c r="C76" s="106">
        <v>15</v>
      </c>
      <c r="D76" s="75" t="s">
        <v>502</v>
      </c>
      <c r="E76" s="417"/>
      <c r="F76" s="431"/>
      <c r="G76" s="431"/>
      <c r="H76" s="431"/>
      <c r="I76" s="431"/>
      <c r="J76" s="431"/>
      <c r="K76" s="431"/>
      <c r="L76" s="431"/>
      <c r="M76" s="432"/>
    </row>
    <row r="77" spans="2:13" ht="15" customHeight="1">
      <c r="B77" s="73" t="s">
        <v>507</v>
      </c>
      <c r="C77" s="105"/>
      <c r="D77" s="82" t="s">
        <v>502</v>
      </c>
      <c r="E77" s="418" t="s">
        <v>508</v>
      </c>
      <c r="F77" s="433"/>
      <c r="G77" s="433"/>
      <c r="H77" s="433"/>
      <c r="I77" s="433"/>
      <c r="J77" s="433"/>
      <c r="K77" s="433"/>
      <c r="L77" s="433"/>
      <c r="M77" s="434"/>
    </row>
    <row r="78" spans="2:13">
      <c r="C78" s="237"/>
      <c r="E78" s="37"/>
      <c r="F78" s="37"/>
      <c r="G78" s="37"/>
      <c r="H78" s="37"/>
      <c r="I78" s="37"/>
      <c r="J78" s="37"/>
      <c r="K78" s="37"/>
      <c r="L78" s="37"/>
      <c r="M78" s="37"/>
    </row>
    <row r="79" spans="2:13" ht="15" customHeight="1">
      <c r="B79" s="85" t="s">
        <v>509</v>
      </c>
      <c r="C79" s="79" t="s">
        <v>79</v>
      </c>
      <c r="D79" s="79" t="s">
        <v>248</v>
      </c>
      <c r="E79" s="416" t="s">
        <v>63</v>
      </c>
      <c r="F79" s="429"/>
      <c r="G79" s="429"/>
      <c r="H79" s="429"/>
      <c r="I79" s="429"/>
      <c r="J79" s="429"/>
      <c r="K79" s="429"/>
      <c r="L79" s="429"/>
      <c r="M79" s="430"/>
    </row>
    <row r="80" spans="2:13" ht="15" customHeight="1">
      <c r="B80" s="72" t="s">
        <v>510</v>
      </c>
      <c r="C80" s="245"/>
      <c r="D80" s="75" t="s">
        <v>511</v>
      </c>
      <c r="E80" s="417" t="s">
        <v>512</v>
      </c>
      <c r="F80" s="431"/>
      <c r="G80" s="431"/>
      <c r="H80" s="431"/>
      <c r="I80" s="431"/>
      <c r="J80" s="431"/>
      <c r="K80" s="431"/>
      <c r="L80" s="431"/>
      <c r="M80" s="432"/>
    </row>
    <row r="81" spans="2:13" ht="15" customHeight="1">
      <c r="B81" s="72" t="s">
        <v>513</v>
      </c>
      <c r="C81" s="240"/>
      <c r="D81" s="75" t="s">
        <v>446</v>
      </c>
      <c r="E81" s="417"/>
      <c r="F81" s="431"/>
      <c r="G81" s="431"/>
      <c r="H81" s="431"/>
      <c r="I81" s="431"/>
      <c r="J81" s="431"/>
      <c r="K81" s="431"/>
      <c r="L81" s="431"/>
      <c r="M81" s="432"/>
    </row>
    <row r="82" spans="2:13" ht="15" customHeight="1">
      <c r="B82" s="72" t="s">
        <v>514</v>
      </c>
      <c r="C82" s="245"/>
      <c r="D82" s="75" t="s">
        <v>511</v>
      </c>
      <c r="E82" s="417"/>
      <c r="F82" s="431"/>
      <c r="G82" s="431"/>
      <c r="H82" s="431"/>
      <c r="I82" s="431"/>
      <c r="J82" s="431"/>
      <c r="K82" s="431"/>
      <c r="L82" s="431"/>
      <c r="M82" s="432"/>
    </row>
    <row r="83" spans="2:13" ht="15" customHeight="1">
      <c r="B83" s="72" t="s">
        <v>515</v>
      </c>
      <c r="C83" s="240"/>
      <c r="D83" s="75" t="s">
        <v>446</v>
      </c>
      <c r="E83" s="417"/>
      <c r="F83" s="431"/>
      <c r="G83" s="431"/>
      <c r="H83" s="431"/>
      <c r="I83" s="431"/>
      <c r="J83" s="431"/>
      <c r="K83" s="431"/>
      <c r="L83" s="431"/>
      <c r="M83" s="432"/>
    </row>
    <row r="84" spans="2:13" ht="15" customHeight="1">
      <c r="B84" s="72" t="s">
        <v>516</v>
      </c>
      <c r="C84" s="246">
        <f ca="1">SUM(E118:INDEX(E118:AR118,1,C76))</f>
        <v>27375000</v>
      </c>
      <c r="D84" s="74" t="str">
        <f>C7</f>
        <v>kWh</v>
      </c>
      <c r="E84" s="417"/>
      <c r="F84" s="431"/>
      <c r="G84" s="431"/>
      <c r="H84" s="431"/>
      <c r="I84" s="431"/>
      <c r="J84" s="431"/>
      <c r="K84" s="431"/>
      <c r="L84" s="431"/>
      <c r="M84" s="432"/>
    </row>
    <row r="85" spans="2:13" ht="15" customHeight="1">
      <c r="B85" s="88" t="s">
        <v>517</v>
      </c>
      <c r="C85" s="246">
        <f ca="1">IF(C77=0,SUM(E118:INDEX(E118:AR118,1,C73)),SUM(E118:INDEX(E118:AR118,1,C77)))</f>
        <v>27375000</v>
      </c>
      <c r="D85" s="74" t="str">
        <f>C7</f>
        <v>kWh</v>
      </c>
      <c r="E85" s="417"/>
      <c r="F85" s="431"/>
      <c r="G85" s="431"/>
      <c r="H85" s="431"/>
      <c r="I85" s="431"/>
      <c r="J85" s="431"/>
      <c r="K85" s="431"/>
      <c r="L85" s="431"/>
      <c r="M85" s="432"/>
    </row>
    <row r="86" spans="2:13" ht="15" customHeight="1">
      <c r="B86" s="89" t="s">
        <v>518</v>
      </c>
      <c r="C86" s="96">
        <f ca="1">C85/C84</f>
        <v>1</v>
      </c>
      <c r="D86" s="82"/>
      <c r="E86" s="418"/>
      <c r="F86" s="433"/>
      <c r="G86" s="433"/>
      <c r="H86" s="433"/>
      <c r="I86" s="433"/>
      <c r="J86" s="433"/>
      <c r="K86" s="433"/>
      <c r="L86" s="433"/>
      <c r="M86" s="434"/>
    </row>
    <row r="87" spans="2:13">
      <c r="C87" s="237"/>
      <c r="E87" s="37"/>
      <c r="F87" s="37"/>
      <c r="G87" s="37"/>
      <c r="H87" s="37"/>
      <c r="I87" s="37"/>
      <c r="J87" s="37"/>
      <c r="K87" s="37"/>
      <c r="L87" s="37"/>
      <c r="M87" s="37"/>
    </row>
    <row r="88" spans="2:13" ht="15" customHeight="1">
      <c r="B88" s="85" t="s">
        <v>519</v>
      </c>
      <c r="C88" s="79" t="s">
        <v>79</v>
      </c>
      <c r="D88" s="79" t="s">
        <v>248</v>
      </c>
      <c r="E88" s="416" t="s">
        <v>63</v>
      </c>
      <c r="F88" s="429"/>
      <c r="G88" s="429"/>
      <c r="H88" s="429"/>
      <c r="I88" s="429"/>
      <c r="J88" s="429"/>
      <c r="K88" s="429"/>
      <c r="L88" s="429"/>
      <c r="M88" s="430"/>
    </row>
    <row r="89" spans="2:13" ht="15" customHeight="1">
      <c r="B89" s="72" t="s">
        <v>520</v>
      </c>
      <c r="C89" s="38">
        <v>0.02</v>
      </c>
      <c r="D89" s="75"/>
      <c r="E89" s="417"/>
      <c r="F89" s="431"/>
      <c r="G89" s="431"/>
      <c r="H89" s="431"/>
      <c r="I89" s="431"/>
      <c r="J89" s="431"/>
      <c r="K89" s="431"/>
      <c r="L89" s="431"/>
      <c r="M89" s="432"/>
    </row>
    <row r="90" spans="2:13" ht="15" customHeight="1">
      <c r="B90" s="72" t="s">
        <v>521</v>
      </c>
      <c r="C90" s="247">
        <v>4.2500000000000003E-2</v>
      </c>
      <c r="D90" s="75"/>
      <c r="E90" s="417"/>
      <c r="F90" s="431"/>
      <c r="G90" s="431"/>
      <c r="H90" s="431"/>
      <c r="I90" s="431"/>
      <c r="J90" s="431"/>
      <c r="K90" s="431"/>
      <c r="L90" s="431"/>
      <c r="M90" s="432"/>
    </row>
    <row r="91" spans="2:13" ht="15" customHeight="1">
      <c r="B91" s="72" t="s">
        <v>522</v>
      </c>
      <c r="C91" s="247">
        <v>6.5000000000000002E-2</v>
      </c>
      <c r="D91" s="75"/>
      <c r="E91" s="417"/>
      <c r="F91" s="431"/>
      <c r="G91" s="431"/>
      <c r="H91" s="431"/>
      <c r="I91" s="431"/>
      <c r="J91" s="431"/>
      <c r="K91" s="431"/>
      <c r="L91" s="431"/>
      <c r="M91" s="432"/>
    </row>
    <row r="92" spans="2:13" ht="15" customHeight="1">
      <c r="B92" s="87" t="s">
        <v>523</v>
      </c>
      <c r="C92" s="235">
        <f>100%-C93</f>
        <v>0.7</v>
      </c>
      <c r="D92" s="75"/>
      <c r="E92" s="417"/>
      <c r="F92" s="431"/>
      <c r="G92" s="431"/>
      <c r="H92" s="431"/>
      <c r="I92" s="431"/>
      <c r="J92" s="431"/>
      <c r="K92" s="431"/>
      <c r="L92" s="431"/>
      <c r="M92" s="432"/>
    </row>
    <row r="93" spans="2:13" ht="15" customHeight="1">
      <c r="B93" s="72" t="s">
        <v>524</v>
      </c>
      <c r="C93" s="248">
        <v>0.3</v>
      </c>
      <c r="D93" s="75"/>
      <c r="E93" s="417"/>
      <c r="F93" s="431"/>
      <c r="G93" s="431"/>
      <c r="H93" s="431"/>
      <c r="I93" s="431"/>
      <c r="J93" s="431"/>
      <c r="K93" s="431"/>
      <c r="L93" s="431"/>
      <c r="M93" s="432"/>
    </row>
    <row r="94" spans="2:13" ht="15" customHeight="1">
      <c r="B94" s="89" t="s">
        <v>525</v>
      </c>
      <c r="C94" s="249">
        <v>0.19</v>
      </c>
      <c r="D94" s="82"/>
      <c r="E94" s="418"/>
      <c r="F94" s="433"/>
      <c r="G94" s="433"/>
      <c r="H94" s="433"/>
      <c r="I94" s="433"/>
      <c r="J94" s="433"/>
      <c r="K94" s="433"/>
      <c r="L94" s="433"/>
      <c r="M94" s="434"/>
    </row>
    <row r="95" spans="2:13">
      <c r="C95" s="237"/>
      <c r="E95" s="37"/>
      <c r="F95" s="37"/>
      <c r="G95" s="37"/>
      <c r="H95" s="37"/>
      <c r="I95" s="37"/>
      <c r="J95" s="37"/>
      <c r="K95" s="37"/>
      <c r="L95" s="37"/>
      <c r="M95" s="37"/>
    </row>
    <row r="96" spans="2:13" ht="15" customHeight="1">
      <c r="B96" s="85" t="s">
        <v>526</v>
      </c>
      <c r="C96" s="79" t="s">
        <v>79</v>
      </c>
      <c r="D96" s="79" t="s">
        <v>248</v>
      </c>
      <c r="E96" s="416" t="s">
        <v>63</v>
      </c>
      <c r="F96" s="429"/>
      <c r="G96" s="429"/>
      <c r="H96" s="429"/>
      <c r="I96" s="429"/>
      <c r="J96" s="429"/>
      <c r="K96" s="429"/>
      <c r="L96" s="429"/>
      <c r="M96" s="430"/>
    </row>
    <row r="97" spans="1:44" ht="15" customHeight="1">
      <c r="B97" s="72" t="s">
        <v>527</v>
      </c>
      <c r="C97" s="39"/>
      <c r="D97" s="75" t="s">
        <v>528</v>
      </c>
      <c r="E97" s="417"/>
      <c r="F97" s="431"/>
      <c r="G97" s="431"/>
      <c r="H97" s="431"/>
      <c r="I97" s="431"/>
      <c r="J97" s="431"/>
      <c r="K97" s="431"/>
      <c r="L97" s="431"/>
      <c r="M97" s="432"/>
    </row>
    <row r="98" spans="1:44" ht="15" customHeight="1">
      <c r="B98" s="73" t="s">
        <v>529</v>
      </c>
      <c r="C98" s="40"/>
      <c r="D98" s="82" t="s">
        <v>528</v>
      </c>
      <c r="E98" s="418"/>
      <c r="F98" s="433"/>
      <c r="G98" s="433"/>
      <c r="H98" s="433"/>
      <c r="I98" s="433"/>
      <c r="J98" s="433"/>
      <c r="K98" s="433"/>
      <c r="L98" s="433"/>
      <c r="M98" s="434"/>
    </row>
    <row r="99" spans="1:44">
      <c r="C99" s="237"/>
      <c r="E99" s="37"/>
      <c r="F99" s="37"/>
      <c r="G99" s="37"/>
      <c r="H99" s="37"/>
      <c r="I99" s="37"/>
      <c r="J99" s="37"/>
      <c r="K99" s="37"/>
      <c r="L99" s="37"/>
      <c r="M99" s="37"/>
    </row>
    <row r="100" spans="1:44" ht="15" customHeight="1">
      <c r="B100" s="78" t="s">
        <v>530</v>
      </c>
      <c r="C100" s="79" t="s">
        <v>15</v>
      </c>
      <c r="D100" s="79" t="s">
        <v>79</v>
      </c>
      <c r="E100" s="416" t="s">
        <v>63</v>
      </c>
      <c r="F100" s="429"/>
      <c r="G100" s="429"/>
      <c r="H100" s="429"/>
      <c r="I100" s="429"/>
      <c r="J100" s="429"/>
      <c r="K100" s="429"/>
      <c r="L100" s="429"/>
      <c r="M100" s="430"/>
    </row>
    <row r="101" spans="1:44" ht="15" customHeight="1">
      <c r="B101" s="87"/>
      <c r="C101" s="250">
        <v>13</v>
      </c>
      <c r="D101" s="251">
        <v>-32500</v>
      </c>
      <c r="E101" s="417" t="s">
        <v>531</v>
      </c>
      <c r="F101" s="431"/>
      <c r="G101" s="431"/>
      <c r="H101" s="431"/>
      <c r="I101" s="431"/>
      <c r="J101" s="431"/>
      <c r="K101" s="431"/>
      <c r="L101" s="431"/>
      <c r="M101" s="432"/>
    </row>
    <row r="102" spans="1:44" ht="15" customHeight="1">
      <c r="B102" s="90"/>
      <c r="C102" s="252"/>
      <c r="D102" s="253"/>
      <c r="E102" s="418" t="str">
        <f>"De waarde als reële kosten is gedefinieerd in euro van het jaar "&amp;E106&amp;"."</f>
        <v>De waarde als reële kosten is gedefinieerd in euro van het jaar 2026.</v>
      </c>
      <c r="F102" s="433"/>
      <c r="G102" s="433"/>
      <c r="H102" s="433"/>
      <c r="I102" s="433"/>
      <c r="J102" s="433"/>
      <c r="K102" s="433"/>
      <c r="L102" s="433"/>
      <c r="M102" s="434"/>
    </row>
    <row r="103" spans="1:44" ht="15" customHeight="1">
      <c r="B103" s="254" t="s">
        <v>532</v>
      </c>
      <c r="C103" s="255"/>
      <c r="D103" s="256"/>
      <c r="E103" s="422" t="s">
        <v>533</v>
      </c>
      <c r="F103" s="429"/>
      <c r="G103" s="429"/>
      <c r="H103" s="429"/>
      <c r="I103" s="429"/>
      <c r="J103" s="429"/>
      <c r="K103" s="429"/>
      <c r="L103" s="429"/>
      <c r="M103" s="430"/>
    </row>
    <row r="104" spans="1:44" ht="15" customHeight="1">
      <c r="B104" s="73" t="s">
        <v>534</v>
      </c>
      <c r="C104" s="257">
        <v>0</v>
      </c>
      <c r="D104" s="258">
        <v>0.01</v>
      </c>
      <c r="E104" s="418" t="s">
        <v>535</v>
      </c>
      <c r="F104" s="433"/>
      <c r="G104" s="433"/>
      <c r="H104" s="433"/>
      <c r="I104" s="433"/>
      <c r="J104" s="433"/>
      <c r="K104" s="433"/>
      <c r="L104" s="433"/>
      <c r="M104" s="434"/>
    </row>
    <row r="105" spans="1:44">
      <c r="E105" s="41"/>
    </row>
    <row r="106" spans="1:44" s="42" customFormat="1">
      <c r="A106" s="16"/>
      <c r="B106" s="78" t="s">
        <v>536</v>
      </c>
      <c r="C106" s="79"/>
      <c r="D106" s="79" t="s">
        <v>248</v>
      </c>
      <c r="E106" s="79">
        <f>Colofon!C29</f>
        <v>2026</v>
      </c>
      <c r="F106" s="79">
        <f t="shared" ref="F106:AR106" si="0">E106+1</f>
        <v>2027</v>
      </c>
      <c r="G106" s="79">
        <f t="shared" si="0"/>
        <v>2028</v>
      </c>
      <c r="H106" s="79">
        <f t="shared" si="0"/>
        <v>2029</v>
      </c>
      <c r="I106" s="79">
        <f t="shared" si="0"/>
        <v>2030</v>
      </c>
      <c r="J106" s="79">
        <f t="shared" si="0"/>
        <v>2031</v>
      </c>
      <c r="K106" s="79">
        <f t="shared" si="0"/>
        <v>2032</v>
      </c>
      <c r="L106" s="79">
        <f t="shared" si="0"/>
        <v>2033</v>
      </c>
      <c r="M106" s="79">
        <f t="shared" si="0"/>
        <v>2034</v>
      </c>
      <c r="N106" s="79">
        <f t="shared" si="0"/>
        <v>2035</v>
      </c>
      <c r="O106" s="79">
        <f t="shared" si="0"/>
        <v>2036</v>
      </c>
      <c r="P106" s="79">
        <f t="shared" si="0"/>
        <v>2037</v>
      </c>
      <c r="Q106" s="79">
        <f t="shared" si="0"/>
        <v>2038</v>
      </c>
      <c r="R106" s="79">
        <f t="shared" si="0"/>
        <v>2039</v>
      </c>
      <c r="S106" s="79">
        <f t="shared" si="0"/>
        <v>2040</v>
      </c>
      <c r="T106" s="79">
        <f t="shared" si="0"/>
        <v>2041</v>
      </c>
      <c r="U106" s="79">
        <f t="shared" si="0"/>
        <v>2042</v>
      </c>
      <c r="V106" s="79">
        <f t="shared" si="0"/>
        <v>2043</v>
      </c>
      <c r="W106" s="79">
        <f t="shared" si="0"/>
        <v>2044</v>
      </c>
      <c r="X106" s="79">
        <f t="shared" si="0"/>
        <v>2045</v>
      </c>
      <c r="Y106" s="79">
        <f t="shared" si="0"/>
        <v>2046</v>
      </c>
      <c r="Z106" s="79">
        <f t="shared" si="0"/>
        <v>2047</v>
      </c>
      <c r="AA106" s="79">
        <f t="shared" si="0"/>
        <v>2048</v>
      </c>
      <c r="AB106" s="79">
        <f t="shared" si="0"/>
        <v>2049</v>
      </c>
      <c r="AC106" s="79">
        <f t="shared" si="0"/>
        <v>2050</v>
      </c>
      <c r="AD106" s="79">
        <f t="shared" si="0"/>
        <v>2051</v>
      </c>
      <c r="AE106" s="79">
        <f t="shared" si="0"/>
        <v>2052</v>
      </c>
      <c r="AF106" s="79">
        <f t="shared" si="0"/>
        <v>2053</v>
      </c>
      <c r="AG106" s="79">
        <f t="shared" si="0"/>
        <v>2054</v>
      </c>
      <c r="AH106" s="79">
        <f t="shared" si="0"/>
        <v>2055</v>
      </c>
      <c r="AI106" s="79">
        <f t="shared" si="0"/>
        <v>2056</v>
      </c>
      <c r="AJ106" s="79">
        <f t="shared" si="0"/>
        <v>2057</v>
      </c>
      <c r="AK106" s="79">
        <f t="shared" si="0"/>
        <v>2058</v>
      </c>
      <c r="AL106" s="79">
        <f t="shared" si="0"/>
        <v>2059</v>
      </c>
      <c r="AM106" s="79">
        <f t="shared" si="0"/>
        <v>2060</v>
      </c>
      <c r="AN106" s="79">
        <f t="shared" si="0"/>
        <v>2061</v>
      </c>
      <c r="AO106" s="79">
        <f t="shared" si="0"/>
        <v>2062</v>
      </c>
      <c r="AP106" s="79">
        <f t="shared" si="0"/>
        <v>2063</v>
      </c>
      <c r="AQ106" s="79">
        <f t="shared" si="0"/>
        <v>2064</v>
      </c>
      <c r="AR106" s="91">
        <f t="shared" si="0"/>
        <v>2065</v>
      </c>
    </row>
    <row r="107" spans="1:44" s="43" customFormat="1" ht="13.5" customHeight="1">
      <c r="B107" s="423" t="s">
        <v>537</v>
      </c>
      <c r="C107" s="424"/>
      <c r="D107" s="259" t="str">
        <f>CONCATENATE("Euro/",$C$7)</f>
        <v>Euro/kWh</v>
      </c>
      <c r="E107" s="227"/>
      <c r="F107" s="228">
        <f t="shared" ref="F107:AR107" si="1">IF(F$112&lt;=$C76,$E$107,)</f>
        <v>0</v>
      </c>
      <c r="G107" s="228">
        <f t="shared" si="1"/>
        <v>0</v>
      </c>
      <c r="H107" s="228">
        <f t="shared" si="1"/>
        <v>0</v>
      </c>
      <c r="I107" s="228">
        <f t="shared" si="1"/>
        <v>0</v>
      </c>
      <c r="J107" s="228">
        <f t="shared" si="1"/>
        <v>0</v>
      </c>
      <c r="K107" s="228">
        <f t="shared" si="1"/>
        <v>0</v>
      </c>
      <c r="L107" s="228">
        <f t="shared" si="1"/>
        <v>0</v>
      </c>
      <c r="M107" s="228">
        <f t="shared" si="1"/>
        <v>0</v>
      </c>
      <c r="N107" s="228">
        <f t="shared" si="1"/>
        <v>0</v>
      </c>
      <c r="O107" s="228">
        <f t="shared" si="1"/>
        <v>0</v>
      </c>
      <c r="P107" s="228">
        <f t="shared" si="1"/>
        <v>0</v>
      </c>
      <c r="Q107" s="228">
        <f t="shared" si="1"/>
        <v>0</v>
      </c>
      <c r="R107" s="228">
        <f t="shared" si="1"/>
        <v>0</v>
      </c>
      <c r="S107" s="228">
        <f t="shared" si="1"/>
        <v>0</v>
      </c>
      <c r="T107" s="228">
        <f t="shared" si="1"/>
        <v>0</v>
      </c>
      <c r="U107" s="228">
        <f t="shared" si="1"/>
        <v>0</v>
      </c>
      <c r="V107" s="228">
        <f t="shared" si="1"/>
        <v>0</v>
      </c>
      <c r="W107" s="228">
        <f t="shared" si="1"/>
        <v>0</v>
      </c>
      <c r="X107" s="228">
        <f t="shared" si="1"/>
        <v>0</v>
      </c>
      <c r="Y107" s="228">
        <f t="shared" si="1"/>
        <v>0</v>
      </c>
      <c r="Z107" s="228">
        <f t="shared" si="1"/>
        <v>0</v>
      </c>
      <c r="AA107" s="228">
        <f t="shared" si="1"/>
        <v>0</v>
      </c>
      <c r="AB107" s="228">
        <f t="shared" si="1"/>
        <v>0</v>
      </c>
      <c r="AC107" s="228">
        <f t="shared" si="1"/>
        <v>0</v>
      </c>
      <c r="AD107" s="228">
        <f t="shared" si="1"/>
        <v>0</v>
      </c>
      <c r="AE107" s="228">
        <f t="shared" si="1"/>
        <v>0</v>
      </c>
      <c r="AF107" s="228">
        <f t="shared" si="1"/>
        <v>0</v>
      </c>
      <c r="AG107" s="228">
        <f t="shared" si="1"/>
        <v>0</v>
      </c>
      <c r="AH107" s="228">
        <f t="shared" si="1"/>
        <v>0</v>
      </c>
      <c r="AI107" s="228">
        <f t="shared" si="1"/>
        <v>0</v>
      </c>
      <c r="AJ107" s="228">
        <f t="shared" si="1"/>
        <v>0</v>
      </c>
      <c r="AK107" s="228">
        <f t="shared" si="1"/>
        <v>0</v>
      </c>
      <c r="AL107" s="228">
        <f t="shared" si="1"/>
        <v>0</v>
      </c>
      <c r="AM107" s="228">
        <f t="shared" si="1"/>
        <v>0</v>
      </c>
      <c r="AN107" s="228">
        <f t="shared" si="1"/>
        <v>0</v>
      </c>
      <c r="AO107" s="228">
        <f t="shared" si="1"/>
        <v>0</v>
      </c>
      <c r="AP107" s="228">
        <f t="shared" si="1"/>
        <v>0</v>
      </c>
      <c r="AQ107" s="228">
        <f t="shared" si="1"/>
        <v>0</v>
      </c>
      <c r="AR107" s="228">
        <f t="shared" si="1"/>
        <v>0</v>
      </c>
    </row>
    <row r="108" spans="1:44" s="43" customFormat="1" ht="13.5" customHeight="1">
      <c r="B108" s="425" t="s">
        <v>538</v>
      </c>
      <c r="C108" s="424"/>
      <c r="D108" s="259" t="str">
        <f>CONCATENATE("Euro/",$C$7)</f>
        <v>Euro/kWh</v>
      </c>
      <c r="E108" s="227"/>
      <c r="F108" s="228">
        <f t="shared" ref="F108:AR108" si="2">IF(F$112&lt;=$C73,$E$108*F109,)</f>
        <v>0</v>
      </c>
      <c r="G108" s="228">
        <f t="shared" si="2"/>
        <v>0</v>
      </c>
      <c r="H108" s="228">
        <f t="shared" si="2"/>
        <v>0</v>
      </c>
      <c r="I108" s="228">
        <f t="shared" si="2"/>
        <v>0</v>
      </c>
      <c r="J108" s="228">
        <f t="shared" si="2"/>
        <v>0</v>
      </c>
      <c r="K108" s="228">
        <f t="shared" si="2"/>
        <v>0</v>
      </c>
      <c r="L108" s="228">
        <f t="shared" si="2"/>
        <v>0</v>
      </c>
      <c r="M108" s="228">
        <f t="shared" si="2"/>
        <v>0</v>
      </c>
      <c r="N108" s="228">
        <f t="shared" si="2"/>
        <v>0</v>
      </c>
      <c r="O108" s="228">
        <f t="shared" si="2"/>
        <v>0</v>
      </c>
      <c r="P108" s="228">
        <f t="shared" si="2"/>
        <v>0</v>
      </c>
      <c r="Q108" s="228">
        <f t="shared" si="2"/>
        <v>0</v>
      </c>
      <c r="R108" s="228">
        <f t="shared" si="2"/>
        <v>0</v>
      </c>
      <c r="S108" s="228">
        <f t="shared" si="2"/>
        <v>0</v>
      </c>
      <c r="T108" s="228">
        <f t="shared" si="2"/>
        <v>0</v>
      </c>
      <c r="U108" s="228">
        <f t="shared" si="2"/>
        <v>0</v>
      </c>
      <c r="V108" s="228">
        <f t="shared" si="2"/>
        <v>0</v>
      </c>
      <c r="W108" s="228">
        <f t="shared" si="2"/>
        <v>0</v>
      </c>
      <c r="X108" s="228">
        <f t="shared" si="2"/>
        <v>0</v>
      </c>
      <c r="Y108" s="228">
        <f t="shared" si="2"/>
        <v>0</v>
      </c>
      <c r="Z108" s="228">
        <f t="shared" si="2"/>
        <v>0</v>
      </c>
      <c r="AA108" s="228">
        <f t="shared" si="2"/>
        <v>0</v>
      </c>
      <c r="AB108" s="228">
        <f t="shared" si="2"/>
        <v>0</v>
      </c>
      <c r="AC108" s="228">
        <f t="shared" si="2"/>
        <v>0</v>
      </c>
      <c r="AD108" s="228">
        <f t="shared" si="2"/>
        <v>0</v>
      </c>
      <c r="AE108" s="228">
        <f t="shared" si="2"/>
        <v>0</v>
      </c>
      <c r="AF108" s="228">
        <f t="shared" si="2"/>
        <v>0</v>
      </c>
      <c r="AG108" s="228">
        <f t="shared" si="2"/>
        <v>0</v>
      </c>
      <c r="AH108" s="228">
        <f t="shared" si="2"/>
        <v>0</v>
      </c>
      <c r="AI108" s="228">
        <f t="shared" si="2"/>
        <v>0</v>
      </c>
      <c r="AJ108" s="228">
        <f t="shared" si="2"/>
        <v>0</v>
      </c>
      <c r="AK108" s="228">
        <f t="shared" si="2"/>
        <v>0</v>
      </c>
      <c r="AL108" s="228">
        <f t="shared" si="2"/>
        <v>0</v>
      </c>
      <c r="AM108" s="228">
        <f t="shared" si="2"/>
        <v>0</v>
      </c>
      <c r="AN108" s="228">
        <f t="shared" si="2"/>
        <v>0</v>
      </c>
      <c r="AO108" s="228">
        <f t="shared" si="2"/>
        <v>0</v>
      </c>
      <c r="AP108" s="228">
        <f t="shared" si="2"/>
        <v>0</v>
      </c>
      <c r="AQ108" s="228">
        <f t="shared" si="2"/>
        <v>0</v>
      </c>
      <c r="AR108" s="228">
        <f t="shared" si="2"/>
        <v>0</v>
      </c>
    </row>
    <row r="109" spans="1:44">
      <c r="B109" s="90" t="s">
        <v>539</v>
      </c>
      <c r="C109" s="260"/>
      <c r="D109" s="260" t="s">
        <v>540</v>
      </c>
      <c r="E109" s="97">
        <f t="shared" ref="E109:AR109" si="3">POWER(1+$C$89,E112-$E$112)</f>
        <v>1</v>
      </c>
      <c r="F109" s="97">
        <f t="shared" si="3"/>
        <v>1.02</v>
      </c>
      <c r="G109" s="97">
        <f t="shared" si="3"/>
        <v>1.0404</v>
      </c>
      <c r="H109" s="97">
        <f t="shared" si="3"/>
        <v>1.0612079999999999</v>
      </c>
      <c r="I109" s="97">
        <f t="shared" si="3"/>
        <v>1.08243216</v>
      </c>
      <c r="J109" s="97">
        <f t="shared" si="3"/>
        <v>1.1040808032</v>
      </c>
      <c r="K109" s="97">
        <f t="shared" si="3"/>
        <v>1.1261624192640001</v>
      </c>
      <c r="L109" s="97">
        <f t="shared" si="3"/>
        <v>1.1486856676492798</v>
      </c>
      <c r="M109" s="97">
        <f t="shared" si="3"/>
        <v>1.1716593810022655</v>
      </c>
      <c r="N109" s="97">
        <f t="shared" si="3"/>
        <v>1.1950925686223108</v>
      </c>
      <c r="O109" s="97">
        <f t="shared" si="3"/>
        <v>1.2189944199947571</v>
      </c>
      <c r="P109" s="97">
        <f t="shared" si="3"/>
        <v>1.243374308394652</v>
      </c>
      <c r="Q109" s="97">
        <f t="shared" si="3"/>
        <v>1.2682417945625453</v>
      </c>
      <c r="R109" s="97">
        <f t="shared" si="3"/>
        <v>1.2936066304537961</v>
      </c>
      <c r="S109" s="97">
        <f t="shared" si="3"/>
        <v>1.3194787630628722</v>
      </c>
      <c r="T109" s="97">
        <f t="shared" si="3"/>
        <v>1.3458683383241292</v>
      </c>
      <c r="U109" s="97">
        <f t="shared" si="3"/>
        <v>1.372785705090612</v>
      </c>
      <c r="V109" s="97">
        <f t="shared" si="3"/>
        <v>1.4002414191924244</v>
      </c>
      <c r="W109" s="97">
        <f t="shared" si="3"/>
        <v>1.4282462475762727</v>
      </c>
      <c r="X109" s="97">
        <f t="shared" si="3"/>
        <v>1.4568111725277981</v>
      </c>
      <c r="Y109" s="97">
        <f t="shared" si="3"/>
        <v>1.4859473959783542</v>
      </c>
      <c r="Z109" s="97">
        <f t="shared" si="3"/>
        <v>1.5156663438979212</v>
      </c>
      <c r="AA109" s="97">
        <f t="shared" si="3"/>
        <v>1.5459796707758797</v>
      </c>
      <c r="AB109" s="97">
        <f t="shared" si="3"/>
        <v>1.576899264191397</v>
      </c>
      <c r="AC109" s="97">
        <f t="shared" si="3"/>
        <v>1.608437249475225</v>
      </c>
      <c r="AD109" s="97">
        <f t="shared" si="3"/>
        <v>1.6406059944647295</v>
      </c>
      <c r="AE109" s="97">
        <f t="shared" si="3"/>
        <v>1.6734181143540243</v>
      </c>
      <c r="AF109" s="97">
        <f t="shared" si="3"/>
        <v>1.7068864766411045</v>
      </c>
      <c r="AG109" s="97">
        <f t="shared" si="3"/>
        <v>1.7410242061739269</v>
      </c>
      <c r="AH109" s="97">
        <f t="shared" si="3"/>
        <v>1.7758446902974052</v>
      </c>
      <c r="AI109" s="97">
        <f t="shared" si="3"/>
        <v>1.8113615841033535</v>
      </c>
      <c r="AJ109" s="97">
        <f t="shared" si="3"/>
        <v>1.8475888157854201</v>
      </c>
      <c r="AK109" s="97">
        <f t="shared" si="3"/>
        <v>1.8845405921011289</v>
      </c>
      <c r="AL109" s="97">
        <f t="shared" si="3"/>
        <v>1.9222314039431516</v>
      </c>
      <c r="AM109" s="97">
        <f t="shared" si="3"/>
        <v>1.9606760320220145</v>
      </c>
      <c r="AN109" s="97">
        <f t="shared" si="3"/>
        <v>1.9998895526624547</v>
      </c>
      <c r="AO109" s="97">
        <f t="shared" si="3"/>
        <v>2.0398873437157037</v>
      </c>
      <c r="AP109" s="97">
        <f t="shared" si="3"/>
        <v>2.080685090590018</v>
      </c>
      <c r="AQ109" s="97">
        <f t="shared" si="3"/>
        <v>2.1222987924018186</v>
      </c>
      <c r="AR109" s="98">
        <f t="shared" si="3"/>
        <v>2.1647447682498542</v>
      </c>
    </row>
    <row r="110" spans="1:44" ht="12.95" customHeight="1"/>
    <row r="111" spans="1:44" ht="12.95" customHeight="1">
      <c r="B111" s="328" t="s">
        <v>541</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2"/>
    </row>
    <row r="112" spans="1:44" ht="12.95" customHeight="1">
      <c r="B112" s="263" t="s">
        <v>542</v>
      </c>
      <c r="C112" s="220"/>
      <c r="D112" s="221">
        <v>0</v>
      </c>
      <c r="E112" s="221">
        <v>1</v>
      </c>
      <c r="F112" s="221">
        <v>2</v>
      </c>
      <c r="G112" s="221">
        <v>3</v>
      </c>
      <c r="H112" s="221">
        <v>4</v>
      </c>
      <c r="I112" s="221">
        <v>5</v>
      </c>
      <c r="J112" s="221">
        <v>6</v>
      </c>
      <c r="K112" s="221">
        <v>7</v>
      </c>
      <c r="L112" s="221">
        <v>8</v>
      </c>
      <c r="M112" s="221">
        <v>9</v>
      </c>
      <c r="N112" s="221">
        <v>10</v>
      </c>
      <c r="O112" s="221">
        <v>11</v>
      </c>
      <c r="P112" s="221">
        <v>12</v>
      </c>
      <c r="Q112" s="221">
        <v>13</v>
      </c>
      <c r="R112" s="221">
        <v>14</v>
      </c>
      <c r="S112" s="221">
        <v>15</v>
      </c>
      <c r="T112" s="221">
        <v>16</v>
      </c>
      <c r="U112" s="221">
        <v>17</v>
      </c>
      <c r="V112" s="221">
        <v>18</v>
      </c>
      <c r="W112" s="221">
        <v>19</v>
      </c>
      <c r="X112" s="221">
        <v>20</v>
      </c>
      <c r="Y112" s="221">
        <v>21</v>
      </c>
      <c r="Z112" s="221">
        <v>22</v>
      </c>
      <c r="AA112" s="221">
        <v>23</v>
      </c>
      <c r="AB112" s="221">
        <v>24</v>
      </c>
      <c r="AC112" s="221">
        <v>25</v>
      </c>
      <c r="AD112" s="221">
        <v>26</v>
      </c>
      <c r="AE112" s="221">
        <v>27</v>
      </c>
      <c r="AF112" s="221">
        <v>28</v>
      </c>
      <c r="AG112" s="221">
        <v>29</v>
      </c>
      <c r="AH112" s="221">
        <v>30</v>
      </c>
      <c r="AI112" s="221">
        <v>31</v>
      </c>
      <c r="AJ112" s="221">
        <v>32</v>
      </c>
      <c r="AK112" s="221">
        <v>33</v>
      </c>
      <c r="AL112" s="221">
        <v>34</v>
      </c>
      <c r="AM112" s="221">
        <v>35</v>
      </c>
      <c r="AN112" s="221">
        <v>36</v>
      </c>
      <c r="AO112" s="221">
        <v>37</v>
      </c>
      <c r="AP112" s="221">
        <v>38</v>
      </c>
      <c r="AQ112" s="221">
        <v>39</v>
      </c>
      <c r="AR112" s="264">
        <v>40</v>
      </c>
    </row>
    <row r="113" spans="2:44" ht="12.95" customHeight="1">
      <c r="B113" s="72" t="s">
        <v>543</v>
      </c>
      <c r="C113" s="222" t="s">
        <v>528</v>
      </c>
      <c r="D113" s="306">
        <f>-C152</f>
        <v>-1397212.4999999998</v>
      </c>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8"/>
    </row>
    <row r="114" spans="2:44" ht="12.95" customHeight="1">
      <c r="B114" s="263" t="s">
        <v>544</v>
      </c>
      <c r="C114" s="22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row>
    <row r="115" spans="2:44">
      <c r="B115" s="72" t="s">
        <v>545</v>
      </c>
      <c r="C115" s="224" t="str">
        <f>$C$7</f>
        <v>kWh</v>
      </c>
      <c r="D115" s="311"/>
      <c r="E115" s="312">
        <f t="shared" ref="E115:AR115" si="4">IF(E112&lt;=$C$76,$C$28*$C$30,IF(AND(E112&gt;$C$76,E112&lt;=$C$73),$C$28*$C$81,0))*IF($C$33=0,1,$C$34/$C$33)</f>
        <v>1825000</v>
      </c>
      <c r="F115" s="312">
        <f t="shared" si="4"/>
        <v>1825000</v>
      </c>
      <c r="G115" s="312">
        <f t="shared" si="4"/>
        <v>1825000</v>
      </c>
      <c r="H115" s="312">
        <f t="shared" si="4"/>
        <v>1825000</v>
      </c>
      <c r="I115" s="312">
        <f t="shared" si="4"/>
        <v>1825000</v>
      </c>
      <c r="J115" s="312">
        <f t="shared" si="4"/>
        <v>1825000</v>
      </c>
      <c r="K115" s="312">
        <f t="shared" si="4"/>
        <v>1825000</v>
      </c>
      <c r="L115" s="312">
        <f t="shared" si="4"/>
        <v>1825000</v>
      </c>
      <c r="M115" s="312">
        <f t="shared" si="4"/>
        <v>1825000</v>
      </c>
      <c r="N115" s="312">
        <f t="shared" si="4"/>
        <v>1825000</v>
      </c>
      <c r="O115" s="312">
        <f t="shared" si="4"/>
        <v>1825000</v>
      </c>
      <c r="P115" s="312">
        <f t="shared" si="4"/>
        <v>1825000</v>
      </c>
      <c r="Q115" s="312">
        <f t="shared" si="4"/>
        <v>1825000</v>
      </c>
      <c r="R115" s="312">
        <f t="shared" si="4"/>
        <v>1825000</v>
      </c>
      <c r="S115" s="312">
        <f t="shared" si="4"/>
        <v>1825000</v>
      </c>
      <c r="T115" s="312">
        <f t="shared" si="4"/>
        <v>0</v>
      </c>
      <c r="U115" s="312">
        <f t="shared" si="4"/>
        <v>0</v>
      </c>
      <c r="V115" s="312">
        <f t="shared" si="4"/>
        <v>0</v>
      </c>
      <c r="W115" s="312">
        <f t="shared" si="4"/>
        <v>0</v>
      </c>
      <c r="X115" s="312">
        <f t="shared" si="4"/>
        <v>0</v>
      </c>
      <c r="Y115" s="312">
        <f t="shared" si="4"/>
        <v>0</v>
      </c>
      <c r="Z115" s="312">
        <f t="shared" si="4"/>
        <v>0</v>
      </c>
      <c r="AA115" s="312">
        <f t="shared" si="4"/>
        <v>0</v>
      </c>
      <c r="AB115" s="312">
        <f t="shared" si="4"/>
        <v>0</v>
      </c>
      <c r="AC115" s="312">
        <f t="shared" si="4"/>
        <v>0</v>
      </c>
      <c r="AD115" s="312">
        <f t="shared" si="4"/>
        <v>0</v>
      </c>
      <c r="AE115" s="312">
        <f t="shared" si="4"/>
        <v>0</v>
      </c>
      <c r="AF115" s="312">
        <f t="shared" si="4"/>
        <v>0</v>
      </c>
      <c r="AG115" s="312">
        <f t="shared" si="4"/>
        <v>0</v>
      </c>
      <c r="AH115" s="312">
        <f t="shared" si="4"/>
        <v>0</v>
      </c>
      <c r="AI115" s="312">
        <f t="shared" si="4"/>
        <v>0</v>
      </c>
      <c r="AJ115" s="312">
        <f t="shared" si="4"/>
        <v>0</v>
      </c>
      <c r="AK115" s="312">
        <f t="shared" si="4"/>
        <v>0</v>
      </c>
      <c r="AL115" s="312">
        <f t="shared" si="4"/>
        <v>0</v>
      </c>
      <c r="AM115" s="312">
        <f t="shared" si="4"/>
        <v>0</v>
      </c>
      <c r="AN115" s="312">
        <f t="shared" si="4"/>
        <v>0</v>
      </c>
      <c r="AO115" s="312">
        <f t="shared" si="4"/>
        <v>0</v>
      </c>
      <c r="AP115" s="312">
        <f t="shared" si="4"/>
        <v>0</v>
      </c>
      <c r="AQ115" s="312">
        <f t="shared" si="4"/>
        <v>0</v>
      </c>
      <c r="AR115" s="313">
        <f t="shared" si="4"/>
        <v>0</v>
      </c>
    </row>
    <row r="116" spans="2:44">
      <c r="B116" s="72" t="s">
        <v>546</v>
      </c>
      <c r="C116" s="224" t="str">
        <f>$C$7</f>
        <v>kWh</v>
      </c>
      <c r="D116" s="311"/>
      <c r="E116" s="312">
        <f t="shared" ref="E116:AR116" si="5">IF($C$23="Ja",0,IF(E112&lt;=$C$76,$C$26*$C$29,IF(AND(E112&gt;$C$76,E112&lt;=$C$73),$C$26*$C$83,0)))</f>
        <v>0</v>
      </c>
      <c r="F116" s="312">
        <f t="shared" si="5"/>
        <v>0</v>
      </c>
      <c r="G116" s="312">
        <f t="shared" si="5"/>
        <v>0</v>
      </c>
      <c r="H116" s="312">
        <f t="shared" si="5"/>
        <v>0</v>
      </c>
      <c r="I116" s="312">
        <f t="shared" si="5"/>
        <v>0</v>
      </c>
      <c r="J116" s="312">
        <f t="shared" si="5"/>
        <v>0</v>
      </c>
      <c r="K116" s="312">
        <f t="shared" si="5"/>
        <v>0</v>
      </c>
      <c r="L116" s="312">
        <f t="shared" si="5"/>
        <v>0</v>
      </c>
      <c r="M116" s="312">
        <f t="shared" si="5"/>
        <v>0</v>
      </c>
      <c r="N116" s="312">
        <f t="shared" si="5"/>
        <v>0</v>
      </c>
      <c r="O116" s="312">
        <f t="shared" si="5"/>
        <v>0</v>
      </c>
      <c r="P116" s="312">
        <f t="shared" si="5"/>
        <v>0</v>
      </c>
      <c r="Q116" s="312">
        <f t="shared" si="5"/>
        <v>0</v>
      </c>
      <c r="R116" s="312">
        <f t="shared" si="5"/>
        <v>0</v>
      </c>
      <c r="S116" s="312">
        <f t="shared" si="5"/>
        <v>0</v>
      </c>
      <c r="T116" s="312">
        <f t="shared" si="5"/>
        <v>0</v>
      </c>
      <c r="U116" s="312">
        <f t="shared" si="5"/>
        <v>0</v>
      </c>
      <c r="V116" s="312">
        <f t="shared" si="5"/>
        <v>0</v>
      </c>
      <c r="W116" s="312">
        <f t="shared" si="5"/>
        <v>0</v>
      </c>
      <c r="X116" s="312">
        <f t="shared" si="5"/>
        <v>0</v>
      </c>
      <c r="Y116" s="312">
        <f t="shared" si="5"/>
        <v>0</v>
      </c>
      <c r="Z116" s="312">
        <f t="shared" si="5"/>
        <v>0</v>
      </c>
      <c r="AA116" s="312">
        <f t="shared" si="5"/>
        <v>0</v>
      </c>
      <c r="AB116" s="312">
        <f t="shared" si="5"/>
        <v>0</v>
      </c>
      <c r="AC116" s="312">
        <f t="shared" si="5"/>
        <v>0</v>
      </c>
      <c r="AD116" s="312">
        <f t="shared" si="5"/>
        <v>0</v>
      </c>
      <c r="AE116" s="312">
        <f t="shared" si="5"/>
        <v>0</v>
      </c>
      <c r="AF116" s="312">
        <f t="shared" si="5"/>
        <v>0</v>
      </c>
      <c r="AG116" s="312">
        <f t="shared" si="5"/>
        <v>0</v>
      </c>
      <c r="AH116" s="312">
        <f t="shared" si="5"/>
        <v>0</v>
      </c>
      <c r="AI116" s="312">
        <f t="shared" si="5"/>
        <v>0</v>
      </c>
      <c r="AJ116" s="312">
        <f t="shared" si="5"/>
        <v>0</v>
      </c>
      <c r="AK116" s="312">
        <f t="shared" si="5"/>
        <v>0</v>
      </c>
      <c r="AL116" s="312">
        <f t="shared" si="5"/>
        <v>0</v>
      </c>
      <c r="AM116" s="312">
        <f t="shared" si="5"/>
        <v>0</v>
      </c>
      <c r="AN116" s="312">
        <f t="shared" si="5"/>
        <v>0</v>
      </c>
      <c r="AO116" s="312">
        <f t="shared" si="5"/>
        <v>0</v>
      </c>
      <c r="AP116" s="312">
        <f t="shared" si="5"/>
        <v>0</v>
      </c>
      <c r="AQ116" s="312">
        <f t="shared" si="5"/>
        <v>0</v>
      </c>
      <c r="AR116" s="313">
        <f t="shared" si="5"/>
        <v>0</v>
      </c>
    </row>
    <row r="117" spans="2:44">
      <c r="B117" s="72" t="s">
        <v>547</v>
      </c>
      <c r="C117" s="222" t="s">
        <v>548</v>
      </c>
      <c r="D117" s="311"/>
      <c r="E117" s="312">
        <f t="shared" ref="E117:AR117" si="6">IF(OR(E112&gt;$C$73,$C$23&lt;&gt;"JA"),0,$C$26*$C$29*$C$184/$C$183)</f>
        <v>0</v>
      </c>
      <c r="F117" s="312">
        <f t="shared" si="6"/>
        <v>0</v>
      </c>
      <c r="G117" s="312">
        <f t="shared" si="6"/>
        <v>0</v>
      </c>
      <c r="H117" s="312">
        <f t="shared" si="6"/>
        <v>0</v>
      </c>
      <c r="I117" s="312">
        <f t="shared" si="6"/>
        <v>0</v>
      </c>
      <c r="J117" s="312">
        <f t="shared" si="6"/>
        <v>0</v>
      </c>
      <c r="K117" s="312">
        <f t="shared" si="6"/>
        <v>0</v>
      </c>
      <c r="L117" s="312">
        <f t="shared" si="6"/>
        <v>0</v>
      </c>
      <c r="M117" s="312">
        <f t="shared" si="6"/>
        <v>0</v>
      </c>
      <c r="N117" s="312">
        <f t="shared" si="6"/>
        <v>0</v>
      </c>
      <c r="O117" s="312">
        <f t="shared" si="6"/>
        <v>0</v>
      </c>
      <c r="P117" s="312">
        <f t="shared" si="6"/>
        <v>0</v>
      </c>
      <c r="Q117" s="312">
        <f t="shared" si="6"/>
        <v>0</v>
      </c>
      <c r="R117" s="312">
        <f t="shared" si="6"/>
        <v>0</v>
      </c>
      <c r="S117" s="312">
        <f t="shared" si="6"/>
        <v>0</v>
      </c>
      <c r="T117" s="312">
        <f t="shared" si="6"/>
        <v>0</v>
      </c>
      <c r="U117" s="312">
        <f t="shared" si="6"/>
        <v>0</v>
      </c>
      <c r="V117" s="312">
        <f t="shared" si="6"/>
        <v>0</v>
      </c>
      <c r="W117" s="312">
        <f t="shared" si="6"/>
        <v>0</v>
      </c>
      <c r="X117" s="312">
        <f t="shared" si="6"/>
        <v>0</v>
      </c>
      <c r="Y117" s="312">
        <f t="shared" si="6"/>
        <v>0</v>
      </c>
      <c r="Z117" s="312">
        <f t="shared" si="6"/>
        <v>0</v>
      </c>
      <c r="AA117" s="312">
        <f t="shared" si="6"/>
        <v>0</v>
      </c>
      <c r="AB117" s="312">
        <f t="shared" si="6"/>
        <v>0</v>
      </c>
      <c r="AC117" s="312">
        <f t="shared" si="6"/>
        <v>0</v>
      </c>
      <c r="AD117" s="312">
        <f t="shared" si="6"/>
        <v>0</v>
      </c>
      <c r="AE117" s="312">
        <f t="shared" si="6"/>
        <v>0</v>
      </c>
      <c r="AF117" s="312">
        <f t="shared" si="6"/>
        <v>0</v>
      </c>
      <c r="AG117" s="312">
        <f t="shared" si="6"/>
        <v>0</v>
      </c>
      <c r="AH117" s="312">
        <f t="shared" si="6"/>
        <v>0</v>
      </c>
      <c r="AI117" s="312">
        <f t="shared" si="6"/>
        <v>0</v>
      </c>
      <c r="AJ117" s="312">
        <f t="shared" si="6"/>
        <v>0</v>
      </c>
      <c r="AK117" s="312">
        <f t="shared" si="6"/>
        <v>0</v>
      </c>
      <c r="AL117" s="312">
        <f t="shared" si="6"/>
        <v>0</v>
      </c>
      <c r="AM117" s="312">
        <f t="shared" si="6"/>
        <v>0</v>
      </c>
      <c r="AN117" s="312">
        <f t="shared" si="6"/>
        <v>0</v>
      </c>
      <c r="AO117" s="312">
        <f t="shared" si="6"/>
        <v>0</v>
      </c>
      <c r="AP117" s="312">
        <f t="shared" si="6"/>
        <v>0</v>
      </c>
      <c r="AQ117" s="312">
        <f t="shared" si="6"/>
        <v>0</v>
      </c>
      <c r="AR117" s="313">
        <f t="shared" si="6"/>
        <v>0</v>
      </c>
    </row>
    <row r="118" spans="2:44">
      <c r="B118" s="265" t="s">
        <v>549</v>
      </c>
      <c r="C118" s="225" t="str">
        <f>$C$7</f>
        <v>kWh</v>
      </c>
      <c r="D118" s="314"/>
      <c r="E118" s="315">
        <f t="shared" ref="E118:AR118" si="7">SUM(E115:E117)</f>
        <v>1825000</v>
      </c>
      <c r="F118" s="315">
        <f t="shared" si="7"/>
        <v>1825000</v>
      </c>
      <c r="G118" s="315">
        <f t="shared" si="7"/>
        <v>1825000</v>
      </c>
      <c r="H118" s="315">
        <f t="shared" si="7"/>
        <v>1825000</v>
      </c>
      <c r="I118" s="315">
        <f t="shared" si="7"/>
        <v>1825000</v>
      </c>
      <c r="J118" s="315">
        <f t="shared" si="7"/>
        <v>1825000</v>
      </c>
      <c r="K118" s="315">
        <f t="shared" si="7"/>
        <v>1825000</v>
      </c>
      <c r="L118" s="315">
        <f t="shared" si="7"/>
        <v>1825000</v>
      </c>
      <c r="M118" s="315">
        <f t="shared" si="7"/>
        <v>1825000</v>
      </c>
      <c r="N118" s="315">
        <f t="shared" si="7"/>
        <v>1825000</v>
      </c>
      <c r="O118" s="315">
        <f t="shared" si="7"/>
        <v>1825000</v>
      </c>
      <c r="P118" s="315">
        <f t="shared" si="7"/>
        <v>1825000</v>
      </c>
      <c r="Q118" s="315">
        <f t="shared" si="7"/>
        <v>1825000</v>
      </c>
      <c r="R118" s="315">
        <f t="shared" si="7"/>
        <v>1825000</v>
      </c>
      <c r="S118" s="315">
        <f t="shared" si="7"/>
        <v>1825000</v>
      </c>
      <c r="T118" s="315">
        <f t="shared" si="7"/>
        <v>0</v>
      </c>
      <c r="U118" s="315">
        <f t="shared" si="7"/>
        <v>0</v>
      </c>
      <c r="V118" s="315">
        <f t="shared" si="7"/>
        <v>0</v>
      </c>
      <c r="W118" s="315">
        <f t="shared" si="7"/>
        <v>0</v>
      </c>
      <c r="X118" s="315">
        <f t="shared" si="7"/>
        <v>0</v>
      </c>
      <c r="Y118" s="315">
        <f t="shared" si="7"/>
        <v>0</v>
      </c>
      <c r="Z118" s="315">
        <f t="shared" si="7"/>
        <v>0</v>
      </c>
      <c r="AA118" s="315">
        <f t="shared" si="7"/>
        <v>0</v>
      </c>
      <c r="AB118" s="315">
        <f t="shared" si="7"/>
        <v>0</v>
      </c>
      <c r="AC118" s="315">
        <f t="shared" si="7"/>
        <v>0</v>
      </c>
      <c r="AD118" s="315">
        <f t="shared" si="7"/>
        <v>0</v>
      </c>
      <c r="AE118" s="315">
        <f t="shared" si="7"/>
        <v>0</v>
      </c>
      <c r="AF118" s="315">
        <f t="shared" si="7"/>
        <v>0</v>
      </c>
      <c r="AG118" s="315">
        <f t="shared" si="7"/>
        <v>0</v>
      </c>
      <c r="AH118" s="315">
        <f t="shared" si="7"/>
        <v>0</v>
      </c>
      <c r="AI118" s="315">
        <f t="shared" si="7"/>
        <v>0</v>
      </c>
      <c r="AJ118" s="315">
        <f t="shared" si="7"/>
        <v>0</v>
      </c>
      <c r="AK118" s="315">
        <f t="shared" si="7"/>
        <v>0</v>
      </c>
      <c r="AL118" s="315">
        <f t="shared" si="7"/>
        <v>0</v>
      </c>
      <c r="AM118" s="315">
        <f t="shared" si="7"/>
        <v>0</v>
      </c>
      <c r="AN118" s="315">
        <f t="shared" si="7"/>
        <v>0</v>
      </c>
      <c r="AO118" s="315">
        <f t="shared" si="7"/>
        <v>0</v>
      </c>
      <c r="AP118" s="315">
        <f t="shared" si="7"/>
        <v>0</v>
      </c>
      <c r="AQ118" s="315">
        <f t="shared" si="7"/>
        <v>0</v>
      </c>
      <c r="AR118" s="316">
        <f t="shared" si="7"/>
        <v>0</v>
      </c>
    </row>
    <row r="119" spans="2:44" ht="12.95" customHeight="1">
      <c r="B119" s="263" t="s">
        <v>550</v>
      </c>
      <c r="C119" s="223"/>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10"/>
    </row>
    <row r="120" spans="2:44">
      <c r="B120" s="72" t="s">
        <v>551</v>
      </c>
      <c r="C120" s="222" t="s">
        <v>528</v>
      </c>
      <c r="D120" s="311"/>
      <c r="E120" s="312">
        <f t="shared" ref="E120:AR120" si="8">IF(E112&gt;$C$73,0,-E109*(($C$42*$C$21+$C$43*SUM($C$26,$C$28))+E118*$C$49))+IF($C$101=E112,$D$101*E109,0)+IF($C$102=E112,$D$102*E109,0)</f>
        <v>-63817.5</v>
      </c>
      <c r="F120" s="312">
        <f t="shared" si="8"/>
        <v>-65093.85</v>
      </c>
      <c r="G120" s="312">
        <f t="shared" si="8"/>
        <v>-66395.726999999999</v>
      </c>
      <c r="H120" s="312">
        <f t="shared" si="8"/>
        <v>-67723.641539999997</v>
      </c>
      <c r="I120" s="312">
        <f t="shared" si="8"/>
        <v>-69078.114370800002</v>
      </c>
      <c r="J120" s="312">
        <f t="shared" si="8"/>
        <v>-70459.676658216005</v>
      </c>
      <c r="K120" s="312">
        <f t="shared" si="8"/>
        <v>-71868.870191380323</v>
      </c>
      <c r="L120" s="312">
        <f t="shared" si="8"/>
        <v>-73306.247595207911</v>
      </c>
      <c r="M120" s="312">
        <f t="shared" si="8"/>
        <v>-74772.372547112085</v>
      </c>
      <c r="N120" s="312">
        <f t="shared" si="8"/>
        <v>-76267.819998054329</v>
      </c>
      <c r="O120" s="312">
        <f t="shared" si="8"/>
        <v>-77793.176398015406</v>
      </c>
      <c r="P120" s="312">
        <f t="shared" si="8"/>
        <v>-79349.039925975711</v>
      </c>
      <c r="Q120" s="312">
        <f t="shared" si="8"/>
        <v>-122153.87904777795</v>
      </c>
      <c r="R120" s="312">
        <f t="shared" si="8"/>
        <v>-82554.741138985133</v>
      </c>
      <c r="S120" s="312">
        <f t="shared" si="8"/>
        <v>-84205.835961764838</v>
      </c>
      <c r="T120" s="312">
        <f t="shared" si="8"/>
        <v>0</v>
      </c>
      <c r="U120" s="312">
        <f t="shared" si="8"/>
        <v>0</v>
      </c>
      <c r="V120" s="312">
        <f t="shared" si="8"/>
        <v>0</v>
      </c>
      <c r="W120" s="312">
        <f t="shared" si="8"/>
        <v>0</v>
      </c>
      <c r="X120" s="312">
        <f t="shared" si="8"/>
        <v>0</v>
      </c>
      <c r="Y120" s="312">
        <f t="shared" si="8"/>
        <v>0</v>
      </c>
      <c r="Z120" s="312">
        <f t="shared" si="8"/>
        <v>0</v>
      </c>
      <c r="AA120" s="312">
        <f t="shared" si="8"/>
        <v>0</v>
      </c>
      <c r="AB120" s="312">
        <f t="shared" si="8"/>
        <v>0</v>
      </c>
      <c r="AC120" s="312">
        <f t="shared" si="8"/>
        <v>0</v>
      </c>
      <c r="AD120" s="312">
        <f t="shared" si="8"/>
        <v>0</v>
      </c>
      <c r="AE120" s="312">
        <f t="shared" si="8"/>
        <v>0</v>
      </c>
      <c r="AF120" s="312">
        <f t="shared" si="8"/>
        <v>0</v>
      </c>
      <c r="AG120" s="312">
        <f t="shared" si="8"/>
        <v>0</v>
      </c>
      <c r="AH120" s="312">
        <f t="shared" si="8"/>
        <v>0</v>
      </c>
      <c r="AI120" s="312">
        <f t="shared" si="8"/>
        <v>0</v>
      </c>
      <c r="AJ120" s="312">
        <f t="shared" si="8"/>
        <v>0</v>
      </c>
      <c r="AK120" s="312">
        <f t="shared" si="8"/>
        <v>0</v>
      </c>
      <c r="AL120" s="312">
        <f t="shared" si="8"/>
        <v>0</v>
      </c>
      <c r="AM120" s="312">
        <f t="shared" si="8"/>
        <v>0</v>
      </c>
      <c r="AN120" s="312">
        <f t="shared" si="8"/>
        <v>0</v>
      </c>
      <c r="AO120" s="312">
        <f t="shared" si="8"/>
        <v>0</v>
      </c>
      <c r="AP120" s="312">
        <f t="shared" si="8"/>
        <v>0</v>
      </c>
      <c r="AQ120" s="312">
        <f t="shared" si="8"/>
        <v>0</v>
      </c>
      <c r="AR120" s="313">
        <f t="shared" si="8"/>
        <v>0</v>
      </c>
    </row>
    <row r="121" spans="2:44">
      <c r="B121" s="72" t="s">
        <v>552</v>
      </c>
      <c r="C121" s="222" t="s">
        <v>528</v>
      </c>
      <c r="D121" s="311"/>
      <c r="E121" s="312">
        <f t="shared" ref="E121:AR121" si="9">IF(OR(E112&gt;$C$73, $C$52=0), 0, -E109*$C$54/$C$52*$C$21*MAX($C$29,$C$30)*$C$185/1000)</f>
        <v>0</v>
      </c>
      <c r="F121" s="312">
        <f t="shared" si="9"/>
        <v>0</v>
      </c>
      <c r="G121" s="312">
        <f t="shared" si="9"/>
        <v>0</v>
      </c>
      <c r="H121" s="312">
        <f t="shared" si="9"/>
        <v>0</v>
      </c>
      <c r="I121" s="312">
        <f t="shared" si="9"/>
        <v>0</v>
      </c>
      <c r="J121" s="312">
        <f t="shared" si="9"/>
        <v>0</v>
      </c>
      <c r="K121" s="312">
        <f t="shared" si="9"/>
        <v>0</v>
      </c>
      <c r="L121" s="312">
        <f t="shared" si="9"/>
        <v>0</v>
      </c>
      <c r="M121" s="312">
        <f t="shared" si="9"/>
        <v>0</v>
      </c>
      <c r="N121" s="312">
        <f t="shared" si="9"/>
        <v>0</v>
      </c>
      <c r="O121" s="312">
        <f t="shared" si="9"/>
        <v>0</v>
      </c>
      <c r="P121" s="312">
        <f t="shared" si="9"/>
        <v>0</v>
      </c>
      <c r="Q121" s="312">
        <f t="shared" si="9"/>
        <v>0</v>
      </c>
      <c r="R121" s="312">
        <f t="shared" si="9"/>
        <v>0</v>
      </c>
      <c r="S121" s="312">
        <f t="shared" si="9"/>
        <v>0</v>
      </c>
      <c r="T121" s="312">
        <f t="shared" si="9"/>
        <v>0</v>
      </c>
      <c r="U121" s="312">
        <f t="shared" si="9"/>
        <v>0</v>
      </c>
      <c r="V121" s="312">
        <f t="shared" si="9"/>
        <v>0</v>
      </c>
      <c r="W121" s="312">
        <f t="shared" si="9"/>
        <v>0</v>
      </c>
      <c r="X121" s="312">
        <f t="shared" si="9"/>
        <v>0</v>
      </c>
      <c r="Y121" s="312">
        <f t="shared" si="9"/>
        <v>0</v>
      </c>
      <c r="Z121" s="312">
        <f t="shared" si="9"/>
        <v>0</v>
      </c>
      <c r="AA121" s="312">
        <f t="shared" si="9"/>
        <v>0</v>
      </c>
      <c r="AB121" s="312">
        <f t="shared" si="9"/>
        <v>0</v>
      </c>
      <c r="AC121" s="312">
        <f t="shared" si="9"/>
        <v>0</v>
      </c>
      <c r="AD121" s="312">
        <f t="shared" si="9"/>
        <v>0</v>
      </c>
      <c r="AE121" s="312">
        <f t="shared" si="9"/>
        <v>0</v>
      </c>
      <c r="AF121" s="312">
        <f t="shared" si="9"/>
        <v>0</v>
      </c>
      <c r="AG121" s="312">
        <f t="shared" si="9"/>
        <v>0</v>
      </c>
      <c r="AH121" s="312">
        <f t="shared" si="9"/>
        <v>0</v>
      </c>
      <c r="AI121" s="312">
        <f t="shared" si="9"/>
        <v>0</v>
      </c>
      <c r="AJ121" s="312">
        <f t="shared" si="9"/>
        <v>0</v>
      </c>
      <c r="AK121" s="312">
        <f t="shared" si="9"/>
        <v>0</v>
      </c>
      <c r="AL121" s="312">
        <f t="shared" si="9"/>
        <v>0</v>
      </c>
      <c r="AM121" s="312">
        <f t="shared" si="9"/>
        <v>0</v>
      </c>
      <c r="AN121" s="312">
        <f t="shared" si="9"/>
        <v>0</v>
      </c>
      <c r="AO121" s="312">
        <f t="shared" si="9"/>
        <v>0</v>
      </c>
      <c r="AP121" s="312">
        <f t="shared" si="9"/>
        <v>0</v>
      </c>
      <c r="AQ121" s="312">
        <f t="shared" si="9"/>
        <v>0</v>
      </c>
      <c r="AR121" s="313">
        <f t="shared" si="9"/>
        <v>0</v>
      </c>
    </row>
    <row r="122" spans="2:44">
      <c r="B122" s="72" t="s">
        <v>553</v>
      </c>
      <c r="C122" s="222" t="s">
        <v>511</v>
      </c>
      <c r="D122" s="311"/>
      <c r="E122" s="317">
        <f t="shared" ref="E122:AR122" si="10">IF(AND(E112&gt;$C$76,E112&lt;=$C$73),(IF($C$81&gt;0,$C$80*E109,0)), )</f>
        <v>0</v>
      </c>
      <c r="F122" s="317">
        <f t="shared" si="10"/>
        <v>0</v>
      </c>
      <c r="G122" s="317">
        <f t="shared" si="10"/>
        <v>0</v>
      </c>
      <c r="H122" s="317">
        <f t="shared" si="10"/>
        <v>0</v>
      </c>
      <c r="I122" s="317">
        <f t="shared" si="10"/>
        <v>0</v>
      </c>
      <c r="J122" s="317">
        <f t="shared" si="10"/>
        <v>0</v>
      </c>
      <c r="K122" s="317">
        <f t="shared" si="10"/>
        <v>0</v>
      </c>
      <c r="L122" s="317">
        <f t="shared" si="10"/>
        <v>0</v>
      </c>
      <c r="M122" s="317">
        <f t="shared" si="10"/>
        <v>0</v>
      </c>
      <c r="N122" s="317">
        <f t="shared" si="10"/>
        <v>0</v>
      </c>
      <c r="O122" s="317">
        <f t="shared" si="10"/>
        <v>0</v>
      </c>
      <c r="P122" s="317">
        <f t="shared" si="10"/>
        <v>0</v>
      </c>
      <c r="Q122" s="317">
        <f t="shared" si="10"/>
        <v>0</v>
      </c>
      <c r="R122" s="317">
        <f t="shared" si="10"/>
        <v>0</v>
      </c>
      <c r="S122" s="317">
        <f t="shared" si="10"/>
        <v>0</v>
      </c>
      <c r="T122" s="317">
        <f t="shared" si="10"/>
        <v>0</v>
      </c>
      <c r="U122" s="317">
        <f t="shared" si="10"/>
        <v>0</v>
      </c>
      <c r="V122" s="317">
        <f t="shared" si="10"/>
        <v>0</v>
      </c>
      <c r="W122" s="317">
        <f t="shared" si="10"/>
        <v>0</v>
      </c>
      <c r="X122" s="317">
        <f t="shared" si="10"/>
        <v>0</v>
      </c>
      <c r="Y122" s="317">
        <f t="shared" si="10"/>
        <v>0</v>
      </c>
      <c r="Z122" s="317">
        <f t="shared" si="10"/>
        <v>0</v>
      </c>
      <c r="AA122" s="317">
        <f t="shared" si="10"/>
        <v>0</v>
      </c>
      <c r="AB122" s="317">
        <f t="shared" si="10"/>
        <v>0</v>
      </c>
      <c r="AC122" s="317">
        <f t="shared" si="10"/>
        <v>0</v>
      </c>
      <c r="AD122" s="317">
        <f t="shared" si="10"/>
        <v>0</v>
      </c>
      <c r="AE122" s="317">
        <f t="shared" si="10"/>
        <v>0</v>
      </c>
      <c r="AF122" s="317">
        <f t="shared" si="10"/>
        <v>0</v>
      </c>
      <c r="AG122" s="317">
        <f t="shared" si="10"/>
        <v>0</v>
      </c>
      <c r="AH122" s="317">
        <f t="shared" si="10"/>
        <v>0</v>
      </c>
      <c r="AI122" s="317">
        <f t="shared" si="10"/>
        <v>0</v>
      </c>
      <c r="AJ122" s="317">
        <f t="shared" si="10"/>
        <v>0</v>
      </c>
      <c r="AK122" s="317">
        <f t="shared" si="10"/>
        <v>0</v>
      </c>
      <c r="AL122" s="317">
        <f t="shared" si="10"/>
        <v>0</v>
      </c>
      <c r="AM122" s="317">
        <f t="shared" si="10"/>
        <v>0</v>
      </c>
      <c r="AN122" s="317">
        <f t="shared" si="10"/>
        <v>0</v>
      </c>
      <c r="AO122" s="317">
        <f t="shared" si="10"/>
        <v>0</v>
      </c>
      <c r="AP122" s="317">
        <f t="shared" si="10"/>
        <v>0</v>
      </c>
      <c r="AQ122" s="317">
        <f t="shared" si="10"/>
        <v>0</v>
      </c>
      <c r="AR122" s="318">
        <f t="shared" si="10"/>
        <v>0</v>
      </c>
    </row>
    <row r="123" spans="2:44">
      <c r="B123" s="72" t="s">
        <v>554</v>
      </c>
      <c r="C123" s="222" t="s">
        <v>511</v>
      </c>
      <c r="D123" s="311"/>
      <c r="E123" s="317">
        <f t="shared" ref="E123:AR123" si="11">IF($C$23="Ja",0,IF(AND(E112&gt;$C$76,E112&lt;=$C$73),(IF($C$83&gt;0,$C$82*E109,0)), ))</f>
        <v>0</v>
      </c>
      <c r="F123" s="317">
        <f t="shared" si="11"/>
        <v>0</v>
      </c>
      <c r="G123" s="317">
        <f t="shared" si="11"/>
        <v>0</v>
      </c>
      <c r="H123" s="317">
        <f t="shared" si="11"/>
        <v>0</v>
      </c>
      <c r="I123" s="317">
        <f t="shared" si="11"/>
        <v>0</v>
      </c>
      <c r="J123" s="317">
        <f t="shared" si="11"/>
        <v>0</v>
      </c>
      <c r="K123" s="317">
        <f t="shared" si="11"/>
        <v>0</v>
      </c>
      <c r="L123" s="317">
        <f t="shared" si="11"/>
        <v>0</v>
      </c>
      <c r="M123" s="317">
        <f t="shared" si="11"/>
        <v>0</v>
      </c>
      <c r="N123" s="317">
        <f t="shared" si="11"/>
        <v>0</v>
      </c>
      <c r="O123" s="317">
        <f t="shared" si="11"/>
        <v>0</v>
      </c>
      <c r="P123" s="317">
        <f t="shared" si="11"/>
        <v>0</v>
      </c>
      <c r="Q123" s="317">
        <f t="shared" si="11"/>
        <v>0</v>
      </c>
      <c r="R123" s="317">
        <f t="shared" si="11"/>
        <v>0</v>
      </c>
      <c r="S123" s="317">
        <f t="shared" si="11"/>
        <v>0</v>
      </c>
      <c r="T123" s="317">
        <f t="shared" si="11"/>
        <v>0</v>
      </c>
      <c r="U123" s="317">
        <f t="shared" si="11"/>
        <v>0</v>
      </c>
      <c r="V123" s="317">
        <f t="shared" si="11"/>
        <v>0</v>
      </c>
      <c r="W123" s="317">
        <f t="shared" si="11"/>
        <v>0</v>
      </c>
      <c r="X123" s="317">
        <f t="shared" si="11"/>
        <v>0</v>
      </c>
      <c r="Y123" s="317">
        <f t="shared" si="11"/>
        <v>0</v>
      </c>
      <c r="Z123" s="317">
        <f t="shared" si="11"/>
        <v>0</v>
      </c>
      <c r="AA123" s="317">
        <f t="shared" si="11"/>
        <v>0</v>
      </c>
      <c r="AB123" s="317">
        <f t="shared" si="11"/>
        <v>0</v>
      </c>
      <c r="AC123" s="317">
        <f t="shared" si="11"/>
        <v>0</v>
      </c>
      <c r="AD123" s="317">
        <f t="shared" si="11"/>
        <v>0</v>
      </c>
      <c r="AE123" s="317">
        <f t="shared" si="11"/>
        <v>0</v>
      </c>
      <c r="AF123" s="317">
        <f t="shared" si="11"/>
        <v>0</v>
      </c>
      <c r="AG123" s="317">
        <f t="shared" si="11"/>
        <v>0</v>
      </c>
      <c r="AH123" s="317">
        <f t="shared" si="11"/>
        <v>0</v>
      </c>
      <c r="AI123" s="317">
        <f t="shared" si="11"/>
        <v>0</v>
      </c>
      <c r="AJ123" s="317">
        <f t="shared" si="11"/>
        <v>0</v>
      </c>
      <c r="AK123" s="317">
        <f t="shared" si="11"/>
        <v>0</v>
      </c>
      <c r="AL123" s="317">
        <f t="shared" si="11"/>
        <v>0</v>
      </c>
      <c r="AM123" s="317">
        <f t="shared" si="11"/>
        <v>0</v>
      </c>
      <c r="AN123" s="317">
        <f t="shared" si="11"/>
        <v>0</v>
      </c>
      <c r="AO123" s="317">
        <f t="shared" si="11"/>
        <v>0</v>
      </c>
      <c r="AP123" s="317">
        <f t="shared" si="11"/>
        <v>0</v>
      </c>
      <c r="AQ123" s="317">
        <f t="shared" si="11"/>
        <v>0</v>
      </c>
      <c r="AR123" s="318">
        <f t="shared" si="11"/>
        <v>0</v>
      </c>
    </row>
    <row r="124" spans="2:44">
      <c r="B124" s="72" t="s">
        <v>555</v>
      </c>
      <c r="C124" s="222" t="str">
        <f>CONCATENATE("Euro/",$C$7)</f>
        <v>Euro/kWh</v>
      </c>
      <c r="D124" s="311"/>
      <c r="E124" s="317">
        <f t="shared" ref="E124:AR124" si="12">E108</f>
        <v>0</v>
      </c>
      <c r="F124" s="317">
        <f t="shared" si="12"/>
        <v>0</v>
      </c>
      <c r="G124" s="317">
        <f t="shared" si="12"/>
        <v>0</v>
      </c>
      <c r="H124" s="317">
        <f t="shared" si="12"/>
        <v>0</v>
      </c>
      <c r="I124" s="317">
        <f t="shared" si="12"/>
        <v>0</v>
      </c>
      <c r="J124" s="317">
        <f t="shared" si="12"/>
        <v>0</v>
      </c>
      <c r="K124" s="317">
        <f t="shared" si="12"/>
        <v>0</v>
      </c>
      <c r="L124" s="317">
        <f t="shared" si="12"/>
        <v>0</v>
      </c>
      <c r="M124" s="317">
        <f t="shared" si="12"/>
        <v>0</v>
      </c>
      <c r="N124" s="317">
        <f t="shared" si="12"/>
        <v>0</v>
      </c>
      <c r="O124" s="317">
        <f t="shared" si="12"/>
        <v>0</v>
      </c>
      <c r="P124" s="317">
        <f t="shared" si="12"/>
        <v>0</v>
      </c>
      <c r="Q124" s="317">
        <f t="shared" si="12"/>
        <v>0</v>
      </c>
      <c r="R124" s="317">
        <f t="shared" si="12"/>
        <v>0</v>
      </c>
      <c r="S124" s="317">
        <f t="shared" si="12"/>
        <v>0</v>
      </c>
      <c r="T124" s="317">
        <f t="shared" si="12"/>
        <v>0</v>
      </c>
      <c r="U124" s="317">
        <f t="shared" si="12"/>
        <v>0</v>
      </c>
      <c r="V124" s="317">
        <f t="shared" si="12"/>
        <v>0</v>
      </c>
      <c r="W124" s="317">
        <f t="shared" si="12"/>
        <v>0</v>
      </c>
      <c r="X124" s="317">
        <f t="shared" si="12"/>
        <v>0</v>
      </c>
      <c r="Y124" s="317">
        <f t="shared" si="12"/>
        <v>0</v>
      </c>
      <c r="Z124" s="317">
        <f t="shared" si="12"/>
        <v>0</v>
      </c>
      <c r="AA124" s="317">
        <f t="shared" si="12"/>
        <v>0</v>
      </c>
      <c r="AB124" s="317">
        <f t="shared" si="12"/>
        <v>0</v>
      </c>
      <c r="AC124" s="317">
        <f t="shared" si="12"/>
        <v>0</v>
      </c>
      <c r="AD124" s="317">
        <f t="shared" si="12"/>
        <v>0</v>
      </c>
      <c r="AE124" s="317">
        <f t="shared" si="12"/>
        <v>0</v>
      </c>
      <c r="AF124" s="317">
        <f t="shared" si="12"/>
        <v>0</v>
      </c>
      <c r="AG124" s="317">
        <f t="shared" si="12"/>
        <v>0</v>
      </c>
      <c r="AH124" s="317">
        <f t="shared" si="12"/>
        <v>0</v>
      </c>
      <c r="AI124" s="317">
        <f t="shared" si="12"/>
        <v>0</v>
      </c>
      <c r="AJ124" s="317">
        <f t="shared" si="12"/>
        <v>0</v>
      </c>
      <c r="AK124" s="317">
        <f t="shared" si="12"/>
        <v>0</v>
      </c>
      <c r="AL124" s="317">
        <f t="shared" si="12"/>
        <v>0</v>
      </c>
      <c r="AM124" s="317">
        <f t="shared" si="12"/>
        <v>0</v>
      </c>
      <c r="AN124" s="317">
        <f t="shared" si="12"/>
        <v>0</v>
      </c>
      <c r="AO124" s="317">
        <f t="shared" si="12"/>
        <v>0</v>
      </c>
      <c r="AP124" s="317">
        <f t="shared" si="12"/>
        <v>0</v>
      </c>
      <c r="AQ124" s="317">
        <f t="shared" si="12"/>
        <v>0</v>
      </c>
      <c r="AR124" s="318">
        <f t="shared" si="12"/>
        <v>0</v>
      </c>
    </row>
    <row r="125" spans="2:44">
      <c r="B125" s="72" t="s">
        <v>30</v>
      </c>
      <c r="C125" s="340" t="str">
        <f>CONCATENATE("Euro/",$C$7)</f>
        <v>Euro/kWh</v>
      </c>
      <c r="D125" s="311"/>
      <c r="E125" s="317">
        <f t="shared" ref="E125:AR125" si="13">E107</f>
        <v>0</v>
      </c>
      <c r="F125" s="317">
        <f t="shared" si="13"/>
        <v>0</v>
      </c>
      <c r="G125" s="317">
        <f t="shared" si="13"/>
        <v>0</v>
      </c>
      <c r="H125" s="317">
        <f t="shared" si="13"/>
        <v>0</v>
      </c>
      <c r="I125" s="317">
        <f t="shared" si="13"/>
        <v>0</v>
      </c>
      <c r="J125" s="317">
        <f t="shared" si="13"/>
        <v>0</v>
      </c>
      <c r="K125" s="317">
        <f t="shared" si="13"/>
        <v>0</v>
      </c>
      <c r="L125" s="317">
        <f t="shared" si="13"/>
        <v>0</v>
      </c>
      <c r="M125" s="317">
        <f t="shared" si="13"/>
        <v>0</v>
      </c>
      <c r="N125" s="317">
        <f t="shared" si="13"/>
        <v>0</v>
      </c>
      <c r="O125" s="317">
        <f t="shared" si="13"/>
        <v>0</v>
      </c>
      <c r="P125" s="317">
        <f t="shared" si="13"/>
        <v>0</v>
      </c>
      <c r="Q125" s="317">
        <f t="shared" si="13"/>
        <v>0</v>
      </c>
      <c r="R125" s="317">
        <f t="shared" si="13"/>
        <v>0</v>
      </c>
      <c r="S125" s="317">
        <f t="shared" si="13"/>
        <v>0</v>
      </c>
      <c r="T125" s="317">
        <f t="shared" si="13"/>
        <v>0</v>
      </c>
      <c r="U125" s="317">
        <f t="shared" si="13"/>
        <v>0</v>
      </c>
      <c r="V125" s="317">
        <f t="shared" si="13"/>
        <v>0</v>
      </c>
      <c r="W125" s="317">
        <f t="shared" si="13"/>
        <v>0</v>
      </c>
      <c r="X125" s="317">
        <f t="shared" si="13"/>
        <v>0</v>
      </c>
      <c r="Y125" s="317">
        <f t="shared" si="13"/>
        <v>0</v>
      </c>
      <c r="Z125" s="317">
        <f t="shared" si="13"/>
        <v>0</v>
      </c>
      <c r="AA125" s="317">
        <f t="shared" si="13"/>
        <v>0</v>
      </c>
      <c r="AB125" s="317">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7">
        <f t="shared" si="13"/>
        <v>0</v>
      </c>
      <c r="AP125" s="317">
        <f t="shared" si="13"/>
        <v>0</v>
      </c>
      <c r="AQ125" s="317">
        <f t="shared" si="13"/>
        <v>0</v>
      </c>
      <c r="AR125" s="318">
        <f t="shared" si="13"/>
        <v>0</v>
      </c>
    </row>
    <row r="126" spans="2:44">
      <c r="B126" s="72" t="s">
        <v>556</v>
      </c>
      <c r="C126" s="222" t="s">
        <v>528</v>
      </c>
      <c r="D126" s="311"/>
      <c r="E126" s="312">
        <f t="shared" ref="E126:AR126" si="14">MAX(0,E125-E124)*E118</f>
        <v>0</v>
      </c>
      <c r="F126" s="312">
        <f t="shared" si="14"/>
        <v>0</v>
      </c>
      <c r="G126" s="312">
        <f t="shared" si="14"/>
        <v>0</v>
      </c>
      <c r="H126" s="312">
        <f t="shared" si="14"/>
        <v>0</v>
      </c>
      <c r="I126" s="312">
        <f t="shared" si="14"/>
        <v>0</v>
      </c>
      <c r="J126" s="312">
        <f t="shared" si="14"/>
        <v>0</v>
      </c>
      <c r="K126" s="312">
        <f t="shared" si="14"/>
        <v>0</v>
      </c>
      <c r="L126" s="312">
        <f t="shared" si="14"/>
        <v>0</v>
      </c>
      <c r="M126" s="312">
        <f t="shared" si="14"/>
        <v>0</v>
      </c>
      <c r="N126" s="312">
        <f t="shared" si="14"/>
        <v>0</v>
      </c>
      <c r="O126" s="312">
        <f t="shared" si="14"/>
        <v>0</v>
      </c>
      <c r="P126" s="312">
        <f t="shared" si="14"/>
        <v>0</v>
      </c>
      <c r="Q126" s="312">
        <f t="shared" si="14"/>
        <v>0</v>
      </c>
      <c r="R126" s="312">
        <f t="shared" si="14"/>
        <v>0</v>
      </c>
      <c r="S126" s="312">
        <f t="shared" si="14"/>
        <v>0</v>
      </c>
      <c r="T126" s="312">
        <f t="shared" si="14"/>
        <v>0</v>
      </c>
      <c r="U126" s="312">
        <f t="shared" si="14"/>
        <v>0</v>
      </c>
      <c r="V126" s="312">
        <f t="shared" si="14"/>
        <v>0</v>
      </c>
      <c r="W126" s="312">
        <f t="shared" si="14"/>
        <v>0</v>
      </c>
      <c r="X126" s="312">
        <f t="shared" si="14"/>
        <v>0</v>
      </c>
      <c r="Y126" s="312">
        <f t="shared" si="14"/>
        <v>0</v>
      </c>
      <c r="Z126" s="312">
        <f t="shared" si="14"/>
        <v>0</v>
      </c>
      <c r="AA126" s="312">
        <f t="shared" si="14"/>
        <v>0</v>
      </c>
      <c r="AB126" s="312">
        <f t="shared" si="14"/>
        <v>0</v>
      </c>
      <c r="AC126" s="312">
        <f t="shared" si="14"/>
        <v>0</v>
      </c>
      <c r="AD126" s="312">
        <f t="shared" si="14"/>
        <v>0</v>
      </c>
      <c r="AE126" s="312">
        <f t="shared" si="14"/>
        <v>0</v>
      </c>
      <c r="AF126" s="312">
        <f t="shared" si="14"/>
        <v>0</v>
      </c>
      <c r="AG126" s="312">
        <f t="shared" si="14"/>
        <v>0</v>
      </c>
      <c r="AH126" s="312">
        <f t="shared" si="14"/>
        <v>0</v>
      </c>
      <c r="AI126" s="312">
        <f t="shared" si="14"/>
        <v>0</v>
      </c>
      <c r="AJ126" s="312">
        <f t="shared" si="14"/>
        <v>0</v>
      </c>
      <c r="AK126" s="312">
        <f t="shared" si="14"/>
        <v>0</v>
      </c>
      <c r="AL126" s="312">
        <f t="shared" si="14"/>
        <v>0</v>
      </c>
      <c r="AM126" s="312">
        <f t="shared" si="14"/>
        <v>0</v>
      </c>
      <c r="AN126" s="312">
        <f t="shared" si="14"/>
        <v>0</v>
      </c>
      <c r="AO126" s="312">
        <f t="shared" si="14"/>
        <v>0</v>
      </c>
      <c r="AP126" s="312">
        <f t="shared" si="14"/>
        <v>0</v>
      </c>
      <c r="AQ126" s="312">
        <f t="shared" si="14"/>
        <v>0</v>
      </c>
      <c r="AR126" s="313">
        <f t="shared" si="14"/>
        <v>0</v>
      </c>
    </row>
    <row r="127" spans="2:44">
      <c r="B127" s="72" t="s">
        <v>557</v>
      </c>
      <c r="C127" s="222" t="s">
        <v>528</v>
      </c>
      <c r="D127" s="311"/>
      <c r="E127" s="312">
        <f t="shared" ref="E127:AR127" si="15">IF(E108&gt;0,,E122*E115+E123*SUM(E116:E117))</f>
        <v>0</v>
      </c>
      <c r="F127" s="312">
        <f t="shared" si="15"/>
        <v>0</v>
      </c>
      <c r="G127" s="312">
        <f t="shared" si="15"/>
        <v>0</v>
      </c>
      <c r="H127" s="312">
        <f t="shared" si="15"/>
        <v>0</v>
      </c>
      <c r="I127" s="312">
        <f t="shared" si="15"/>
        <v>0</v>
      </c>
      <c r="J127" s="312">
        <f t="shared" si="15"/>
        <v>0</v>
      </c>
      <c r="K127" s="312">
        <f t="shared" si="15"/>
        <v>0</v>
      </c>
      <c r="L127" s="312">
        <f t="shared" si="15"/>
        <v>0</v>
      </c>
      <c r="M127" s="312">
        <f t="shared" si="15"/>
        <v>0</v>
      </c>
      <c r="N127" s="312">
        <f t="shared" si="15"/>
        <v>0</v>
      </c>
      <c r="O127" s="312">
        <f t="shared" si="15"/>
        <v>0</v>
      </c>
      <c r="P127" s="312">
        <f t="shared" si="15"/>
        <v>0</v>
      </c>
      <c r="Q127" s="312">
        <f t="shared" si="15"/>
        <v>0</v>
      </c>
      <c r="R127" s="312">
        <f t="shared" si="15"/>
        <v>0</v>
      </c>
      <c r="S127" s="312">
        <f t="shared" si="15"/>
        <v>0</v>
      </c>
      <c r="T127" s="312">
        <f t="shared" si="15"/>
        <v>0</v>
      </c>
      <c r="U127" s="312">
        <f t="shared" si="15"/>
        <v>0</v>
      </c>
      <c r="V127" s="312">
        <f t="shared" si="15"/>
        <v>0</v>
      </c>
      <c r="W127" s="312">
        <f t="shared" si="15"/>
        <v>0</v>
      </c>
      <c r="X127" s="312">
        <f t="shared" si="15"/>
        <v>0</v>
      </c>
      <c r="Y127" s="312">
        <f t="shared" si="15"/>
        <v>0</v>
      </c>
      <c r="Z127" s="312">
        <f t="shared" si="15"/>
        <v>0</v>
      </c>
      <c r="AA127" s="312">
        <f t="shared" si="15"/>
        <v>0</v>
      </c>
      <c r="AB127" s="312">
        <f t="shared" si="15"/>
        <v>0</v>
      </c>
      <c r="AC127" s="312">
        <f t="shared" si="15"/>
        <v>0</v>
      </c>
      <c r="AD127" s="312">
        <f t="shared" si="15"/>
        <v>0</v>
      </c>
      <c r="AE127" s="312">
        <f t="shared" si="15"/>
        <v>0</v>
      </c>
      <c r="AF127" s="312">
        <f t="shared" si="15"/>
        <v>0</v>
      </c>
      <c r="AG127" s="312">
        <f t="shared" si="15"/>
        <v>0</v>
      </c>
      <c r="AH127" s="312">
        <f t="shared" si="15"/>
        <v>0</v>
      </c>
      <c r="AI127" s="312">
        <f t="shared" si="15"/>
        <v>0</v>
      </c>
      <c r="AJ127" s="312">
        <f t="shared" si="15"/>
        <v>0</v>
      </c>
      <c r="AK127" s="312">
        <f t="shared" si="15"/>
        <v>0</v>
      </c>
      <c r="AL127" s="312">
        <f t="shared" si="15"/>
        <v>0</v>
      </c>
      <c r="AM127" s="312">
        <f t="shared" si="15"/>
        <v>0</v>
      </c>
      <c r="AN127" s="312">
        <f t="shared" si="15"/>
        <v>0</v>
      </c>
      <c r="AO127" s="312">
        <f t="shared" si="15"/>
        <v>0</v>
      </c>
      <c r="AP127" s="312">
        <f t="shared" si="15"/>
        <v>0</v>
      </c>
      <c r="AQ127" s="312">
        <f t="shared" si="15"/>
        <v>0</v>
      </c>
      <c r="AR127" s="313">
        <f t="shared" si="15"/>
        <v>0</v>
      </c>
    </row>
    <row r="128" spans="2:44">
      <c r="B128" s="72" t="s">
        <v>558</v>
      </c>
      <c r="C128" s="222" t="s">
        <v>528</v>
      </c>
      <c r="D128" s="319"/>
      <c r="E128" s="312">
        <f t="shared" ref="E128:AR128" si="16">E124*E118</f>
        <v>0</v>
      </c>
      <c r="F128" s="312">
        <f t="shared" si="16"/>
        <v>0</v>
      </c>
      <c r="G128" s="312">
        <f t="shared" si="16"/>
        <v>0</v>
      </c>
      <c r="H128" s="312">
        <f t="shared" si="16"/>
        <v>0</v>
      </c>
      <c r="I128" s="312">
        <f t="shared" si="16"/>
        <v>0</v>
      </c>
      <c r="J128" s="312">
        <f t="shared" si="16"/>
        <v>0</v>
      </c>
      <c r="K128" s="312">
        <f t="shared" si="16"/>
        <v>0</v>
      </c>
      <c r="L128" s="312">
        <f t="shared" si="16"/>
        <v>0</v>
      </c>
      <c r="M128" s="312">
        <f t="shared" si="16"/>
        <v>0</v>
      </c>
      <c r="N128" s="312">
        <f t="shared" si="16"/>
        <v>0</v>
      </c>
      <c r="O128" s="312">
        <f t="shared" si="16"/>
        <v>0</v>
      </c>
      <c r="P128" s="312">
        <f t="shared" si="16"/>
        <v>0</v>
      </c>
      <c r="Q128" s="312">
        <f t="shared" si="16"/>
        <v>0</v>
      </c>
      <c r="R128" s="312">
        <f t="shared" si="16"/>
        <v>0</v>
      </c>
      <c r="S128" s="312">
        <f t="shared" si="16"/>
        <v>0</v>
      </c>
      <c r="T128" s="312">
        <f t="shared" si="16"/>
        <v>0</v>
      </c>
      <c r="U128" s="312">
        <f t="shared" si="16"/>
        <v>0</v>
      </c>
      <c r="V128" s="312">
        <f t="shared" si="16"/>
        <v>0</v>
      </c>
      <c r="W128" s="312">
        <f t="shared" si="16"/>
        <v>0</v>
      </c>
      <c r="X128" s="312">
        <f t="shared" si="16"/>
        <v>0</v>
      </c>
      <c r="Y128" s="312">
        <f t="shared" si="16"/>
        <v>0</v>
      </c>
      <c r="Z128" s="312">
        <f t="shared" si="16"/>
        <v>0</v>
      </c>
      <c r="AA128" s="312">
        <f t="shared" si="16"/>
        <v>0</v>
      </c>
      <c r="AB128" s="312">
        <f t="shared" si="16"/>
        <v>0</v>
      </c>
      <c r="AC128" s="312">
        <f t="shared" si="16"/>
        <v>0</v>
      </c>
      <c r="AD128" s="312">
        <f t="shared" si="16"/>
        <v>0</v>
      </c>
      <c r="AE128" s="312">
        <f t="shared" si="16"/>
        <v>0</v>
      </c>
      <c r="AF128" s="312">
        <f t="shared" si="16"/>
        <v>0</v>
      </c>
      <c r="AG128" s="312">
        <f t="shared" si="16"/>
        <v>0</v>
      </c>
      <c r="AH128" s="312">
        <f t="shared" si="16"/>
        <v>0</v>
      </c>
      <c r="AI128" s="312">
        <f t="shared" si="16"/>
        <v>0</v>
      </c>
      <c r="AJ128" s="312">
        <f t="shared" si="16"/>
        <v>0</v>
      </c>
      <c r="AK128" s="312">
        <f t="shared" si="16"/>
        <v>0</v>
      </c>
      <c r="AL128" s="312">
        <f t="shared" si="16"/>
        <v>0</v>
      </c>
      <c r="AM128" s="312">
        <f t="shared" si="16"/>
        <v>0</v>
      </c>
      <c r="AN128" s="312">
        <f t="shared" si="16"/>
        <v>0</v>
      </c>
      <c r="AO128" s="312">
        <f t="shared" si="16"/>
        <v>0</v>
      </c>
      <c r="AP128" s="312">
        <f t="shared" si="16"/>
        <v>0</v>
      </c>
      <c r="AQ128" s="312">
        <f t="shared" si="16"/>
        <v>0</v>
      </c>
      <c r="AR128" s="313">
        <f t="shared" si="16"/>
        <v>0</v>
      </c>
    </row>
    <row r="129" spans="1:44" ht="12.95" customHeight="1">
      <c r="B129" s="263" t="s">
        <v>559</v>
      </c>
      <c r="C129" s="223"/>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10"/>
    </row>
    <row r="130" spans="1:44">
      <c r="B130" s="72" t="s">
        <v>560</v>
      </c>
      <c r="C130" s="222" t="s">
        <v>528</v>
      </c>
      <c r="D130" s="311"/>
      <c r="E130" s="312">
        <f t="shared" ref="E130:AR130" si="17">SUM(E126:E128)</f>
        <v>0</v>
      </c>
      <c r="F130" s="312">
        <f t="shared" si="17"/>
        <v>0</v>
      </c>
      <c r="G130" s="312">
        <f t="shared" si="17"/>
        <v>0</v>
      </c>
      <c r="H130" s="312">
        <f t="shared" si="17"/>
        <v>0</v>
      </c>
      <c r="I130" s="312">
        <f t="shared" si="17"/>
        <v>0</v>
      </c>
      <c r="J130" s="312">
        <f t="shared" si="17"/>
        <v>0</v>
      </c>
      <c r="K130" s="312">
        <f t="shared" si="17"/>
        <v>0</v>
      </c>
      <c r="L130" s="312">
        <f t="shared" si="17"/>
        <v>0</v>
      </c>
      <c r="M130" s="312">
        <f t="shared" si="17"/>
        <v>0</v>
      </c>
      <c r="N130" s="312">
        <f t="shared" si="17"/>
        <v>0</v>
      </c>
      <c r="O130" s="312">
        <f t="shared" si="17"/>
        <v>0</v>
      </c>
      <c r="P130" s="312">
        <f t="shared" si="17"/>
        <v>0</v>
      </c>
      <c r="Q130" s="312">
        <f t="shared" si="17"/>
        <v>0</v>
      </c>
      <c r="R130" s="312">
        <f t="shared" si="17"/>
        <v>0</v>
      </c>
      <c r="S130" s="312">
        <f t="shared" si="17"/>
        <v>0</v>
      </c>
      <c r="T130" s="312">
        <f t="shared" si="17"/>
        <v>0</v>
      </c>
      <c r="U130" s="312">
        <f t="shared" si="17"/>
        <v>0</v>
      </c>
      <c r="V130" s="312">
        <f t="shared" si="17"/>
        <v>0</v>
      </c>
      <c r="W130" s="312">
        <f t="shared" si="17"/>
        <v>0</v>
      </c>
      <c r="X130" s="312">
        <f t="shared" si="17"/>
        <v>0</v>
      </c>
      <c r="Y130" s="312">
        <f t="shared" si="17"/>
        <v>0</v>
      </c>
      <c r="Z130" s="312">
        <f t="shared" si="17"/>
        <v>0</v>
      </c>
      <c r="AA130" s="312">
        <f t="shared" si="17"/>
        <v>0</v>
      </c>
      <c r="AB130" s="312">
        <f t="shared" si="17"/>
        <v>0</v>
      </c>
      <c r="AC130" s="312">
        <f t="shared" si="17"/>
        <v>0</v>
      </c>
      <c r="AD130" s="312">
        <f t="shared" si="17"/>
        <v>0</v>
      </c>
      <c r="AE130" s="312">
        <f t="shared" si="17"/>
        <v>0</v>
      </c>
      <c r="AF130" s="312">
        <f t="shared" si="17"/>
        <v>0</v>
      </c>
      <c r="AG130" s="312">
        <f t="shared" si="17"/>
        <v>0</v>
      </c>
      <c r="AH130" s="312">
        <f t="shared" si="17"/>
        <v>0</v>
      </c>
      <c r="AI130" s="312">
        <f t="shared" si="17"/>
        <v>0</v>
      </c>
      <c r="AJ130" s="312">
        <f t="shared" si="17"/>
        <v>0</v>
      </c>
      <c r="AK130" s="312">
        <f t="shared" si="17"/>
        <v>0</v>
      </c>
      <c r="AL130" s="312">
        <f t="shared" si="17"/>
        <v>0</v>
      </c>
      <c r="AM130" s="312">
        <f t="shared" si="17"/>
        <v>0</v>
      </c>
      <c r="AN130" s="312">
        <f t="shared" si="17"/>
        <v>0</v>
      </c>
      <c r="AO130" s="312">
        <f t="shared" si="17"/>
        <v>0</v>
      </c>
      <c r="AP130" s="312">
        <f t="shared" si="17"/>
        <v>0</v>
      </c>
      <c r="AQ130" s="312">
        <f t="shared" si="17"/>
        <v>0</v>
      </c>
      <c r="AR130" s="313">
        <f t="shared" si="17"/>
        <v>0</v>
      </c>
    </row>
    <row r="131" spans="1:44">
      <c r="B131" s="72" t="s">
        <v>561</v>
      </c>
      <c r="C131" s="222" t="s">
        <v>528</v>
      </c>
      <c r="D131" s="311"/>
      <c r="E131" s="312">
        <f t="shared" ref="E131:AR131" si="18">SUM(E120:E121)</f>
        <v>-63817.5</v>
      </c>
      <c r="F131" s="312">
        <f t="shared" si="18"/>
        <v>-65093.85</v>
      </c>
      <c r="G131" s="312">
        <f t="shared" si="18"/>
        <v>-66395.726999999999</v>
      </c>
      <c r="H131" s="312">
        <f t="shared" si="18"/>
        <v>-67723.641539999997</v>
      </c>
      <c r="I131" s="312">
        <f t="shared" si="18"/>
        <v>-69078.114370800002</v>
      </c>
      <c r="J131" s="312">
        <f t="shared" si="18"/>
        <v>-70459.676658216005</v>
      </c>
      <c r="K131" s="312">
        <f t="shared" si="18"/>
        <v>-71868.870191380323</v>
      </c>
      <c r="L131" s="312">
        <f t="shared" si="18"/>
        <v>-73306.247595207911</v>
      </c>
      <c r="M131" s="312">
        <f t="shared" si="18"/>
        <v>-74772.372547112085</v>
      </c>
      <c r="N131" s="312">
        <f t="shared" si="18"/>
        <v>-76267.819998054329</v>
      </c>
      <c r="O131" s="312">
        <f t="shared" si="18"/>
        <v>-77793.176398015406</v>
      </c>
      <c r="P131" s="312">
        <f t="shared" si="18"/>
        <v>-79349.039925975711</v>
      </c>
      <c r="Q131" s="312">
        <f t="shared" si="18"/>
        <v>-122153.87904777795</v>
      </c>
      <c r="R131" s="312">
        <f t="shared" si="18"/>
        <v>-82554.741138985133</v>
      </c>
      <c r="S131" s="312">
        <f t="shared" si="18"/>
        <v>-84205.835961764838</v>
      </c>
      <c r="T131" s="312">
        <f t="shared" si="18"/>
        <v>0</v>
      </c>
      <c r="U131" s="312">
        <f t="shared" si="18"/>
        <v>0</v>
      </c>
      <c r="V131" s="312">
        <f t="shared" si="18"/>
        <v>0</v>
      </c>
      <c r="W131" s="312">
        <f t="shared" si="18"/>
        <v>0</v>
      </c>
      <c r="X131" s="312">
        <f t="shared" si="18"/>
        <v>0</v>
      </c>
      <c r="Y131" s="312">
        <f t="shared" si="18"/>
        <v>0</v>
      </c>
      <c r="Z131" s="312">
        <f t="shared" si="18"/>
        <v>0</v>
      </c>
      <c r="AA131" s="312">
        <f t="shared" si="18"/>
        <v>0</v>
      </c>
      <c r="AB131" s="312">
        <f t="shared" si="18"/>
        <v>0</v>
      </c>
      <c r="AC131" s="312">
        <f t="shared" si="18"/>
        <v>0</v>
      </c>
      <c r="AD131" s="312">
        <f t="shared" si="18"/>
        <v>0</v>
      </c>
      <c r="AE131" s="312">
        <f t="shared" si="18"/>
        <v>0</v>
      </c>
      <c r="AF131" s="312">
        <f t="shared" si="18"/>
        <v>0</v>
      </c>
      <c r="AG131" s="312">
        <f t="shared" si="18"/>
        <v>0</v>
      </c>
      <c r="AH131" s="312">
        <f t="shared" si="18"/>
        <v>0</v>
      </c>
      <c r="AI131" s="312">
        <f t="shared" si="18"/>
        <v>0</v>
      </c>
      <c r="AJ131" s="312">
        <f t="shared" si="18"/>
        <v>0</v>
      </c>
      <c r="AK131" s="312">
        <f t="shared" si="18"/>
        <v>0</v>
      </c>
      <c r="AL131" s="312">
        <f t="shared" si="18"/>
        <v>0</v>
      </c>
      <c r="AM131" s="312">
        <f t="shared" si="18"/>
        <v>0</v>
      </c>
      <c r="AN131" s="312">
        <f t="shared" si="18"/>
        <v>0</v>
      </c>
      <c r="AO131" s="312">
        <f t="shared" si="18"/>
        <v>0</v>
      </c>
      <c r="AP131" s="312">
        <f t="shared" si="18"/>
        <v>0</v>
      </c>
      <c r="AQ131" s="312">
        <f t="shared" si="18"/>
        <v>0</v>
      </c>
      <c r="AR131" s="313">
        <f t="shared" si="18"/>
        <v>0</v>
      </c>
    </row>
    <row r="132" spans="1:44">
      <c r="B132" s="265" t="s">
        <v>562</v>
      </c>
      <c r="C132" s="226" t="s">
        <v>528</v>
      </c>
      <c r="D132" s="320"/>
      <c r="E132" s="321">
        <f t="shared" ref="E132:AR132" si="19">SUM(E130:E131)</f>
        <v>-63817.5</v>
      </c>
      <c r="F132" s="321">
        <f t="shared" si="19"/>
        <v>-65093.85</v>
      </c>
      <c r="G132" s="321">
        <f t="shared" si="19"/>
        <v>-66395.726999999999</v>
      </c>
      <c r="H132" s="321">
        <f t="shared" si="19"/>
        <v>-67723.641539999997</v>
      </c>
      <c r="I132" s="321">
        <f t="shared" si="19"/>
        <v>-69078.114370800002</v>
      </c>
      <c r="J132" s="321">
        <f t="shared" si="19"/>
        <v>-70459.676658216005</v>
      </c>
      <c r="K132" s="321">
        <f t="shared" si="19"/>
        <v>-71868.870191380323</v>
      </c>
      <c r="L132" s="321">
        <f t="shared" si="19"/>
        <v>-73306.247595207911</v>
      </c>
      <c r="M132" s="321">
        <f t="shared" si="19"/>
        <v>-74772.372547112085</v>
      </c>
      <c r="N132" s="321">
        <f t="shared" si="19"/>
        <v>-76267.819998054329</v>
      </c>
      <c r="O132" s="321">
        <f t="shared" si="19"/>
        <v>-77793.176398015406</v>
      </c>
      <c r="P132" s="321">
        <f t="shared" si="19"/>
        <v>-79349.039925975711</v>
      </c>
      <c r="Q132" s="321">
        <f t="shared" si="19"/>
        <v>-122153.87904777795</v>
      </c>
      <c r="R132" s="321">
        <f t="shared" si="19"/>
        <v>-82554.741138985133</v>
      </c>
      <c r="S132" s="321">
        <f t="shared" si="19"/>
        <v>-84205.835961764838</v>
      </c>
      <c r="T132" s="321">
        <f t="shared" si="19"/>
        <v>0</v>
      </c>
      <c r="U132" s="321">
        <f t="shared" si="19"/>
        <v>0</v>
      </c>
      <c r="V132" s="321">
        <f t="shared" si="19"/>
        <v>0</v>
      </c>
      <c r="W132" s="321">
        <f t="shared" si="19"/>
        <v>0</v>
      </c>
      <c r="X132" s="321">
        <f t="shared" si="19"/>
        <v>0</v>
      </c>
      <c r="Y132" s="321">
        <f t="shared" si="19"/>
        <v>0</v>
      </c>
      <c r="Z132" s="321">
        <f t="shared" si="19"/>
        <v>0</v>
      </c>
      <c r="AA132" s="321">
        <f t="shared" si="19"/>
        <v>0</v>
      </c>
      <c r="AB132" s="321">
        <f t="shared" si="19"/>
        <v>0</v>
      </c>
      <c r="AC132" s="321">
        <f t="shared" si="19"/>
        <v>0</v>
      </c>
      <c r="AD132" s="321">
        <f t="shared" si="19"/>
        <v>0</v>
      </c>
      <c r="AE132" s="321">
        <f t="shared" si="19"/>
        <v>0</v>
      </c>
      <c r="AF132" s="321">
        <f t="shared" si="19"/>
        <v>0</v>
      </c>
      <c r="AG132" s="321">
        <f t="shared" si="19"/>
        <v>0</v>
      </c>
      <c r="AH132" s="321">
        <f t="shared" si="19"/>
        <v>0</v>
      </c>
      <c r="AI132" s="321">
        <f t="shared" si="19"/>
        <v>0</v>
      </c>
      <c r="AJ132" s="321">
        <f t="shared" si="19"/>
        <v>0</v>
      </c>
      <c r="AK132" s="321">
        <f t="shared" si="19"/>
        <v>0</v>
      </c>
      <c r="AL132" s="321">
        <f t="shared" si="19"/>
        <v>0</v>
      </c>
      <c r="AM132" s="321">
        <f t="shared" si="19"/>
        <v>0</v>
      </c>
      <c r="AN132" s="321">
        <f t="shared" si="19"/>
        <v>0</v>
      </c>
      <c r="AO132" s="321">
        <f t="shared" si="19"/>
        <v>0</v>
      </c>
      <c r="AP132" s="321">
        <f t="shared" si="19"/>
        <v>0</v>
      </c>
      <c r="AQ132" s="321">
        <f t="shared" si="19"/>
        <v>0</v>
      </c>
      <c r="AR132" s="322">
        <f t="shared" si="19"/>
        <v>0</v>
      </c>
    </row>
    <row r="133" spans="1:44" ht="12.95" customHeight="1">
      <c r="B133" s="263" t="s">
        <v>563</v>
      </c>
      <c r="C133" s="223"/>
      <c r="D133" s="309"/>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10"/>
    </row>
    <row r="134" spans="1:44">
      <c r="B134" s="72" t="s">
        <v>564</v>
      </c>
      <c r="C134" s="222" t="s">
        <v>528</v>
      </c>
      <c r="D134" s="311"/>
      <c r="E134" s="312">
        <f t="shared" ref="E134:AR134" si="20">IF(E112&gt;$C$75,0,-$C$152/$C$75)</f>
        <v>-93147.499999999985</v>
      </c>
      <c r="F134" s="312">
        <f t="shared" si="20"/>
        <v>-93147.499999999985</v>
      </c>
      <c r="G134" s="312">
        <f t="shared" si="20"/>
        <v>-93147.499999999985</v>
      </c>
      <c r="H134" s="312">
        <f t="shared" si="20"/>
        <v>-93147.499999999985</v>
      </c>
      <c r="I134" s="312">
        <f t="shared" si="20"/>
        <v>-93147.499999999985</v>
      </c>
      <c r="J134" s="312">
        <f t="shared" si="20"/>
        <v>-93147.499999999985</v>
      </c>
      <c r="K134" s="312">
        <f t="shared" si="20"/>
        <v>-93147.499999999985</v>
      </c>
      <c r="L134" s="312">
        <f t="shared" si="20"/>
        <v>-93147.499999999985</v>
      </c>
      <c r="M134" s="312">
        <f t="shared" si="20"/>
        <v>-93147.499999999985</v>
      </c>
      <c r="N134" s="312">
        <f t="shared" si="20"/>
        <v>-93147.499999999985</v>
      </c>
      <c r="O134" s="312">
        <f t="shared" si="20"/>
        <v>-93147.499999999985</v>
      </c>
      <c r="P134" s="312">
        <f t="shared" si="20"/>
        <v>-93147.499999999985</v>
      </c>
      <c r="Q134" s="312">
        <f t="shared" si="20"/>
        <v>-93147.499999999985</v>
      </c>
      <c r="R134" s="312">
        <f t="shared" si="20"/>
        <v>-93147.499999999985</v>
      </c>
      <c r="S134" s="312">
        <f t="shared" si="20"/>
        <v>-93147.499999999985</v>
      </c>
      <c r="T134" s="312">
        <f t="shared" si="20"/>
        <v>0</v>
      </c>
      <c r="U134" s="312">
        <f t="shared" si="20"/>
        <v>0</v>
      </c>
      <c r="V134" s="312">
        <f t="shared" si="20"/>
        <v>0</v>
      </c>
      <c r="W134" s="312">
        <f t="shared" si="20"/>
        <v>0</v>
      </c>
      <c r="X134" s="312">
        <f t="shared" si="20"/>
        <v>0</v>
      </c>
      <c r="Y134" s="312">
        <f t="shared" si="20"/>
        <v>0</v>
      </c>
      <c r="Z134" s="312">
        <f t="shared" si="20"/>
        <v>0</v>
      </c>
      <c r="AA134" s="312">
        <f t="shared" si="20"/>
        <v>0</v>
      </c>
      <c r="AB134" s="312">
        <f t="shared" si="20"/>
        <v>0</v>
      </c>
      <c r="AC134" s="312">
        <f t="shared" si="20"/>
        <v>0</v>
      </c>
      <c r="AD134" s="312">
        <f t="shared" si="20"/>
        <v>0</v>
      </c>
      <c r="AE134" s="312">
        <f t="shared" si="20"/>
        <v>0</v>
      </c>
      <c r="AF134" s="312">
        <f t="shared" si="20"/>
        <v>0</v>
      </c>
      <c r="AG134" s="312">
        <f t="shared" si="20"/>
        <v>0</v>
      </c>
      <c r="AH134" s="312">
        <f t="shared" si="20"/>
        <v>0</v>
      </c>
      <c r="AI134" s="312">
        <f t="shared" si="20"/>
        <v>0</v>
      </c>
      <c r="AJ134" s="312">
        <f t="shared" si="20"/>
        <v>0</v>
      </c>
      <c r="AK134" s="312">
        <f t="shared" si="20"/>
        <v>0</v>
      </c>
      <c r="AL134" s="312">
        <f t="shared" si="20"/>
        <v>0</v>
      </c>
      <c r="AM134" s="312">
        <f t="shared" si="20"/>
        <v>0</v>
      </c>
      <c r="AN134" s="312">
        <f t="shared" si="20"/>
        <v>0</v>
      </c>
      <c r="AO134" s="312">
        <f t="shared" si="20"/>
        <v>0</v>
      </c>
      <c r="AP134" s="312">
        <f t="shared" si="20"/>
        <v>0</v>
      </c>
      <c r="AQ134" s="312">
        <f t="shared" si="20"/>
        <v>0</v>
      </c>
      <c r="AR134" s="313">
        <f t="shared" si="20"/>
        <v>0</v>
      </c>
    </row>
    <row r="135" spans="1:44">
      <c r="B135" s="72" t="s">
        <v>565</v>
      </c>
      <c r="C135" s="222" t="s">
        <v>528</v>
      </c>
      <c r="D135" s="311"/>
      <c r="E135" s="312">
        <f t="shared" ref="E135:AR135" si="21">IF(E112&gt;$C$74,0,IPMT($C$90,E112,$C$74,$C$157))</f>
        <v>-41567.071875000001</v>
      </c>
      <c r="F135" s="312">
        <f t="shared" si="21"/>
        <v>-39529.436332258978</v>
      </c>
      <c r="G135" s="312">
        <f t="shared" si="21"/>
        <v>-37405.201278951463</v>
      </c>
      <c r="H135" s="312">
        <f t="shared" si="21"/>
        <v>-35190.686235878384</v>
      </c>
      <c r="I135" s="312">
        <f t="shared" si="21"/>
        <v>-32882.054303474688</v>
      </c>
      <c r="J135" s="312">
        <f t="shared" si="21"/>
        <v>-30475.30551394384</v>
      </c>
      <c r="K135" s="312">
        <f t="shared" si="21"/>
        <v>-27966.269900857929</v>
      </c>
      <c r="L135" s="312">
        <f t="shared" si="21"/>
        <v>-25350.600274215878</v>
      </c>
      <c r="M135" s="312">
        <f t="shared" si="21"/>
        <v>-22623.76468844153</v>
      </c>
      <c r="N135" s="312">
        <f t="shared" si="21"/>
        <v>-19781.038590271775</v>
      </c>
      <c r="O135" s="312">
        <f t="shared" si="21"/>
        <v>-16817.496632929804</v>
      </c>
      <c r="P135" s="312">
        <f t="shared" si="21"/>
        <v>-13728.0041424008</v>
      </c>
      <c r="Q135" s="312">
        <f t="shared" si="21"/>
        <v>-10507.208221024312</v>
      </c>
      <c r="R135" s="312">
        <f t="shared" si="21"/>
        <v>-7149.5284729893247</v>
      </c>
      <c r="S135" s="312">
        <f t="shared" si="21"/>
        <v>-3649.1473356628499</v>
      </c>
      <c r="T135" s="312">
        <f t="shared" si="21"/>
        <v>0</v>
      </c>
      <c r="U135" s="312">
        <f t="shared" si="21"/>
        <v>0</v>
      </c>
      <c r="V135" s="312">
        <f t="shared" si="21"/>
        <v>0</v>
      </c>
      <c r="W135" s="312">
        <f t="shared" si="21"/>
        <v>0</v>
      </c>
      <c r="X135" s="312">
        <f t="shared" si="21"/>
        <v>0</v>
      </c>
      <c r="Y135" s="312">
        <f t="shared" si="21"/>
        <v>0</v>
      </c>
      <c r="Z135" s="312">
        <f t="shared" si="21"/>
        <v>0</v>
      </c>
      <c r="AA135" s="312">
        <f t="shared" si="21"/>
        <v>0</v>
      </c>
      <c r="AB135" s="312">
        <f t="shared" si="21"/>
        <v>0</v>
      </c>
      <c r="AC135" s="312">
        <f t="shared" si="21"/>
        <v>0</v>
      </c>
      <c r="AD135" s="312">
        <f t="shared" si="21"/>
        <v>0</v>
      </c>
      <c r="AE135" s="312">
        <f t="shared" si="21"/>
        <v>0</v>
      </c>
      <c r="AF135" s="312">
        <f t="shared" si="21"/>
        <v>0</v>
      </c>
      <c r="AG135" s="312">
        <f t="shared" si="21"/>
        <v>0</v>
      </c>
      <c r="AH135" s="312">
        <f t="shared" si="21"/>
        <v>0</v>
      </c>
      <c r="AI135" s="312">
        <f t="shared" si="21"/>
        <v>0</v>
      </c>
      <c r="AJ135" s="312">
        <f t="shared" si="21"/>
        <v>0</v>
      </c>
      <c r="AK135" s="312">
        <f t="shared" si="21"/>
        <v>0</v>
      </c>
      <c r="AL135" s="312">
        <f t="shared" si="21"/>
        <v>0</v>
      </c>
      <c r="AM135" s="312">
        <f t="shared" si="21"/>
        <v>0</v>
      </c>
      <c r="AN135" s="312">
        <f t="shared" si="21"/>
        <v>0</v>
      </c>
      <c r="AO135" s="312">
        <f t="shared" si="21"/>
        <v>0</v>
      </c>
      <c r="AP135" s="312">
        <f t="shared" si="21"/>
        <v>0</v>
      </c>
      <c r="AQ135" s="312">
        <f t="shared" si="21"/>
        <v>0</v>
      </c>
      <c r="AR135" s="313">
        <f t="shared" si="21"/>
        <v>0</v>
      </c>
    </row>
    <row r="136" spans="1:44">
      <c r="B136" s="72" t="s">
        <v>566</v>
      </c>
      <c r="C136" s="222" t="s">
        <v>528</v>
      </c>
      <c r="D136" s="311"/>
      <c r="E136" s="312">
        <f t="shared" ref="E136:AR136" si="22">IF(E112&gt;$C$74,0,PPMT($C$90,E112,$C$74,$C$157))</f>
        <v>-47944.36571155343</v>
      </c>
      <c r="F136" s="312">
        <f t="shared" si="22"/>
        <v>-49982.001254294439</v>
      </c>
      <c r="G136" s="312">
        <f t="shared" si="22"/>
        <v>-52106.236307601961</v>
      </c>
      <c r="H136" s="312">
        <f t="shared" si="22"/>
        <v>-54320.75135067504</v>
      </c>
      <c r="I136" s="312">
        <f t="shared" si="22"/>
        <v>-56629.383283078736</v>
      </c>
      <c r="J136" s="312">
        <f t="shared" si="22"/>
        <v>-59036.13207260958</v>
      </c>
      <c r="K136" s="312">
        <f t="shared" si="22"/>
        <v>-61545.16768569548</v>
      </c>
      <c r="L136" s="312">
        <f t="shared" si="22"/>
        <v>-64160.83731233755</v>
      </c>
      <c r="M136" s="312">
        <f t="shared" si="22"/>
        <v>-66887.672898111894</v>
      </c>
      <c r="N136" s="312">
        <f t="shared" si="22"/>
        <v>-69730.398996281641</v>
      </c>
      <c r="O136" s="312">
        <f t="shared" si="22"/>
        <v>-72693.94095362362</v>
      </c>
      <c r="P136" s="312">
        <f t="shared" si="22"/>
        <v>-75783.43344415263</v>
      </c>
      <c r="Q136" s="312">
        <f t="shared" si="22"/>
        <v>-79004.2293655291</v>
      </c>
      <c r="R136" s="312">
        <f t="shared" si="22"/>
        <v>-82361.909113564092</v>
      </c>
      <c r="S136" s="312">
        <f t="shared" si="22"/>
        <v>-85862.290250890583</v>
      </c>
      <c r="T136" s="312">
        <f t="shared" si="22"/>
        <v>0</v>
      </c>
      <c r="U136" s="312">
        <f t="shared" si="22"/>
        <v>0</v>
      </c>
      <c r="V136" s="312">
        <f t="shared" si="22"/>
        <v>0</v>
      </c>
      <c r="W136" s="312">
        <f t="shared" si="22"/>
        <v>0</v>
      </c>
      <c r="X136" s="312">
        <f t="shared" si="22"/>
        <v>0</v>
      </c>
      <c r="Y136" s="312">
        <f t="shared" si="22"/>
        <v>0</v>
      </c>
      <c r="Z136" s="312">
        <f t="shared" si="22"/>
        <v>0</v>
      </c>
      <c r="AA136" s="312">
        <f t="shared" si="22"/>
        <v>0</v>
      </c>
      <c r="AB136" s="312">
        <f t="shared" si="22"/>
        <v>0</v>
      </c>
      <c r="AC136" s="312">
        <f t="shared" si="22"/>
        <v>0</v>
      </c>
      <c r="AD136" s="312">
        <f t="shared" si="22"/>
        <v>0</v>
      </c>
      <c r="AE136" s="312">
        <f t="shared" si="22"/>
        <v>0</v>
      </c>
      <c r="AF136" s="312">
        <f t="shared" si="22"/>
        <v>0</v>
      </c>
      <c r="AG136" s="312">
        <f t="shared" si="22"/>
        <v>0</v>
      </c>
      <c r="AH136" s="312">
        <f t="shared" si="22"/>
        <v>0</v>
      </c>
      <c r="AI136" s="312">
        <f t="shared" si="22"/>
        <v>0</v>
      </c>
      <c r="AJ136" s="312">
        <f t="shared" si="22"/>
        <v>0</v>
      </c>
      <c r="AK136" s="312">
        <f t="shared" si="22"/>
        <v>0</v>
      </c>
      <c r="AL136" s="312">
        <f t="shared" si="22"/>
        <v>0</v>
      </c>
      <c r="AM136" s="312">
        <f t="shared" si="22"/>
        <v>0</v>
      </c>
      <c r="AN136" s="312">
        <f t="shared" si="22"/>
        <v>0</v>
      </c>
      <c r="AO136" s="312">
        <f t="shared" si="22"/>
        <v>0</v>
      </c>
      <c r="AP136" s="312">
        <f t="shared" si="22"/>
        <v>0</v>
      </c>
      <c r="AQ136" s="312">
        <f t="shared" si="22"/>
        <v>0</v>
      </c>
      <c r="AR136" s="313">
        <f t="shared" si="22"/>
        <v>0</v>
      </c>
    </row>
    <row r="137" spans="1:44" s="44" customFormat="1" ht="12.95" customHeight="1">
      <c r="A137" s="16"/>
      <c r="B137" s="265" t="s">
        <v>567</v>
      </c>
      <c r="C137" s="226" t="s">
        <v>528</v>
      </c>
      <c r="D137" s="314"/>
      <c r="E137" s="321">
        <f t="shared" ref="E137:AR137" si="23">SUM(E135,E136)</f>
        <v>-89511.437586553424</v>
      </c>
      <c r="F137" s="321">
        <f t="shared" si="23"/>
        <v>-89511.437586553424</v>
      </c>
      <c r="G137" s="321">
        <f t="shared" si="23"/>
        <v>-89511.437586553424</v>
      </c>
      <c r="H137" s="321">
        <f t="shared" si="23"/>
        <v>-89511.437586553424</v>
      </c>
      <c r="I137" s="321">
        <f t="shared" si="23"/>
        <v>-89511.437586553424</v>
      </c>
      <c r="J137" s="321">
        <f t="shared" si="23"/>
        <v>-89511.437586553424</v>
      </c>
      <c r="K137" s="321">
        <f t="shared" si="23"/>
        <v>-89511.437586553409</v>
      </c>
      <c r="L137" s="321">
        <f t="shared" si="23"/>
        <v>-89511.437586553424</v>
      </c>
      <c r="M137" s="321">
        <f t="shared" si="23"/>
        <v>-89511.437586553424</v>
      </c>
      <c r="N137" s="321">
        <f t="shared" si="23"/>
        <v>-89511.437586553424</v>
      </c>
      <c r="O137" s="321">
        <f t="shared" si="23"/>
        <v>-89511.437586553424</v>
      </c>
      <c r="P137" s="321">
        <f t="shared" si="23"/>
        <v>-89511.437586553424</v>
      </c>
      <c r="Q137" s="321">
        <f t="shared" si="23"/>
        <v>-89511.437586553409</v>
      </c>
      <c r="R137" s="321">
        <f t="shared" si="23"/>
        <v>-89511.437586553424</v>
      </c>
      <c r="S137" s="321">
        <f t="shared" si="23"/>
        <v>-89511.437586553438</v>
      </c>
      <c r="T137" s="321">
        <f t="shared" si="23"/>
        <v>0</v>
      </c>
      <c r="U137" s="321">
        <f t="shared" si="23"/>
        <v>0</v>
      </c>
      <c r="V137" s="321">
        <f t="shared" si="23"/>
        <v>0</v>
      </c>
      <c r="W137" s="321">
        <f t="shared" si="23"/>
        <v>0</v>
      </c>
      <c r="X137" s="321">
        <f t="shared" si="23"/>
        <v>0</v>
      </c>
      <c r="Y137" s="321">
        <f t="shared" si="23"/>
        <v>0</v>
      </c>
      <c r="Z137" s="321">
        <f t="shared" si="23"/>
        <v>0</v>
      </c>
      <c r="AA137" s="321">
        <f t="shared" si="23"/>
        <v>0</v>
      </c>
      <c r="AB137" s="321">
        <f t="shared" si="23"/>
        <v>0</v>
      </c>
      <c r="AC137" s="321">
        <f t="shared" si="23"/>
        <v>0</v>
      </c>
      <c r="AD137" s="321">
        <f t="shared" si="23"/>
        <v>0</v>
      </c>
      <c r="AE137" s="321">
        <f t="shared" si="23"/>
        <v>0</v>
      </c>
      <c r="AF137" s="321">
        <f t="shared" si="23"/>
        <v>0</v>
      </c>
      <c r="AG137" s="321">
        <f t="shared" si="23"/>
        <v>0</v>
      </c>
      <c r="AH137" s="321">
        <f t="shared" si="23"/>
        <v>0</v>
      </c>
      <c r="AI137" s="321">
        <f t="shared" si="23"/>
        <v>0</v>
      </c>
      <c r="AJ137" s="321">
        <f t="shared" si="23"/>
        <v>0</v>
      </c>
      <c r="AK137" s="321">
        <f t="shared" si="23"/>
        <v>0</v>
      </c>
      <c r="AL137" s="321">
        <f t="shared" si="23"/>
        <v>0</v>
      </c>
      <c r="AM137" s="321">
        <f t="shared" si="23"/>
        <v>0</v>
      </c>
      <c r="AN137" s="321">
        <f t="shared" si="23"/>
        <v>0</v>
      </c>
      <c r="AO137" s="321">
        <f t="shared" si="23"/>
        <v>0</v>
      </c>
      <c r="AP137" s="321">
        <f t="shared" si="23"/>
        <v>0</v>
      </c>
      <c r="AQ137" s="321">
        <f t="shared" si="23"/>
        <v>0</v>
      </c>
      <c r="AR137" s="322">
        <f t="shared" si="23"/>
        <v>0</v>
      </c>
    </row>
    <row r="138" spans="1:44" ht="12.95" customHeight="1">
      <c r="B138" s="263" t="s">
        <v>568</v>
      </c>
      <c r="C138" s="223"/>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09"/>
      <c r="AM138" s="309"/>
      <c r="AN138" s="309"/>
      <c r="AO138" s="309"/>
      <c r="AP138" s="309"/>
      <c r="AQ138" s="309"/>
      <c r="AR138" s="310"/>
    </row>
    <row r="139" spans="1:44">
      <c r="B139" s="72" t="s">
        <v>569</v>
      </c>
      <c r="C139" s="222" t="s">
        <v>528</v>
      </c>
      <c r="D139" s="311"/>
      <c r="E139" s="312">
        <f t="shared" ref="E139:AR139" si="24">E132+E134+E135</f>
        <v>-198532.07187499999</v>
      </c>
      <c r="F139" s="312">
        <f t="shared" si="24"/>
        <v>-197770.78633225895</v>
      </c>
      <c r="G139" s="312">
        <f t="shared" si="24"/>
        <v>-196948.42827895144</v>
      </c>
      <c r="H139" s="312">
        <f t="shared" si="24"/>
        <v>-196061.82777587837</v>
      </c>
      <c r="I139" s="312">
        <f t="shared" si="24"/>
        <v>-195107.66867427467</v>
      </c>
      <c r="J139" s="312">
        <f t="shared" si="24"/>
        <v>-194082.48217215983</v>
      </c>
      <c r="K139" s="312">
        <f t="shared" si="24"/>
        <v>-192982.64009223826</v>
      </c>
      <c r="L139" s="312">
        <f t="shared" si="24"/>
        <v>-191804.34786942377</v>
      </c>
      <c r="M139" s="312">
        <f t="shared" si="24"/>
        <v>-190543.63723555359</v>
      </c>
      <c r="N139" s="312">
        <f t="shared" si="24"/>
        <v>-189196.35858832608</v>
      </c>
      <c r="O139" s="312">
        <f t="shared" si="24"/>
        <v>-187758.17303094521</v>
      </c>
      <c r="P139" s="312">
        <f t="shared" si="24"/>
        <v>-186224.5440683765</v>
      </c>
      <c r="Q139" s="312">
        <f t="shared" si="24"/>
        <v>-225808.58726880225</v>
      </c>
      <c r="R139" s="312">
        <f t="shared" si="24"/>
        <v>-182851.76961197445</v>
      </c>
      <c r="S139" s="312">
        <f t="shared" si="24"/>
        <v>-181002.48329742768</v>
      </c>
      <c r="T139" s="312">
        <f t="shared" si="24"/>
        <v>0</v>
      </c>
      <c r="U139" s="312">
        <f t="shared" si="24"/>
        <v>0</v>
      </c>
      <c r="V139" s="312">
        <f t="shared" si="24"/>
        <v>0</v>
      </c>
      <c r="W139" s="312">
        <f t="shared" si="24"/>
        <v>0</v>
      </c>
      <c r="X139" s="312">
        <f t="shared" si="24"/>
        <v>0</v>
      </c>
      <c r="Y139" s="312">
        <f t="shared" si="24"/>
        <v>0</v>
      </c>
      <c r="Z139" s="312">
        <f t="shared" si="24"/>
        <v>0</v>
      </c>
      <c r="AA139" s="312">
        <f t="shared" si="24"/>
        <v>0</v>
      </c>
      <c r="AB139" s="312">
        <f t="shared" si="24"/>
        <v>0</v>
      </c>
      <c r="AC139" s="312">
        <f t="shared" si="24"/>
        <v>0</v>
      </c>
      <c r="AD139" s="312">
        <f t="shared" si="24"/>
        <v>0</v>
      </c>
      <c r="AE139" s="312">
        <f t="shared" si="24"/>
        <v>0</v>
      </c>
      <c r="AF139" s="312">
        <f t="shared" si="24"/>
        <v>0</v>
      </c>
      <c r="AG139" s="312">
        <f t="shared" si="24"/>
        <v>0</v>
      </c>
      <c r="AH139" s="312">
        <f t="shared" si="24"/>
        <v>0</v>
      </c>
      <c r="AI139" s="312">
        <f t="shared" si="24"/>
        <v>0</v>
      </c>
      <c r="AJ139" s="312">
        <f t="shared" si="24"/>
        <v>0</v>
      </c>
      <c r="AK139" s="312">
        <f t="shared" si="24"/>
        <v>0</v>
      </c>
      <c r="AL139" s="312">
        <f t="shared" si="24"/>
        <v>0</v>
      </c>
      <c r="AM139" s="312">
        <f t="shared" si="24"/>
        <v>0</v>
      </c>
      <c r="AN139" s="312">
        <f t="shared" si="24"/>
        <v>0</v>
      </c>
      <c r="AO139" s="312">
        <f t="shared" si="24"/>
        <v>0</v>
      </c>
      <c r="AP139" s="312">
        <f t="shared" si="24"/>
        <v>0</v>
      </c>
      <c r="AQ139" s="312">
        <f t="shared" si="24"/>
        <v>0</v>
      </c>
      <c r="AR139" s="313">
        <f t="shared" si="24"/>
        <v>0</v>
      </c>
    </row>
    <row r="140" spans="1:44">
      <c r="B140" s="72" t="s">
        <v>570</v>
      </c>
      <c r="C140" s="222" t="s">
        <v>528</v>
      </c>
      <c r="D140" s="311"/>
      <c r="E140" s="312">
        <f t="shared" ref="E140:AR140" si="25">-$C$94*E139</f>
        <v>37721.093656249999</v>
      </c>
      <c r="F140" s="312">
        <f t="shared" si="25"/>
        <v>37576.449403129205</v>
      </c>
      <c r="G140" s="312">
        <f t="shared" si="25"/>
        <v>37420.201373000775</v>
      </c>
      <c r="H140" s="312">
        <f t="shared" si="25"/>
        <v>37251.747277416893</v>
      </c>
      <c r="I140" s="312">
        <f t="shared" si="25"/>
        <v>37070.457048112185</v>
      </c>
      <c r="J140" s="312">
        <f t="shared" si="25"/>
        <v>36875.671612710365</v>
      </c>
      <c r="K140" s="312">
        <f t="shared" si="25"/>
        <v>36666.701617525272</v>
      </c>
      <c r="L140" s="312">
        <f t="shared" si="25"/>
        <v>36442.826095190518</v>
      </c>
      <c r="M140" s="312">
        <f t="shared" si="25"/>
        <v>36203.29107475518</v>
      </c>
      <c r="N140" s="312">
        <f t="shared" si="25"/>
        <v>35947.308131781952</v>
      </c>
      <c r="O140" s="312">
        <f t="shared" si="25"/>
        <v>35674.052875879592</v>
      </c>
      <c r="P140" s="312">
        <f t="shared" si="25"/>
        <v>35382.663372991534</v>
      </c>
      <c r="Q140" s="312">
        <f t="shared" si="25"/>
        <v>42903.631581072426</v>
      </c>
      <c r="R140" s="312">
        <f t="shared" si="25"/>
        <v>34741.836226275147</v>
      </c>
      <c r="S140" s="312">
        <f t="shared" si="25"/>
        <v>34390.471826511261</v>
      </c>
      <c r="T140" s="312">
        <f t="shared" si="25"/>
        <v>0</v>
      </c>
      <c r="U140" s="312">
        <f t="shared" si="25"/>
        <v>0</v>
      </c>
      <c r="V140" s="312">
        <f t="shared" si="25"/>
        <v>0</v>
      </c>
      <c r="W140" s="312">
        <f t="shared" si="25"/>
        <v>0</v>
      </c>
      <c r="X140" s="312">
        <f t="shared" si="25"/>
        <v>0</v>
      </c>
      <c r="Y140" s="312">
        <f t="shared" si="25"/>
        <v>0</v>
      </c>
      <c r="Z140" s="312">
        <f t="shared" si="25"/>
        <v>0</v>
      </c>
      <c r="AA140" s="312">
        <f t="shared" si="25"/>
        <v>0</v>
      </c>
      <c r="AB140" s="312">
        <f t="shared" si="25"/>
        <v>0</v>
      </c>
      <c r="AC140" s="312">
        <f t="shared" si="25"/>
        <v>0</v>
      </c>
      <c r="AD140" s="312">
        <f t="shared" si="25"/>
        <v>0</v>
      </c>
      <c r="AE140" s="312">
        <f t="shared" si="25"/>
        <v>0</v>
      </c>
      <c r="AF140" s="312">
        <f t="shared" si="25"/>
        <v>0</v>
      </c>
      <c r="AG140" s="312">
        <f t="shared" si="25"/>
        <v>0</v>
      </c>
      <c r="AH140" s="312">
        <f t="shared" si="25"/>
        <v>0</v>
      </c>
      <c r="AI140" s="312">
        <f t="shared" si="25"/>
        <v>0</v>
      </c>
      <c r="AJ140" s="312">
        <f t="shared" si="25"/>
        <v>0</v>
      </c>
      <c r="AK140" s="312">
        <f t="shared" si="25"/>
        <v>0</v>
      </c>
      <c r="AL140" s="312">
        <f t="shared" si="25"/>
        <v>0</v>
      </c>
      <c r="AM140" s="312">
        <f t="shared" si="25"/>
        <v>0</v>
      </c>
      <c r="AN140" s="312">
        <f t="shared" si="25"/>
        <v>0</v>
      </c>
      <c r="AO140" s="312">
        <f t="shared" si="25"/>
        <v>0</v>
      </c>
      <c r="AP140" s="312">
        <f t="shared" si="25"/>
        <v>0</v>
      </c>
      <c r="AQ140" s="312">
        <f t="shared" si="25"/>
        <v>0</v>
      </c>
      <c r="AR140" s="313">
        <f t="shared" si="25"/>
        <v>0</v>
      </c>
    </row>
    <row r="141" spans="1:44" ht="12.95" customHeight="1">
      <c r="B141" s="263" t="s">
        <v>571</v>
      </c>
      <c r="C141" s="223"/>
      <c r="D141" s="309"/>
      <c r="E141" s="309"/>
      <c r="F141" s="309"/>
      <c r="G141" s="309"/>
      <c r="H141" s="309"/>
      <c r="I141" s="309"/>
      <c r="J141" s="309"/>
      <c r="K141" s="309"/>
      <c r="L141" s="309"/>
      <c r="M141" s="309"/>
      <c r="N141" s="309"/>
      <c r="O141" s="309"/>
      <c r="P141" s="309"/>
      <c r="Q141" s="309"/>
      <c r="R141" s="309"/>
      <c r="S141" s="309"/>
      <c r="T141" s="309"/>
      <c r="U141" s="309"/>
      <c r="V141" s="309"/>
      <c r="W141" s="309"/>
      <c r="X141" s="309"/>
      <c r="Y141" s="309"/>
      <c r="Z141" s="309"/>
      <c r="AA141" s="309"/>
      <c r="AB141" s="309"/>
      <c r="AC141" s="309"/>
      <c r="AD141" s="309"/>
      <c r="AE141" s="309"/>
      <c r="AF141" s="309"/>
      <c r="AG141" s="309"/>
      <c r="AH141" s="309"/>
      <c r="AI141" s="309"/>
      <c r="AJ141" s="309"/>
      <c r="AK141" s="309"/>
      <c r="AL141" s="309"/>
      <c r="AM141" s="309"/>
      <c r="AN141" s="309"/>
      <c r="AO141" s="309"/>
      <c r="AP141" s="309"/>
      <c r="AQ141" s="309"/>
      <c r="AR141" s="310"/>
    </row>
    <row r="142" spans="1:44">
      <c r="B142" s="265" t="s">
        <v>572</v>
      </c>
      <c r="C142" s="226" t="s">
        <v>528</v>
      </c>
      <c r="D142" s="314"/>
      <c r="E142" s="321">
        <f t="shared" ref="E142:AR142" si="26">E132+E137+E140</f>
        <v>-115607.84393030342</v>
      </c>
      <c r="F142" s="321">
        <f t="shared" si="26"/>
        <v>-117028.83818342423</v>
      </c>
      <c r="G142" s="321">
        <f t="shared" si="26"/>
        <v>-118486.96321355263</v>
      </c>
      <c r="H142" s="321">
        <f t="shared" si="26"/>
        <v>-119983.33184913654</v>
      </c>
      <c r="I142" s="321">
        <f t="shared" si="26"/>
        <v>-121519.09490924125</v>
      </c>
      <c r="J142" s="321">
        <f t="shared" si="26"/>
        <v>-123095.44263205907</v>
      </c>
      <c r="K142" s="321">
        <f t="shared" si="26"/>
        <v>-124713.60616040844</v>
      </c>
      <c r="L142" s="321">
        <f t="shared" si="26"/>
        <v>-126374.85908657082</v>
      </c>
      <c r="M142" s="321">
        <f t="shared" si="26"/>
        <v>-128080.51905891033</v>
      </c>
      <c r="N142" s="321">
        <f t="shared" si="26"/>
        <v>-129831.94945282579</v>
      </c>
      <c r="O142" s="321">
        <f t="shared" si="26"/>
        <v>-131630.56110868923</v>
      </c>
      <c r="P142" s="321">
        <f t="shared" si="26"/>
        <v>-133477.81413953757</v>
      </c>
      <c r="Q142" s="321">
        <f t="shared" si="26"/>
        <v>-168761.68505325893</v>
      </c>
      <c r="R142" s="321">
        <f t="shared" si="26"/>
        <v>-137324.34249926341</v>
      </c>
      <c r="S142" s="321">
        <f t="shared" si="26"/>
        <v>-139326.80172180702</v>
      </c>
      <c r="T142" s="321">
        <f t="shared" si="26"/>
        <v>0</v>
      </c>
      <c r="U142" s="321">
        <f t="shared" si="26"/>
        <v>0</v>
      </c>
      <c r="V142" s="321">
        <f t="shared" si="26"/>
        <v>0</v>
      </c>
      <c r="W142" s="321">
        <f t="shared" si="26"/>
        <v>0</v>
      </c>
      <c r="X142" s="321">
        <f t="shared" si="26"/>
        <v>0</v>
      </c>
      <c r="Y142" s="321">
        <f t="shared" si="26"/>
        <v>0</v>
      </c>
      <c r="Z142" s="321">
        <f t="shared" si="26"/>
        <v>0</v>
      </c>
      <c r="AA142" s="321">
        <f t="shared" si="26"/>
        <v>0</v>
      </c>
      <c r="AB142" s="321">
        <f t="shared" si="26"/>
        <v>0</v>
      </c>
      <c r="AC142" s="321">
        <f t="shared" si="26"/>
        <v>0</v>
      </c>
      <c r="AD142" s="321">
        <f t="shared" si="26"/>
        <v>0</v>
      </c>
      <c r="AE142" s="321">
        <f t="shared" si="26"/>
        <v>0</v>
      </c>
      <c r="AF142" s="321">
        <f t="shared" si="26"/>
        <v>0</v>
      </c>
      <c r="AG142" s="321">
        <f t="shared" si="26"/>
        <v>0</v>
      </c>
      <c r="AH142" s="321">
        <f t="shared" si="26"/>
        <v>0</v>
      </c>
      <c r="AI142" s="321">
        <f t="shared" si="26"/>
        <v>0</v>
      </c>
      <c r="AJ142" s="321">
        <f t="shared" si="26"/>
        <v>0</v>
      </c>
      <c r="AK142" s="321">
        <f t="shared" si="26"/>
        <v>0</v>
      </c>
      <c r="AL142" s="321">
        <f t="shared" si="26"/>
        <v>0</v>
      </c>
      <c r="AM142" s="321">
        <f t="shared" si="26"/>
        <v>0</v>
      </c>
      <c r="AN142" s="321">
        <f t="shared" si="26"/>
        <v>0</v>
      </c>
      <c r="AO142" s="321">
        <f t="shared" si="26"/>
        <v>0</v>
      </c>
      <c r="AP142" s="321">
        <f t="shared" si="26"/>
        <v>0</v>
      </c>
      <c r="AQ142" s="321">
        <f t="shared" si="26"/>
        <v>0</v>
      </c>
      <c r="AR142" s="322">
        <f t="shared" si="26"/>
        <v>0</v>
      </c>
    </row>
    <row r="143" spans="1:44">
      <c r="B143" s="72" t="s">
        <v>573</v>
      </c>
      <c r="C143" s="222" t="s">
        <v>528</v>
      </c>
      <c r="D143" s="319">
        <f>-SUM(C157:C158)</f>
        <v>-1397212.4999999998</v>
      </c>
      <c r="E143" s="312">
        <f t="shared" ref="E143:AR143" si="27">E132+E140</f>
        <v>-26096.406343750001</v>
      </c>
      <c r="F143" s="312">
        <f t="shared" si="27"/>
        <v>-27517.400596870793</v>
      </c>
      <c r="G143" s="312">
        <f t="shared" si="27"/>
        <v>-28975.525626999224</v>
      </c>
      <c r="H143" s="312">
        <f t="shared" si="27"/>
        <v>-30471.894262583104</v>
      </c>
      <c r="I143" s="312">
        <f t="shared" si="27"/>
        <v>-32007.657322687817</v>
      </c>
      <c r="J143" s="312">
        <f t="shared" si="27"/>
        <v>-33584.005045505641</v>
      </c>
      <c r="K143" s="312">
        <f t="shared" si="27"/>
        <v>-35202.168573855051</v>
      </c>
      <c r="L143" s="312">
        <f t="shared" si="27"/>
        <v>-36863.421500017394</v>
      </c>
      <c r="M143" s="312">
        <f t="shared" si="27"/>
        <v>-38569.081472356906</v>
      </c>
      <c r="N143" s="312">
        <f t="shared" si="27"/>
        <v>-40320.511866272376</v>
      </c>
      <c r="O143" s="312">
        <f t="shared" si="27"/>
        <v>-42119.123522135815</v>
      </c>
      <c r="P143" s="312">
        <f t="shared" si="27"/>
        <v>-43966.376552984177</v>
      </c>
      <c r="Q143" s="312">
        <f t="shared" si="27"/>
        <v>-79250.247466705536</v>
      </c>
      <c r="R143" s="312">
        <f t="shared" si="27"/>
        <v>-47812.904912709986</v>
      </c>
      <c r="S143" s="312">
        <f t="shared" si="27"/>
        <v>-49815.364135253578</v>
      </c>
      <c r="T143" s="312">
        <f t="shared" si="27"/>
        <v>0</v>
      </c>
      <c r="U143" s="312">
        <f t="shared" si="27"/>
        <v>0</v>
      </c>
      <c r="V143" s="312">
        <f t="shared" si="27"/>
        <v>0</v>
      </c>
      <c r="W143" s="312">
        <f t="shared" si="27"/>
        <v>0</v>
      </c>
      <c r="X143" s="312">
        <f t="shared" si="27"/>
        <v>0</v>
      </c>
      <c r="Y143" s="312">
        <f t="shared" si="27"/>
        <v>0</v>
      </c>
      <c r="Z143" s="312">
        <f t="shared" si="27"/>
        <v>0</v>
      </c>
      <c r="AA143" s="312">
        <f t="shared" si="27"/>
        <v>0</v>
      </c>
      <c r="AB143" s="312">
        <f t="shared" si="27"/>
        <v>0</v>
      </c>
      <c r="AC143" s="312">
        <f t="shared" si="27"/>
        <v>0</v>
      </c>
      <c r="AD143" s="312">
        <f t="shared" si="27"/>
        <v>0</v>
      </c>
      <c r="AE143" s="312">
        <f t="shared" si="27"/>
        <v>0</v>
      </c>
      <c r="AF143" s="312">
        <f t="shared" si="27"/>
        <v>0</v>
      </c>
      <c r="AG143" s="312">
        <f t="shared" si="27"/>
        <v>0</v>
      </c>
      <c r="AH143" s="312">
        <f t="shared" si="27"/>
        <v>0</v>
      </c>
      <c r="AI143" s="312">
        <f t="shared" si="27"/>
        <v>0</v>
      </c>
      <c r="AJ143" s="312">
        <f t="shared" si="27"/>
        <v>0</v>
      </c>
      <c r="AK143" s="312">
        <f t="shared" si="27"/>
        <v>0</v>
      </c>
      <c r="AL143" s="312">
        <f t="shared" si="27"/>
        <v>0</v>
      </c>
      <c r="AM143" s="312">
        <f t="shared" si="27"/>
        <v>0</v>
      </c>
      <c r="AN143" s="312">
        <f t="shared" si="27"/>
        <v>0</v>
      </c>
      <c r="AO143" s="312">
        <f t="shared" si="27"/>
        <v>0</v>
      </c>
      <c r="AP143" s="312">
        <f t="shared" si="27"/>
        <v>0</v>
      </c>
      <c r="AQ143" s="312">
        <f t="shared" si="27"/>
        <v>0</v>
      </c>
      <c r="AR143" s="313">
        <f t="shared" si="27"/>
        <v>0</v>
      </c>
    </row>
    <row r="144" spans="1:44">
      <c r="B144" s="72" t="s">
        <v>574</v>
      </c>
      <c r="C144" s="222" t="s">
        <v>528</v>
      </c>
      <c r="D144" s="319">
        <f>-C158</f>
        <v>-419163.74999999994</v>
      </c>
      <c r="E144" s="312">
        <f t="shared" ref="E144:AR144" si="28">E142</f>
        <v>-115607.84393030342</v>
      </c>
      <c r="F144" s="312">
        <f t="shared" si="28"/>
        <v>-117028.83818342423</v>
      </c>
      <c r="G144" s="312">
        <f t="shared" si="28"/>
        <v>-118486.96321355263</v>
      </c>
      <c r="H144" s="312">
        <f t="shared" si="28"/>
        <v>-119983.33184913654</v>
      </c>
      <c r="I144" s="312">
        <f t="shared" si="28"/>
        <v>-121519.09490924125</v>
      </c>
      <c r="J144" s="312">
        <f t="shared" si="28"/>
        <v>-123095.44263205907</v>
      </c>
      <c r="K144" s="312">
        <f t="shared" si="28"/>
        <v>-124713.60616040844</v>
      </c>
      <c r="L144" s="312">
        <f t="shared" si="28"/>
        <v>-126374.85908657082</v>
      </c>
      <c r="M144" s="312">
        <f t="shared" si="28"/>
        <v>-128080.51905891033</v>
      </c>
      <c r="N144" s="312">
        <f t="shared" si="28"/>
        <v>-129831.94945282579</v>
      </c>
      <c r="O144" s="312">
        <f t="shared" si="28"/>
        <v>-131630.56110868923</v>
      </c>
      <c r="P144" s="312">
        <f t="shared" si="28"/>
        <v>-133477.81413953757</v>
      </c>
      <c r="Q144" s="312">
        <f t="shared" si="28"/>
        <v>-168761.68505325893</v>
      </c>
      <c r="R144" s="312">
        <f t="shared" si="28"/>
        <v>-137324.34249926341</v>
      </c>
      <c r="S144" s="312">
        <f t="shared" si="28"/>
        <v>-139326.80172180702</v>
      </c>
      <c r="T144" s="312">
        <f t="shared" si="28"/>
        <v>0</v>
      </c>
      <c r="U144" s="312">
        <f t="shared" si="28"/>
        <v>0</v>
      </c>
      <c r="V144" s="312">
        <f t="shared" si="28"/>
        <v>0</v>
      </c>
      <c r="W144" s="312">
        <f t="shared" si="28"/>
        <v>0</v>
      </c>
      <c r="X144" s="312">
        <f t="shared" si="28"/>
        <v>0</v>
      </c>
      <c r="Y144" s="312">
        <f t="shared" si="28"/>
        <v>0</v>
      </c>
      <c r="Z144" s="312">
        <f t="shared" si="28"/>
        <v>0</v>
      </c>
      <c r="AA144" s="312">
        <f t="shared" si="28"/>
        <v>0</v>
      </c>
      <c r="AB144" s="312">
        <f t="shared" si="28"/>
        <v>0</v>
      </c>
      <c r="AC144" s="312">
        <f t="shared" si="28"/>
        <v>0</v>
      </c>
      <c r="AD144" s="312">
        <f t="shared" si="28"/>
        <v>0</v>
      </c>
      <c r="AE144" s="312">
        <f t="shared" si="28"/>
        <v>0</v>
      </c>
      <c r="AF144" s="312">
        <f t="shared" si="28"/>
        <v>0</v>
      </c>
      <c r="AG144" s="312">
        <f t="shared" si="28"/>
        <v>0</v>
      </c>
      <c r="AH144" s="312">
        <f t="shared" si="28"/>
        <v>0</v>
      </c>
      <c r="AI144" s="312">
        <f t="shared" si="28"/>
        <v>0</v>
      </c>
      <c r="AJ144" s="312">
        <f t="shared" si="28"/>
        <v>0</v>
      </c>
      <c r="AK144" s="312">
        <f t="shared" si="28"/>
        <v>0</v>
      </c>
      <c r="AL144" s="312">
        <f t="shared" si="28"/>
        <v>0</v>
      </c>
      <c r="AM144" s="312">
        <f t="shared" si="28"/>
        <v>0</v>
      </c>
      <c r="AN144" s="312">
        <f t="shared" si="28"/>
        <v>0</v>
      </c>
      <c r="AO144" s="312">
        <f t="shared" si="28"/>
        <v>0</v>
      </c>
      <c r="AP144" s="312">
        <f t="shared" si="28"/>
        <v>0</v>
      </c>
      <c r="AQ144" s="312">
        <f t="shared" si="28"/>
        <v>0</v>
      </c>
      <c r="AR144" s="313">
        <f t="shared" si="28"/>
        <v>0</v>
      </c>
    </row>
    <row r="145" spans="1:44">
      <c r="B145" s="72" t="s">
        <v>575</v>
      </c>
      <c r="C145" s="224" t="str">
        <f>$C$7</f>
        <v>kWh</v>
      </c>
      <c r="D145" s="311"/>
      <c r="E145" s="312">
        <f t="shared" ref="E145:AR145" si="29">IF(E112&gt;$C$76,0,E118)</f>
        <v>1825000</v>
      </c>
      <c r="F145" s="312">
        <f t="shared" si="29"/>
        <v>1825000</v>
      </c>
      <c r="G145" s="312">
        <f t="shared" si="29"/>
        <v>1825000</v>
      </c>
      <c r="H145" s="312">
        <f t="shared" si="29"/>
        <v>1825000</v>
      </c>
      <c r="I145" s="312">
        <f t="shared" si="29"/>
        <v>1825000</v>
      </c>
      <c r="J145" s="312">
        <f t="shared" si="29"/>
        <v>1825000</v>
      </c>
      <c r="K145" s="312">
        <f t="shared" si="29"/>
        <v>1825000</v>
      </c>
      <c r="L145" s="312">
        <f t="shared" si="29"/>
        <v>1825000</v>
      </c>
      <c r="M145" s="312">
        <f t="shared" si="29"/>
        <v>1825000</v>
      </c>
      <c r="N145" s="312">
        <f t="shared" si="29"/>
        <v>1825000</v>
      </c>
      <c r="O145" s="312">
        <f t="shared" si="29"/>
        <v>1825000</v>
      </c>
      <c r="P145" s="312">
        <f t="shared" si="29"/>
        <v>1825000</v>
      </c>
      <c r="Q145" s="312">
        <f t="shared" si="29"/>
        <v>1825000</v>
      </c>
      <c r="R145" s="312">
        <f t="shared" si="29"/>
        <v>1825000</v>
      </c>
      <c r="S145" s="312">
        <f t="shared" si="29"/>
        <v>1825000</v>
      </c>
      <c r="T145" s="312">
        <f t="shared" si="29"/>
        <v>0</v>
      </c>
      <c r="U145" s="312">
        <f t="shared" si="29"/>
        <v>0</v>
      </c>
      <c r="V145" s="312">
        <f t="shared" si="29"/>
        <v>0</v>
      </c>
      <c r="W145" s="312">
        <f t="shared" si="29"/>
        <v>0</v>
      </c>
      <c r="X145" s="312">
        <f t="shared" si="29"/>
        <v>0</v>
      </c>
      <c r="Y145" s="312">
        <f t="shared" si="29"/>
        <v>0</v>
      </c>
      <c r="Z145" s="312">
        <f t="shared" si="29"/>
        <v>0</v>
      </c>
      <c r="AA145" s="312">
        <f t="shared" si="29"/>
        <v>0</v>
      </c>
      <c r="AB145" s="312">
        <f t="shared" si="29"/>
        <v>0</v>
      </c>
      <c r="AC145" s="312">
        <f t="shared" si="29"/>
        <v>0</v>
      </c>
      <c r="AD145" s="312">
        <f t="shared" si="29"/>
        <v>0</v>
      </c>
      <c r="AE145" s="312">
        <f t="shared" si="29"/>
        <v>0</v>
      </c>
      <c r="AF145" s="312">
        <f t="shared" si="29"/>
        <v>0</v>
      </c>
      <c r="AG145" s="312">
        <f t="shared" si="29"/>
        <v>0</v>
      </c>
      <c r="AH145" s="312">
        <f t="shared" si="29"/>
        <v>0</v>
      </c>
      <c r="AI145" s="312">
        <f t="shared" si="29"/>
        <v>0</v>
      </c>
      <c r="AJ145" s="312">
        <f t="shared" si="29"/>
        <v>0</v>
      </c>
      <c r="AK145" s="312">
        <f t="shared" si="29"/>
        <v>0</v>
      </c>
      <c r="AL145" s="312">
        <f t="shared" si="29"/>
        <v>0</v>
      </c>
      <c r="AM145" s="312">
        <f t="shared" si="29"/>
        <v>0</v>
      </c>
      <c r="AN145" s="312">
        <f t="shared" si="29"/>
        <v>0</v>
      </c>
      <c r="AO145" s="312">
        <f t="shared" si="29"/>
        <v>0</v>
      </c>
      <c r="AP145" s="312">
        <f t="shared" si="29"/>
        <v>0</v>
      </c>
      <c r="AQ145" s="312">
        <f t="shared" si="29"/>
        <v>0</v>
      </c>
      <c r="AR145" s="313">
        <f t="shared" si="29"/>
        <v>0</v>
      </c>
    </row>
    <row r="146" spans="1:44">
      <c r="B146" s="266" t="s">
        <v>576</v>
      </c>
      <c r="C146" s="222" t="s">
        <v>528</v>
      </c>
      <c r="D146" s="323">
        <f>-D113</f>
        <v>1397212.4999999998</v>
      </c>
      <c r="E146" s="323">
        <f t="shared" ref="E146:AR146" si="30">IF(E112&lt;=$C76,D146-($C$5*E118+E132+E135),D146-(E132+E135))</f>
        <v>1290897.0718749997</v>
      </c>
      <c r="F146" s="323">
        <f t="shared" si="30"/>
        <v>1183820.3582072586</v>
      </c>
      <c r="G146" s="323">
        <f t="shared" si="30"/>
        <v>1075921.2864862101</v>
      </c>
      <c r="H146" s="323">
        <f t="shared" si="30"/>
        <v>967135.61426208843</v>
      </c>
      <c r="I146" s="323">
        <f t="shared" si="30"/>
        <v>857395.78293636313</v>
      </c>
      <c r="J146" s="323">
        <f t="shared" si="30"/>
        <v>746630.76510852296</v>
      </c>
      <c r="K146" s="323">
        <f t="shared" si="30"/>
        <v>634765.90520076128</v>
      </c>
      <c r="L146" s="323">
        <f t="shared" si="30"/>
        <v>521722.75307018508</v>
      </c>
      <c r="M146" s="323">
        <f t="shared" si="30"/>
        <v>407418.89030573866</v>
      </c>
      <c r="N146" s="323">
        <f t="shared" si="30"/>
        <v>291767.7488940648</v>
      </c>
      <c r="O146" s="323">
        <f t="shared" si="30"/>
        <v>174678.42192501001</v>
      </c>
      <c r="P146" s="323">
        <f t="shared" si="30"/>
        <v>56055.465993386533</v>
      </c>
      <c r="Q146" s="323">
        <f t="shared" si="30"/>
        <v>-22983.446737811202</v>
      </c>
      <c r="R146" s="323">
        <f t="shared" si="30"/>
        <v>-144979.17712583675</v>
      </c>
      <c r="S146" s="323">
        <f t="shared" si="30"/>
        <v>-268824.19382840907</v>
      </c>
      <c r="T146" s="323">
        <f t="shared" si="30"/>
        <v>-268824.19382840907</v>
      </c>
      <c r="U146" s="323">
        <f t="shared" si="30"/>
        <v>-268824.19382840907</v>
      </c>
      <c r="V146" s="323">
        <f t="shared" si="30"/>
        <v>-268824.19382840907</v>
      </c>
      <c r="W146" s="323">
        <f t="shared" si="30"/>
        <v>-268824.19382840907</v>
      </c>
      <c r="X146" s="323">
        <f t="shared" si="30"/>
        <v>-268824.19382840907</v>
      </c>
      <c r="Y146" s="323">
        <f t="shared" si="30"/>
        <v>-268824.19382840907</v>
      </c>
      <c r="Z146" s="323">
        <f t="shared" si="30"/>
        <v>-268824.19382840907</v>
      </c>
      <c r="AA146" s="323">
        <f t="shared" si="30"/>
        <v>-268824.19382840907</v>
      </c>
      <c r="AB146" s="323">
        <f t="shared" si="30"/>
        <v>-268824.19382840907</v>
      </c>
      <c r="AC146" s="323">
        <f t="shared" si="30"/>
        <v>-268824.19382840907</v>
      </c>
      <c r="AD146" s="323">
        <f t="shared" si="30"/>
        <v>-268824.19382840907</v>
      </c>
      <c r="AE146" s="323">
        <f t="shared" si="30"/>
        <v>-268824.19382840907</v>
      </c>
      <c r="AF146" s="323">
        <f t="shared" si="30"/>
        <v>-268824.19382840907</v>
      </c>
      <c r="AG146" s="323">
        <f t="shared" si="30"/>
        <v>-268824.19382840907</v>
      </c>
      <c r="AH146" s="323">
        <f t="shared" si="30"/>
        <v>-268824.19382840907</v>
      </c>
      <c r="AI146" s="323">
        <f t="shared" si="30"/>
        <v>-268824.19382840907</v>
      </c>
      <c r="AJ146" s="323">
        <f t="shared" si="30"/>
        <v>-268824.19382840907</v>
      </c>
      <c r="AK146" s="323">
        <f t="shared" si="30"/>
        <v>-268824.19382840907</v>
      </c>
      <c r="AL146" s="323">
        <f t="shared" si="30"/>
        <v>-268824.19382840907</v>
      </c>
      <c r="AM146" s="323">
        <f t="shared" si="30"/>
        <v>-268824.19382840907</v>
      </c>
      <c r="AN146" s="323">
        <f t="shared" si="30"/>
        <v>-268824.19382840907</v>
      </c>
      <c r="AO146" s="323">
        <f t="shared" si="30"/>
        <v>-268824.19382840907</v>
      </c>
      <c r="AP146" s="323">
        <f t="shared" si="30"/>
        <v>-268824.19382840907</v>
      </c>
      <c r="AQ146" s="323">
        <f t="shared" si="30"/>
        <v>-268824.19382840907</v>
      </c>
      <c r="AR146" s="324">
        <f t="shared" si="30"/>
        <v>-268824.19382840907</v>
      </c>
    </row>
    <row r="147" spans="1:44" ht="12.95" customHeight="1">
      <c r="B147" s="267" t="s">
        <v>577</v>
      </c>
      <c r="C147" s="268"/>
      <c r="D147" s="325"/>
      <c r="E147" s="326">
        <f t="shared" ref="E147:AR147" si="31">IF(E112&gt;$C$74,"",(-$C$94*(E139+$C$5*E118)+E132+$C$5*E118)/-E137)</f>
        <v>1.6241566170320265</v>
      </c>
      <c r="F147" s="326">
        <f t="shared" si="31"/>
        <v>1.6082816150050872</v>
      </c>
      <c r="G147" s="326">
        <f t="shared" si="31"/>
        <v>1.5919917969724087</v>
      </c>
      <c r="H147" s="326">
        <f t="shared" si="31"/>
        <v>1.5752747306853547</v>
      </c>
      <c r="I147" s="326">
        <f t="shared" si="31"/>
        <v>1.5581175594733556</v>
      </c>
      <c r="J147" s="326">
        <f t="shared" si="31"/>
        <v>1.5405069862849448</v>
      </c>
      <c r="K147" s="326">
        <f t="shared" si="31"/>
        <v>1.5224292570921285</v>
      </c>
      <c r="L147" s="326">
        <f t="shared" si="31"/>
        <v>1.5038701436318402</v>
      </c>
      <c r="M147" s="326">
        <f t="shared" si="31"/>
        <v>1.484814925457177</v>
      </c>
      <c r="N147" s="326">
        <f t="shared" si="31"/>
        <v>1.4652483712699327</v>
      </c>
      <c r="O147" s="326">
        <f t="shared" si="31"/>
        <v>1.4451547195047683</v>
      </c>
      <c r="P147" s="326">
        <f t="shared" si="31"/>
        <v>1.4245176581341232</v>
      </c>
      <c r="Q147" s="326">
        <f t="shared" si="31"/>
        <v>1.0303348378704731</v>
      </c>
      <c r="R147" s="326">
        <f t="shared" si="31"/>
        <v>1.3815451792706663</v>
      </c>
      <c r="S147" s="326">
        <f t="shared" si="31"/>
        <v>1.3591741920925493</v>
      </c>
      <c r="T147" s="326" t="str">
        <f t="shared" si="31"/>
        <v/>
      </c>
      <c r="U147" s="326" t="str">
        <f t="shared" si="31"/>
        <v/>
      </c>
      <c r="V147" s="326" t="str">
        <f t="shared" si="31"/>
        <v/>
      </c>
      <c r="W147" s="326" t="str">
        <f t="shared" si="31"/>
        <v/>
      </c>
      <c r="X147" s="326" t="str">
        <f t="shared" si="31"/>
        <v/>
      </c>
      <c r="Y147" s="326" t="str">
        <f t="shared" si="31"/>
        <v/>
      </c>
      <c r="Z147" s="326" t="str">
        <f t="shared" si="31"/>
        <v/>
      </c>
      <c r="AA147" s="326" t="str">
        <f t="shared" si="31"/>
        <v/>
      </c>
      <c r="AB147" s="326" t="str">
        <f t="shared" si="31"/>
        <v/>
      </c>
      <c r="AC147" s="326" t="str">
        <f t="shared" si="31"/>
        <v/>
      </c>
      <c r="AD147" s="326" t="str">
        <f t="shared" si="31"/>
        <v/>
      </c>
      <c r="AE147" s="326" t="str">
        <f t="shared" si="31"/>
        <v/>
      </c>
      <c r="AF147" s="326" t="str">
        <f t="shared" si="31"/>
        <v/>
      </c>
      <c r="AG147" s="326" t="str">
        <f t="shared" si="31"/>
        <v/>
      </c>
      <c r="AH147" s="326" t="str">
        <f t="shared" si="31"/>
        <v/>
      </c>
      <c r="AI147" s="326" t="str">
        <f t="shared" si="31"/>
        <v/>
      </c>
      <c r="AJ147" s="326" t="str">
        <f t="shared" si="31"/>
        <v/>
      </c>
      <c r="AK147" s="326" t="str">
        <f t="shared" si="31"/>
        <v/>
      </c>
      <c r="AL147" s="326" t="str">
        <f t="shared" si="31"/>
        <v/>
      </c>
      <c r="AM147" s="326" t="str">
        <f t="shared" si="31"/>
        <v/>
      </c>
      <c r="AN147" s="326" t="str">
        <f t="shared" si="31"/>
        <v/>
      </c>
      <c r="AO147" s="326" t="str">
        <f t="shared" si="31"/>
        <v/>
      </c>
      <c r="AP147" s="326" t="str">
        <f t="shared" si="31"/>
        <v/>
      </c>
      <c r="AQ147" s="326" t="str">
        <f t="shared" si="31"/>
        <v/>
      </c>
      <c r="AR147" s="327" t="str">
        <f t="shared" si="31"/>
        <v/>
      </c>
    </row>
    <row r="148" spans="1:44" ht="12.95" customHeight="1">
      <c r="A148" s="44"/>
      <c r="B148" s="44"/>
      <c r="C148" s="44"/>
      <c r="D148" s="16"/>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row>
    <row r="149" spans="1:44" ht="12.95" customHeight="1">
      <c r="B149" s="85" t="s">
        <v>578</v>
      </c>
      <c r="C149" s="79" t="s">
        <v>79</v>
      </c>
      <c r="D149" s="91" t="s">
        <v>248</v>
      </c>
      <c r="E149" s="45"/>
      <c r="F149" s="45"/>
      <c r="G149" s="45"/>
      <c r="H149" s="45"/>
      <c r="I149" s="45"/>
      <c r="J149" s="45"/>
      <c r="K149" s="45"/>
      <c r="L149" s="45"/>
      <c r="M149" s="45"/>
    </row>
    <row r="150" spans="1:44">
      <c r="B150" s="72" t="s">
        <v>579</v>
      </c>
      <c r="C150" s="270">
        <f>NPV($C$91,E142:AR142)</f>
        <v>-1188590.1910679878</v>
      </c>
      <c r="D150" s="271" t="s">
        <v>580</v>
      </c>
    </row>
    <row r="151" spans="1:44">
      <c r="B151" s="72" t="s">
        <v>581</v>
      </c>
      <c r="C151" s="272">
        <f>(1-$C$94)*NPV($C$91,E145:AR145)</f>
        <v>13899495.23451224</v>
      </c>
      <c r="D151" s="271" t="str">
        <f>$C$7</f>
        <v>kWh</v>
      </c>
      <c r="F151" s="273"/>
    </row>
    <row r="152" spans="1:44">
      <c r="B152" s="72" t="s">
        <v>582</v>
      </c>
      <c r="C152" s="272">
        <f>$C$41*1000000</f>
        <v>1397212.4999999998</v>
      </c>
      <c r="D152" s="271" t="s">
        <v>528</v>
      </c>
      <c r="F152" s="46"/>
    </row>
    <row r="153" spans="1:44">
      <c r="B153" s="72" t="s">
        <v>583</v>
      </c>
      <c r="C153" s="274">
        <f>AVERAGE(E147:AR147)</f>
        <v>1.4743612393184558</v>
      </c>
      <c r="D153" s="271"/>
      <c r="F153" s="46"/>
    </row>
    <row r="154" spans="1:44">
      <c r="B154" s="72" t="s">
        <v>584</v>
      </c>
      <c r="C154" s="95" t="str">
        <f>CONCATENATE(ROUND(((1-$C$94)*$C$90*$C$92+$C$93*$C$91)*100,1),"% / ",ROUND((((1+(1-$C$94)*$C$90*$C$92+$C$93*$C$91)/(1+$C$89))-1)*100,1),"%")</f>
        <v>4,4% / 2,3%</v>
      </c>
      <c r="D154" s="271"/>
      <c r="F154" s="273"/>
      <c r="G154" s="47"/>
    </row>
    <row r="155" spans="1:44">
      <c r="B155" s="72" t="s">
        <v>585</v>
      </c>
      <c r="C155" s="95" t="str">
        <f>IFERROR(IRR(D143:AR143),"n.v.t.")</f>
        <v>n.v.t.</v>
      </c>
      <c r="D155" s="271"/>
      <c r="F155" s="46"/>
      <c r="G155" s="47"/>
    </row>
    <row r="156" spans="1:44">
      <c r="B156" s="72" t="s">
        <v>586</v>
      </c>
      <c r="C156" s="95" t="str">
        <f>IFERROR(IRR(D144:AR144),"n.v.t.")</f>
        <v>n.v.t.</v>
      </c>
      <c r="D156" s="271"/>
      <c r="G156" s="47"/>
    </row>
    <row r="157" spans="1:44">
      <c r="B157" s="72" t="s">
        <v>587</v>
      </c>
      <c r="C157" s="272">
        <f>$C$92*C152-C97</f>
        <v>978048.74999999977</v>
      </c>
      <c r="D157" s="271" t="s">
        <v>528</v>
      </c>
      <c r="F157" s="33"/>
    </row>
    <row r="158" spans="1:44">
      <c r="B158" s="72" t="s">
        <v>588</v>
      </c>
      <c r="C158" s="272">
        <f>$C$93*C152-C98</f>
        <v>419163.74999999994</v>
      </c>
      <c r="D158" s="271" t="s">
        <v>528</v>
      </c>
      <c r="F158" s="33"/>
    </row>
    <row r="159" spans="1:44">
      <c r="B159" s="72" t="s">
        <v>332</v>
      </c>
      <c r="C159" s="95">
        <f>IF(AND(E115&gt;0,E116&gt;0),ROUND(E116/E115,2),0)</f>
        <v>0</v>
      </c>
      <c r="D159" s="271" t="s">
        <v>589</v>
      </c>
      <c r="F159" s="33"/>
    </row>
    <row r="160" spans="1:44">
      <c r="B160" s="72" t="s">
        <v>590</v>
      </c>
      <c r="C160" s="95">
        <f>IF(C159=0,MAX(C29:C30),E118/SUM(C26,C28))</f>
        <v>730</v>
      </c>
      <c r="D160" s="271" t="s">
        <v>446</v>
      </c>
      <c r="F160" s="33"/>
    </row>
    <row r="161" spans="2:44" ht="15" customHeight="1">
      <c r="B161" s="73" t="s">
        <v>591</v>
      </c>
      <c r="C161" s="426" t="str">
        <f>CONCATENATE( "tussen ", INDEX(D112:X112, MATCH(0,D146:AR146, -1)), " en ",  1 + INDEX(D112:X112, MATCH(0,D146:AR146, -1)), " jaar")</f>
        <v>tussen 12 en 13 jaar</v>
      </c>
      <c r="D161" s="434"/>
      <c r="F161" s="48"/>
      <c r="G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row>
    <row r="162" spans="2:44">
      <c r="B162" s="10"/>
      <c r="C162" s="10"/>
      <c r="D162" s="49"/>
      <c r="E162" s="41"/>
      <c r="F162" s="48"/>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row>
    <row r="163" spans="2:44">
      <c r="B163" s="92" t="s">
        <v>592</v>
      </c>
      <c r="C163" s="79" t="s">
        <v>79</v>
      </c>
      <c r="D163" s="91" t="s">
        <v>248</v>
      </c>
      <c r="E163" s="41"/>
      <c r="F163" s="48"/>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row>
    <row r="164" spans="2:44" ht="14.85" customHeight="1">
      <c r="B164" s="72" t="s">
        <v>39</v>
      </c>
      <c r="C164" s="341">
        <f>IF($C$15&gt;0,
ROUND(INDEX(Correcties!$A$1:$I$37,MATCH($C$15,Correcties!$A$1:$A$37,0),8),Colofon!$C$31),
ROUND(_xlfn.XLOOKUP($C12,Correcties!$A$3:$A$37,Correcties!$H$3:$H$37,"n.v.t"),Colofon!$C$31))</f>
        <v>4.7E-2</v>
      </c>
      <c r="D164" s="271" t="str">
        <f t="shared" ref="D164:D179" si="32">CONCATENATE("Euro/",$C$7)</f>
        <v>Euro/kWh</v>
      </c>
    </row>
    <row r="165" spans="2:44" ht="14.85" customHeight="1">
      <c r="B165" s="72" t="s">
        <v>593</v>
      </c>
      <c r="C165" s="341" t="str">
        <f>IF($C$15&gt;0,CONCATENATE(TEXT(C166,"0"&amp;","&amp;REPT("0",Colofon!$C$31))," / ",TEXT(C167,"0"&amp;","&amp;REPT("0",Colofon!$C$31))),C164)</f>
        <v>0,047 / 0,086</v>
      </c>
      <c r="D165" s="271" t="str">
        <f t="shared" si="32"/>
        <v>Euro/kWh</v>
      </c>
    </row>
    <row r="166" spans="2:44" ht="14.85" customHeight="1">
      <c r="B166" s="72" t="s">
        <v>594</v>
      </c>
      <c r="C166" s="342">
        <f>IFERROR(ROUND(INDEX(Correcties!$A$1:$K$37,MATCH($C$15,Correcties!$A$1:$A$37,0),8),Colofon!$C$31),"n.v.t.")</f>
        <v>4.7E-2</v>
      </c>
      <c r="D166" s="271" t="str">
        <f t="shared" si="32"/>
        <v>Euro/kWh</v>
      </c>
    </row>
    <row r="167" spans="2:44" ht="14.85" customHeight="1">
      <c r="B167" s="72" t="s">
        <v>52</v>
      </c>
      <c r="C167" s="343">
        <f>IFERROR(ROUND(INDEX(Correcties!$A$1:$K$37,MATCH($C$16,Correcties!$A$1:$A$37,0),8),Colofon!$C$31),"n.v.t.")</f>
        <v>8.5999999999999993E-2</v>
      </c>
      <c r="D167" s="271" t="str">
        <f t="shared" si="32"/>
        <v>Euro/kWh</v>
      </c>
    </row>
    <row r="168" spans="2:44" s="10" customFormat="1">
      <c r="B168" s="80" t="s">
        <v>595</v>
      </c>
      <c r="C168" s="344">
        <f>IF($C$15&gt;0,
ROUND(INDEX(Correcties!$A$1:$I$37,MATCH($C$15,Correcties!$A$1:$A$37,0),6),Colofon!$C$31),
ROUND(_xlfn.XLOOKUP($C12,Correcties!$A$3:$A$37,Correcties!$F$3:$F$37,"n.v.t"),Colofon!$C$31))</f>
        <v>7.0999999999999994E-2</v>
      </c>
      <c r="D168" s="275" t="str">
        <f t="shared" si="32"/>
        <v>Euro/kWh</v>
      </c>
    </row>
    <row r="169" spans="2:44" s="10" customFormat="1">
      <c r="B169" s="72" t="s">
        <v>596</v>
      </c>
      <c r="C169" s="341" t="str">
        <f>IF($C$15&gt;0,CONCATENATE(TEXT(C170,"0"&amp;","&amp;REPT("0",Colofon!$C$31))," / ",TEXT(C171,"0"&amp;","&amp;REPT("0",Colofon!$C$31))),C168)</f>
        <v>0,071 / 0,110</v>
      </c>
      <c r="D169" s="271" t="str">
        <f t="shared" si="32"/>
        <v>Euro/kWh</v>
      </c>
    </row>
    <row r="170" spans="2:44" s="10" customFormat="1">
      <c r="B170" s="72" t="s">
        <v>597</v>
      </c>
      <c r="C170" s="342">
        <f>IFERROR(ROUND(INDEX(Correcties!$A$1:$K$37,MATCH(C15,Correcties!$A$1:$A$37,0),6),Colofon!$C$31),"n.v.t.")</f>
        <v>7.0999999999999994E-2</v>
      </c>
      <c r="D170" s="271" t="str">
        <f t="shared" si="32"/>
        <v>Euro/kWh</v>
      </c>
    </row>
    <row r="171" spans="2:44" s="10" customFormat="1">
      <c r="B171" s="72" t="s">
        <v>598</v>
      </c>
      <c r="C171" s="342">
        <f>IFERROR(ROUND(INDEX(Correcties!$A$1:$K$37,MATCH(C16,Correcties!$A$1:$A$37,0),6),Colofon!$C$31),"n.v.t.")</f>
        <v>0.11</v>
      </c>
      <c r="D171" s="271" t="str">
        <f t="shared" si="32"/>
        <v>Euro/kWh</v>
      </c>
    </row>
    <row r="172" spans="2:44" s="10" customFormat="1">
      <c r="B172" s="80" t="str">
        <f>"Voorlopig correctiebedrag "&amp;Colofon!$C$29</f>
        <v>Voorlopig correctiebedrag 2026</v>
      </c>
      <c r="C172" s="344">
        <f>IF($C$15&gt;0,
ROUND(INDEX(Correcties!$A$1:$I$37,MATCH($C$15,Correcties!$A$1:$A$37,0),4),Colofon!$C$31),
ROUND(_xlfn.XLOOKUP($C$12,Correcties!$A$3:$A$37,Correcties!$D$3:$D$37,"n.v.t"),Colofon!$C$31))</f>
        <v>7.2999999999999995E-2</v>
      </c>
      <c r="D172" s="275" t="str">
        <f t="shared" si="32"/>
        <v>Euro/kWh</v>
      </c>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row>
    <row r="173" spans="2:44" s="10" customFormat="1">
      <c r="B173" s="72" t="str">
        <f>"Voorlopig correctiebedrag "&amp;Colofon!$C$29 &amp;" netlevering/niet-netlevering"</f>
        <v>Voorlopig correctiebedrag 2026 netlevering/niet-netlevering</v>
      </c>
      <c r="C173" s="341" t="str">
        <f>IF($C$15&gt;0,CONCATENATE(TEXT(C174,"0"&amp;","&amp;REPT("0",Colofon!$C$31))," / ",TEXT(C175,"0"&amp;","&amp;REPT("0",Colofon!$C$31))),C172)</f>
        <v>0,073 / 0,111</v>
      </c>
      <c r="D173" s="271" t="str">
        <f t="shared" si="32"/>
        <v>Euro/kWh</v>
      </c>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row>
    <row r="174" spans="2:44" s="10" customFormat="1">
      <c r="B174" s="72" t="str">
        <f>"Voorlopig correctiebedrag "&amp;Colofon!$C$29 &amp;" netlevering"</f>
        <v>Voorlopig correctiebedrag 2026 netlevering</v>
      </c>
      <c r="C174" s="342">
        <f>IFERROR(ROUND(INDEX(Correcties!$A$1:$K$37,MATCH($C$15,Correcties!$A$1:$A$37,0),4),Colofon!$C$31),"n.v.t.")</f>
        <v>7.2999999999999995E-2</v>
      </c>
      <c r="D174" s="271" t="str">
        <f t="shared" si="32"/>
        <v>Euro/kWh</v>
      </c>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row>
    <row r="175" spans="2:44" s="10" customFormat="1">
      <c r="B175" s="73" t="str">
        <f>"Voorlopig correctiebedrag "&amp;Colofon!$C$29 &amp;" niet-netlevering"</f>
        <v>Voorlopig correctiebedrag 2026 niet-netlevering</v>
      </c>
      <c r="C175" s="343">
        <f>IFERROR(ROUND(INDEX(Correcties!$A$1:$K$37,MATCH($C$16,Correcties!$A$1:$A$37,0),4),Colofon!$C$31),"n.v.t.")</f>
        <v>0.111</v>
      </c>
      <c r="D175" s="276" t="str">
        <f t="shared" si="32"/>
        <v>Euro/kWh</v>
      </c>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row>
    <row r="176" spans="2:44" s="10" customFormat="1">
      <c r="B176" s="73" t="str">
        <f>"Voorlopige GvO-waarde "&amp;Colofon!$C$29</f>
        <v>Voorlopige GvO-waarde 2026</v>
      </c>
      <c r="C176" s="345">
        <f>IF(C15&gt;0,_xlfn.XLOOKUP(C15,Correcties!A41:A44,Correcties!D41:D44,0), _xlfn.XLOOKUP(C12,Correcties!A41:A44,Correcties!D41:D44,0))</f>
        <v>2E-3</v>
      </c>
      <c r="D176" s="276" t="str">
        <f t="shared" si="32"/>
        <v>Euro/kWh</v>
      </c>
    </row>
    <row r="177" spans="2:16" s="10" customFormat="1">
      <c r="B177" s="72" t="str">
        <f>"Voorlopige HBE-waarde "&amp;Colofon!$C$29&amp;" netlevering"</f>
        <v>Voorlopige HBE-waarde 2026 netlevering</v>
      </c>
      <c r="C177" s="341">
        <f>_xlfn.XLOOKUP(C12,Correcties!A48:A51,Correcties!D48:D51,0)</f>
        <v>0</v>
      </c>
      <c r="D177" s="271" t="str">
        <f t="shared" si="32"/>
        <v>Euro/kWh</v>
      </c>
      <c r="F177" s="50"/>
      <c r="G177" s="50"/>
      <c r="H177" s="50"/>
      <c r="I177" s="50"/>
      <c r="J177" s="50"/>
      <c r="K177" s="50"/>
      <c r="L177" s="50"/>
      <c r="M177" s="50"/>
      <c r="N177" s="50"/>
      <c r="O177" s="50"/>
      <c r="P177" s="50"/>
    </row>
    <row r="178" spans="2:16" s="10" customFormat="1">
      <c r="B178" s="80" t="s">
        <v>42</v>
      </c>
      <c r="C178" s="346">
        <f>_xlfn.XLOOKUP($C$13,Correcties!A55:A70,Correcties!D55:D70,"foutmelding")</f>
        <v>0</v>
      </c>
      <c r="D178" s="275" t="str">
        <f t="shared" si="32"/>
        <v>Euro/kWh</v>
      </c>
      <c r="F178" s="50"/>
      <c r="G178" s="50"/>
      <c r="H178" s="50"/>
      <c r="I178" s="50"/>
      <c r="J178" s="50"/>
      <c r="K178" s="50"/>
      <c r="L178" s="50"/>
      <c r="M178" s="50"/>
      <c r="N178" s="50"/>
      <c r="O178" s="50"/>
      <c r="P178" s="50"/>
    </row>
    <row r="179" spans="2:16" s="10" customFormat="1" ht="13.5" customHeight="1">
      <c r="B179" s="73" t="s">
        <v>599</v>
      </c>
      <c r="C179" s="345">
        <f>IF(C14="Nee",0,_xlfn.XLOOKUP($C$13,Correcties!A55:A70,Correcties!F55:F70,"foutmelding"))</f>
        <v>0</v>
      </c>
      <c r="D179" s="276" t="str">
        <f t="shared" si="32"/>
        <v>Euro/kWh</v>
      </c>
      <c r="F179" s="50"/>
      <c r="G179" s="50"/>
      <c r="H179" s="50"/>
      <c r="I179" s="50"/>
      <c r="J179" s="50"/>
      <c r="K179" s="50"/>
      <c r="L179" s="50"/>
      <c r="M179" s="50"/>
      <c r="N179" s="50"/>
      <c r="O179" s="50"/>
      <c r="P179" s="50"/>
    </row>
    <row r="180" spans="2:16" s="10" customFormat="1">
      <c r="E180" s="50"/>
      <c r="F180" s="50"/>
      <c r="G180" s="50"/>
      <c r="H180" s="50"/>
      <c r="I180" s="50"/>
      <c r="J180" s="50"/>
      <c r="K180" s="50"/>
      <c r="L180" s="50"/>
      <c r="M180" s="50"/>
      <c r="N180" s="50"/>
      <c r="O180" s="50"/>
      <c r="P180" s="50"/>
    </row>
    <row r="181" spans="2:16" s="10" customFormat="1">
      <c r="B181" s="78" t="s">
        <v>600</v>
      </c>
      <c r="C181" s="79" t="s">
        <v>79</v>
      </c>
      <c r="D181" s="91" t="s">
        <v>248</v>
      </c>
    </row>
    <row r="182" spans="2:16" s="10" customFormat="1">
      <c r="B182" s="72" t="s">
        <v>601</v>
      </c>
      <c r="C182" s="51">
        <v>35.799999999999997</v>
      </c>
      <c r="D182" s="271" t="s">
        <v>602</v>
      </c>
    </row>
    <row r="183" spans="2:16" s="10" customFormat="1">
      <c r="B183" s="72" t="s">
        <v>603</v>
      </c>
      <c r="C183" s="51">
        <v>31.65</v>
      </c>
      <c r="D183" s="271" t="s">
        <v>602</v>
      </c>
    </row>
    <row r="184" spans="2:16" s="10" customFormat="1">
      <c r="B184" s="72" t="s">
        <v>604</v>
      </c>
      <c r="C184" s="51">
        <v>35.17</v>
      </c>
      <c r="D184" s="271" t="s">
        <v>602</v>
      </c>
    </row>
    <row r="185" spans="2:16" s="10" customFormat="1">
      <c r="B185" s="73" t="s">
        <v>605</v>
      </c>
      <c r="C185" s="52">
        <v>3.6</v>
      </c>
      <c r="D185" s="276" t="s">
        <v>606</v>
      </c>
    </row>
    <row r="186" spans="2:16" s="10" customFormat="1">
      <c r="E186" s="53"/>
    </row>
    <row r="187" spans="2:16" s="10" customFormat="1"/>
    <row r="188" spans="2:16">
      <c r="E188" s="10"/>
      <c r="F188" s="10"/>
      <c r="H188" s="10"/>
    </row>
    <row r="189" spans="2:16">
      <c r="E189" s="10"/>
      <c r="F189" s="10"/>
      <c r="H189" s="10"/>
    </row>
    <row r="190" spans="2:16">
      <c r="E190" s="10"/>
      <c r="F190" s="10"/>
      <c r="H190" s="10"/>
    </row>
    <row r="191" spans="2:16">
      <c r="H191" s="10"/>
    </row>
    <row r="192" spans="2:16">
      <c r="H192" s="10"/>
    </row>
    <row r="193" spans="8:8">
      <c r="H193" s="10"/>
    </row>
    <row r="194" spans="8:8">
      <c r="H194" s="10"/>
    </row>
    <row r="195" spans="8:8">
      <c r="H195" s="10"/>
    </row>
    <row r="196" spans="8:8">
      <c r="H196" s="10"/>
    </row>
    <row r="197" spans="8:8">
      <c r="H197" s="10"/>
    </row>
    <row r="198" spans="8:8">
      <c r="H198" s="10"/>
    </row>
    <row r="199" spans="8:8">
      <c r="H199" s="10"/>
    </row>
    <row r="200" spans="8:8">
      <c r="H200" s="10"/>
    </row>
  </sheetData>
  <mergeCells count="89">
    <mergeCell ref="E103:M103"/>
    <mergeCell ref="E104:M104"/>
    <mergeCell ref="B107:C107"/>
    <mergeCell ref="B108:C108"/>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 G112:G114 G149:G160 G164:G171 G176 G186:G187 G189:G1048576">
    <cfRule type="containsText" dxfId="47" priority="3" operator="containsText" text="Pas op">
      <formula>NOT(ISERROR(SEARCH("Pas op",G1)))</formula>
    </cfRule>
  </conditionalFormatting>
  <conditionalFormatting sqref="G188">
    <cfRule type="containsText" dxfId="46" priority="2" operator="containsText" text="Pas op">
      <formula>NOT(ISERROR(SEARCH("Pas op",G188)))</formula>
    </cfRule>
  </conditionalFormatting>
  <conditionalFormatting sqref="G105">
    <cfRule type="containsText" dxfId="45" priority="1" operator="containsText" text="Pas op">
      <formula>NOT(ISERROR(SEARCH("Pas op",G105)))</formula>
    </cfRule>
  </conditionalFormatting>
  <dataValidations count="13">
    <dataValidation type="list" allowBlank="1" showInputMessage="1" showErrorMessage="1" sqref="C37363 C102899 C168435 C233971 C299507 C365043 C430579 C496115 C561651 C627187 C692723 C758259 C823795 C889331 C954867" xr:uid="{34BA96D9-20BD-4BB4-A7B8-B0213C03DE83}">
      <formula1>"ja,nee"</formula1>
    </dataValidation>
    <dataValidation type="list" allowBlank="1" showErrorMessage="1" error="Alleen de opties aangegeven in de dropdownlijst zijn toegestaan" sqref="C7" xr:uid="{9EF79DEB-C150-4F26-842B-46F0B4440832}">
      <formula1>"t CO2,kWh"</formula1>
    </dataValidation>
    <dataValidation type="list" allowBlank="1" showErrorMessage="1" error="Alleen de opties aangegeven in de dropdownlijst zijn toegestaan" sqref="C14" xr:uid="{260C2B31-65C7-4DFB-AFC2-B988BF1D9570}">
      <formula1>"Nee,Ja,Geen warmte"</formula1>
    </dataValidation>
    <dataValidation type="list" allowBlank="1" showErrorMessage="1" error="Alleen de opties aangegeven in de dropdownlijst zijn toegestaan" sqref="C9" xr:uid="{E39DB0CC-8253-4D8E-816F-54A9721CA767}">
      <formula1>"Elektriciteit,Lagetemperatuurwarmte,Hogetemperatuurwarmte,Moleculen,CCS/CCU,Generiek"</formula1>
    </dataValidation>
    <dataValidation type="decimal" allowBlank="1" showErrorMessage="1" error="Alleen getallen tussen 0 en 1.0 toegestaan. Vul in met een punt, geen comma" sqref="C17:C18" xr:uid="{ACEAE29E-7343-4906-97AE-052A8DF324AD}">
      <formula1>0</formula1>
      <formula2>1</formula2>
    </dataValidation>
    <dataValidation type="decimal" operator="notBetween" allowBlank="1" showInputMessage="1" sqref="C39:C49" xr:uid="{5DA851C8-5F60-411A-850D-D1CAF4DAD862}">
      <formula1>0</formula1>
      <formula2>0</formula2>
    </dataValidation>
    <dataValidation type="decimal" operator="notBetween" allowBlank="1" showInputMessage="1" showErrorMessage="1" sqref="C52:C60 C63:C65 C67:C70" xr:uid="{489B7A4C-E26B-4F44-879F-D0C92C3C129D}">
      <formula1>0</formula1>
      <formula2>0</formula2>
    </dataValidation>
    <dataValidation type="decimal" operator="greaterThanOrEqual" allowBlank="1" showInputMessage="1" sqref="C21 C24:C30 C33:C36" xr:uid="{4EE4EB59-6A95-46CA-A449-CDE40F3CB32F}">
      <formula1>0</formula1>
    </dataValidation>
    <dataValidation type="decimal" operator="greaterThanOrEqual" allowBlank="1" showInputMessage="1" showErrorMessage="1" sqref="C73:C77" xr:uid="{2FB1E89E-54AF-4BA4-B995-5D4D29E17421}">
      <formula1>0</formula1>
    </dataValidation>
    <dataValidation type="decimal" operator="greaterThan" allowBlank="1" showInputMessage="1" showErrorMessage="1" sqref="C80:C86 C89:C94" xr:uid="{A2B1413D-A231-4214-84F5-729DCA6C36C5}">
      <formula1>0</formula1>
    </dataValidation>
    <dataValidation type="list" operator="greaterThanOrEqual" allowBlank="1" showInputMessage="1" sqref="C23" xr:uid="{1E120730-1410-40E0-8241-6F548F878557}">
      <formula1>"Ja"</formula1>
    </dataValidation>
    <dataValidation type="decimal" operator="greaterThan" allowBlank="1" showInputMessage="1" showErrorMessage="1" error="Alleen getallen boven de 0 toegstaan" sqref="C22" xr:uid="{F57DBF4A-95D2-426A-9149-C7AC08AEAF59}">
      <formula1>0</formula1>
    </dataValidation>
    <dataValidation operator="notBetween" allowBlank="1" showInputMessage="1" showErrorMessage="1" sqref="C66" xr:uid="{040D941A-0CE4-443A-A284-BE6843D61E00}"/>
  </dataValidations>
  <pageMargins left="0.7" right="0.7" top="0.75" bottom="0.75" header="0.3" footer="0.3"/>
  <pageSetup paperSize="9" scale="14"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A13979C982CE41BB9A7BED8F58D331" ma:contentTypeVersion="18" ma:contentTypeDescription="Een nieuw document maken." ma:contentTypeScope="" ma:versionID="81d506589f4ea3f6b53e1ff9e211596c">
  <xsd:schema xmlns:xsd="http://www.w3.org/2001/XMLSchema" xmlns:xs="http://www.w3.org/2001/XMLSchema" xmlns:p="http://schemas.microsoft.com/office/2006/metadata/properties" xmlns:ns2="83b1ee3b-81ea-4e1d-9c3c-7dade408bfdb" xmlns:ns3="0ecdee1c-0907-4074-9b46-ea45381e496c" targetNamespace="http://schemas.microsoft.com/office/2006/metadata/properties" ma:root="true" ma:fieldsID="49a926c07993e66a97ce7ff157e4ad4b" ns2:_="" ns3:_="">
    <xsd:import namespace="83b1ee3b-81ea-4e1d-9c3c-7dade408bfdb"/>
    <xsd:import namespace="0ecdee1c-0907-4074-9b46-ea45381e49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1ee3b-81ea-4e1d-9c3c-7dade408bf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990300c-d600-4513-9bff-3e9eb93c7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cdee1c-0907-4074-9b46-ea45381e49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5afbf30-835a-4e61-b939-986c174f6194}" ma:internalName="TaxCatchAll" ma:showField="CatchAllData" ma:web="0ecdee1c-0907-4074-9b46-ea45381e49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cdee1c-0907-4074-9b46-ea45381e496c" xsi:nil="true"/>
    <lcf76f155ced4ddcb4097134ff3c332f xmlns="83b1ee3b-81ea-4e1d-9c3c-7dade408bf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06B874-1391-46AF-B85D-4875737B8A20}"/>
</file>

<file path=customXml/itemProps2.xml><?xml version="1.0" encoding="utf-8"?>
<ds:datastoreItem xmlns:ds="http://schemas.openxmlformats.org/officeDocument/2006/customXml" ds:itemID="{F7E12DE9-5E39-4D7F-A331-8F0BB06287E6}"/>
</file>

<file path=customXml/itemProps3.xml><?xml version="1.0" encoding="utf-8"?>
<ds:datastoreItem xmlns:ds="http://schemas.openxmlformats.org/officeDocument/2006/customXml" ds:itemID="{19E11DFB-C97A-412F-B601-C97A923134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Mugge, Matthijs</dc:creator>
  <cp:keywords/>
  <dc:description/>
  <cp:lastModifiedBy>Henriquez, Chris</cp:lastModifiedBy>
  <cp:revision/>
  <dcterms:created xsi:type="dcterms:W3CDTF">2024-08-12T11:54:40Z</dcterms:created>
  <dcterms:modified xsi:type="dcterms:W3CDTF">2025-12-02T13:57:38Z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0x01010038A13979C982CE41BB9A7BED8F58D331</vt:lpwstr>
  </property>
  <property fmtid="{D5CDD505-2E9C-101B-9397-08002B2CF9AE}" pid="3" name="MediaServiceImageTags">
    <vt:lpwstr/>
  </property>
</Properties>
</file>